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820" windowHeight="8640" firstSheet="3" activeTab="4"/>
  </bookViews>
  <sheets>
    <sheet name="PILS &amp; PILS Proxy" sheetId="1" r:id="rId1"/>
    <sheet name="monthly old rates" sheetId="2" r:id="rId2"/>
    <sheet name="Service Charges old rates" sheetId="3" r:id="rId3"/>
    <sheet name="Volumetric old rates" sheetId="4" r:id="rId4"/>
    <sheet name="monthly new rates" sheetId="5" r:id="rId5"/>
    <sheet name="Service Charges new rates" sheetId="6" r:id="rId6"/>
    <sheet name="Volumetric new rates" sheetId="7" r:id="rId7"/>
  </sheets>
  <definedNames>
    <definedName name="_xlnm.Print_Area" localSheetId="4">'monthly new rates'!$A$1:$N$203</definedName>
    <definedName name="_xlnm.Print_Area" localSheetId="1">'monthly old rates'!$A$1:$N$112</definedName>
    <definedName name="_xlnm.Print_Titles" localSheetId="4">'monthly new rates'!$1:$2</definedName>
    <definedName name="_xlnm.Print_Titles" localSheetId="1">'monthly old rates'!$1:$2</definedName>
    <definedName name="_xlnm.Print_Titles" localSheetId="5">'Service Charges new rates'!$1:$1</definedName>
    <definedName name="_xlnm.Print_Titles" localSheetId="2">'Service Charges old rates'!$1:$1</definedName>
    <definedName name="_xlnm.Print_Titles" localSheetId="6">'Volumetric new rates'!$1:$1</definedName>
    <definedName name="_xlnm.Print_Titles" localSheetId="3">'Volumetric old rates'!$1:$1</definedName>
  </definedNames>
  <calcPr fullCalcOnLoad="1"/>
</workbook>
</file>

<file path=xl/sharedStrings.xml><?xml version="1.0" encoding="utf-8"?>
<sst xmlns="http://schemas.openxmlformats.org/spreadsheetml/2006/main" count="3608" uniqueCount="121">
  <si>
    <t>BILYYMM</t>
  </si>
  <si>
    <t>BILSERV</t>
  </si>
  <si>
    <t>BILRSP</t>
  </si>
  <si>
    <t>BILRATE</t>
  </si>
  <si>
    <t>BILSSEQ</t>
  </si>
  <si>
    <t>BILCHGID</t>
  </si>
  <si>
    <t>BILCLASS</t>
  </si>
  <si>
    <t>BILBLKCHG</t>
  </si>
  <si>
    <t>BILMSIZ</t>
  </si>
  <si>
    <t>USAGE</t>
  </si>
  <si>
    <t>REVENUE</t>
  </si>
  <si>
    <t>KW</t>
  </si>
  <si>
    <t>RARDES</t>
  </si>
  <si>
    <t>CHGDESC</t>
  </si>
  <si>
    <t/>
  </si>
  <si>
    <t>FIXD</t>
  </si>
  <si>
    <t>GE0</t>
  </si>
  <si>
    <t>GE0FIX</t>
  </si>
  <si>
    <t>SM CM 2TIER PB</t>
  </si>
  <si>
    <t>Monthly Customer Charge</t>
  </si>
  <si>
    <t>DCHG</t>
  </si>
  <si>
    <t>GE0DIS</t>
  </si>
  <si>
    <t>FCA</t>
  </si>
  <si>
    <t>Local Delivery</t>
  </si>
  <si>
    <t>GE5</t>
  </si>
  <si>
    <t>GE5FIX</t>
  </si>
  <si>
    <t>LG CM 2TIER PB</t>
  </si>
  <si>
    <t>GE5DIS</t>
  </si>
  <si>
    <t>0000</t>
  </si>
  <si>
    <t>0001</t>
  </si>
  <si>
    <t>GEU</t>
  </si>
  <si>
    <t>GEUFIX</t>
  </si>
  <si>
    <t>GEN UNMETERED 2TIER</t>
  </si>
  <si>
    <t>GE1</t>
  </si>
  <si>
    <t>LG CM INTVL 2TIER PB</t>
  </si>
  <si>
    <t>GE9</t>
  </si>
  <si>
    <t>GE9FIX</t>
  </si>
  <si>
    <t>STREET LGT 2TIER</t>
  </si>
  <si>
    <t>L1</t>
  </si>
  <si>
    <t>L-S/C</t>
  </si>
  <si>
    <t>SL</t>
  </si>
  <si>
    <t>175 UNMETERD NO POLE</t>
  </si>
  <si>
    <t>S/L Monthly Customer Charge</t>
  </si>
  <si>
    <t>L-DIST</t>
  </si>
  <si>
    <t>L10</t>
  </si>
  <si>
    <t>C.O. 400 WATT W/POLE</t>
  </si>
  <si>
    <t>L-D400</t>
  </si>
  <si>
    <t>L11</t>
  </si>
  <si>
    <t>C.O. 250 WATT</t>
  </si>
  <si>
    <t>L-D250</t>
  </si>
  <si>
    <t>L3</t>
  </si>
  <si>
    <t>100 UNMETERD NO POLE</t>
  </si>
  <si>
    <t>L-D100</t>
  </si>
  <si>
    <t>L6</t>
  </si>
  <si>
    <t>100 UNMTRD WITH POLE</t>
  </si>
  <si>
    <t>L7</t>
  </si>
  <si>
    <t>175 UNMTRD WITH POLE</t>
  </si>
  <si>
    <t>L9</t>
  </si>
  <si>
    <t>C.O. UNMTRD 100 WATT</t>
  </si>
  <si>
    <t>REU</t>
  </si>
  <si>
    <t>RE0FIX</t>
  </si>
  <si>
    <t>RES UNMETERED 2TIER</t>
  </si>
  <si>
    <t>RE0</t>
  </si>
  <si>
    <t>RESID 2 TIER PB</t>
  </si>
  <si>
    <t>RE0DIS</t>
  </si>
  <si>
    <t>S1</t>
  </si>
  <si>
    <t>175 UMTD N/P 2TR PB</t>
  </si>
  <si>
    <t>SLDIST</t>
  </si>
  <si>
    <t>S/L Local Delivery</t>
  </si>
  <si>
    <t>S10</t>
  </si>
  <si>
    <t>400 UMTD W/P 2TR CO</t>
  </si>
  <si>
    <t>S11</t>
  </si>
  <si>
    <t>250 UMTD N/P 2TR CO</t>
  </si>
  <si>
    <t>S2</t>
  </si>
  <si>
    <t>100 UMTD N/P 2TR PB</t>
  </si>
  <si>
    <t>S3</t>
  </si>
  <si>
    <t>175 UMTD W/P 2TR PB</t>
  </si>
  <si>
    <t>S4</t>
  </si>
  <si>
    <t>100 UMTD W/P 2TR PB</t>
  </si>
  <si>
    <t>S9</t>
  </si>
  <si>
    <t>100 UMTD N/P 2TR CO</t>
  </si>
  <si>
    <t>res</t>
  </si>
  <si>
    <t>street</t>
  </si>
  <si>
    <t>GT 50</t>
  </si>
  <si>
    <t>LT 50</t>
  </si>
  <si>
    <t>half only</t>
  </si>
  <si>
    <t>Sent</t>
  </si>
  <si>
    <t>Dist Sentinel Lgts</t>
  </si>
  <si>
    <t>ACTUAL COLLECTION</t>
  </si>
  <si>
    <t>RESID</t>
  </si>
  <si>
    <t>RESIDENCE</t>
  </si>
  <si>
    <t>GS&lt;50</t>
  </si>
  <si>
    <t>GS&gt;50</t>
  </si>
  <si>
    <t>STREET L</t>
  </si>
  <si>
    <t>SENT L</t>
  </si>
  <si>
    <t>CONTROL</t>
  </si>
  <si>
    <t>VOLUM</t>
  </si>
  <si>
    <t>SERVICE</t>
  </si>
  <si>
    <t>GL</t>
  </si>
  <si>
    <t>LESS: ADJUSTMENT</t>
  </si>
  <si>
    <t>TOTAL GL</t>
  </si>
  <si>
    <t>STAT (KWH/KW)</t>
  </si>
  <si>
    <t>Base Rates</t>
  </si>
  <si>
    <t>2001 PILS</t>
  </si>
  <si>
    <t>2002 PILS Proxy</t>
  </si>
  <si>
    <t>Transition Costs</t>
  </si>
  <si>
    <t>Total Rate</t>
  </si>
  <si>
    <t>TEST</t>
  </si>
  <si>
    <t>2004</t>
  </si>
  <si>
    <t>Less: Adjustment</t>
  </si>
  <si>
    <t>2004 PILS</t>
  </si>
  <si>
    <t>RSVA</t>
  </si>
  <si>
    <t>Regulatory</t>
  </si>
  <si>
    <t>S/C Adjust</t>
  </si>
  <si>
    <t>2004 PILS Proxy</t>
  </si>
  <si>
    <t>BRANTFORD POWER INC.</t>
  </si>
  <si>
    <t>2001 PILS &amp; 2002 PILS PROXY RECOVERIES</t>
  </si>
  <si>
    <t>2002 PILS PROXY</t>
  </si>
  <si>
    <t>TOTAL</t>
  </si>
  <si>
    <t>2004 PILS PROXY</t>
  </si>
  <si>
    <t>Unmetered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</si>
</sst>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0"/>
    <numFmt numFmtId="167" formatCode="_(* #,##0.0000_);_(* \(#,##0.0000\);_(* &quot;-&quot;??_);_(@_)"/>
    <numFmt numFmtId="168" formatCode="0.000000"/>
    <numFmt numFmtId="169" formatCode="_(* #,##0.00000000_);_(* \(#,##0.00000000\);_(* &quot;-&quot;??????_);_(@_)"/>
    <numFmt numFmtId="170" formatCode="_-* #,##0.00_-;\-* #,##0.00_-;_-* &quot;-&quot;??_-;_-@_-"/>
    <numFmt numFmtId="171" formatCode="mmmm\-yy"/>
    <numFmt numFmtId="172" formatCode="_(* #,##0.00000000_);_(* \(#,##0.00000000\);_(* &quot;-&quot;??_);_(@_)"/>
    <numFmt numFmtId="173" formatCode="0.000"/>
    <numFmt numFmtId="174" formatCode="_(* #,##0.000000_);_(* \(#,##0.000000\);_(* &quot;-&quot;??_);_(@_)"/>
  </numFmts>
  <fonts count="44">
    <font>
      <sz val="10"/>
      <name val="Times New Roman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8"/>
      <name val="Arial"/>
      <family val="2"/>
    </font>
    <font>
      <sz val="8"/>
      <name val="Times New Roman"/>
      <family val="0"/>
    </font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44" fontId="0" fillId="0" borderId="0" xfId="44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3" fillId="33" borderId="0" xfId="42" applyFont="1" applyFill="1" applyAlignment="1">
      <alignment/>
    </xf>
    <xf numFmtId="43" fontId="3" fillId="0" borderId="0" xfId="42" applyFont="1" applyAlignment="1">
      <alignment/>
    </xf>
    <xf numFmtId="43" fontId="3" fillId="0" borderId="11" xfId="42" applyFont="1" applyBorder="1" applyAlignment="1">
      <alignment/>
    </xf>
    <xf numFmtId="43" fontId="3" fillId="0" borderId="11" xfId="42" applyFont="1" applyBorder="1" applyAlignment="1">
      <alignment/>
    </xf>
    <xf numFmtId="166" fontId="0" fillId="0" borderId="0" xfId="0" applyNumberFormat="1" applyAlignment="1">
      <alignment/>
    </xf>
    <xf numFmtId="167" fontId="3" fillId="0" borderId="0" xfId="42" applyNumberFormat="1" applyFon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10" xfId="0" applyBorder="1" applyAlignment="1">
      <alignment/>
    </xf>
    <xf numFmtId="43" fontId="3" fillId="0" borderId="10" xfId="42" applyFont="1" applyBorder="1" applyAlignment="1">
      <alignment/>
    </xf>
    <xf numFmtId="43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170" fontId="3" fillId="0" borderId="13" xfId="42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0" fontId="3" fillId="0" borderId="0" xfId="42" applyNumberFormat="1" applyFont="1" applyBorder="1" applyAlignment="1">
      <alignment/>
    </xf>
    <xf numFmtId="0" fontId="0" fillId="0" borderId="15" xfId="0" applyBorder="1" applyAlignment="1">
      <alignment/>
    </xf>
    <xf numFmtId="170" fontId="3" fillId="0" borderId="11" xfId="42" applyNumberFormat="1" applyFont="1" applyBorder="1" applyAlignment="1">
      <alignment/>
    </xf>
    <xf numFmtId="0" fontId="0" fillId="0" borderId="16" xfId="0" applyBorder="1" applyAlignment="1">
      <alignment/>
    </xf>
    <xf numFmtId="43" fontId="0" fillId="0" borderId="16" xfId="42" applyFont="1" applyBorder="1" applyAlignment="1">
      <alignment/>
    </xf>
    <xf numFmtId="171" fontId="1" fillId="0" borderId="0" xfId="0" applyNumberFormat="1" applyFont="1" applyAlignment="1">
      <alignment horizontal="left"/>
    </xf>
    <xf numFmtId="171" fontId="0" fillId="0" borderId="0" xfId="0" applyNumberFormat="1" applyBorder="1" applyAlignment="1">
      <alignment/>
    </xf>
    <xf numFmtId="0" fontId="2" fillId="0" borderId="0" xfId="0" applyFont="1" applyAlignment="1" quotePrefix="1">
      <alignment/>
    </xf>
    <xf numFmtId="172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44" fontId="0" fillId="33" borderId="0" xfId="44" applyFont="1" applyFill="1" applyAlignment="1">
      <alignment/>
    </xf>
    <xf numFmtId="44" fontId="0" fillId="33" borderId="10" xfId="44" applyFont="1" applyFill="1" applyBorder="1" applyAlignment="1">
      <alignment/>
    </xf>
    <xf numFmtId="44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171" fontId="4" fillId="0" borderId="0" xfId="0" applyNumberFormat="1" applyFont="1" applyAlignment="1">
      <alignment horizontal="left"/>
    </xf>
    <xf numFmtId="171" fontId="0" fillId="0" borderId="0" xfId="0" applyNumberFormat="1" applyAlignment="1">
      <alignment horizontal="left"/>
    </xf>
    <xf numFmtId="43" fontId="4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43" fontId="0" fillId="0" borderId="17" xfId="42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0" xfId="0" applyFont="1" applyAlignment="1">
      <alignment/>
    </xf>
    <xf numFmtId="44" fontId="0" fillId="33" borderId="0" xfId="44" applyFont="1" applyFill="1" applyAlignment="1">
      <alignment/>
    </xf>
    <xf numFmtId="44" fontId="0" fillId="0" borderId="0" xfId="44" applyFont="1" applyAlignment="1">
      <alignment/>
    </xf>
    <xf numFmtId="43" fontId="0" fillId="0" borderId="11" xfId="42" applyFont="1" applyBorder="1" applyAlignment="1">
      <alignment/>
    </xf>
    <xf numFmtId="43" fontId="0" fillId="0" borderId="0" xfId="42" applyFont="1" applyAlignment="1">
      <alignment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/>
    </xf>
    <xf numFmtId="167" fontId="0" fillId="0" borderId="0" xfId="42" applyNumberFormat="1" applyFont="1" applyAlignment="1">
      <alignment/>
    </xf>
    <xf numFmtId="174" fontId="0" fillId="0" borderId="0" xfId="42" applyNumberFormat="1" applyFont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8" xfId="44" applyFont="1" applyBorder="1" applyAlignment="1">
      <alignment/>
    </xf>
    <xf numFmtId="44" fontId="0" fillId="0" borderId="14" xfId="44" applyFont="1" applyBorder="1" applyAlignment="1">
      <alignment/>
    </xf>
    <xf numFmtId="44" fontId="0" fillId="0" borderId="0" xfId="44" applyFont="1" applyBorder="1" applyAlignment="1">
      <alignment/>
    </xf>
    <xf numFmtId="44" fontId="4" fillId="0" borderId="19" xfId="44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4" fontId="0" fillId="0" borderId="11" xfId="44" applyFont="1" applyBorder="1" applyAlignment="1">
      <alignment/>
    </xf>
    <xf numFmtId="44" fontId="4" fillId="0" borderId="20" xfId="44" applyFont="1" applyBorder="1" applyAlignment="1">
      <alignment/>
    </xf>
    <xf numFmtId="44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1" fontId="0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43" fontId="0" fillId="33" borderId="0" xfId="42" applyFont="1" applyFill="1" applyAlignment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43" fontId="0" fillId="0" borderId="10" xfId="42" applyFont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43" fontId="0" fillId="0" borderId="16" xfId="42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8" fillId="0" borderId="0" xfId="42" applyFont="1" applyAlignment="1">
      <alignment/>
    </xf>
    <xf numFmtId="43" fontId="8" fillId="0" borderId="11" xfId="42" applyFont="1" applyBorder="1" applyAlignment="1">
      <alignment/>
    </xf>
    <xf numFmtId="170" fontId="8" fillId="0" borderId="18" xfId="0" applyNumberFormat="1" applyFont="1" applyBorder="1" applyAlignment="1">
      <alignment/>
    </xf>
    <xf numFmtId="170" fontId="9" fillId="0" borderId="19" xfId="0" applyNumberFormat="1" applyFont="1" applyBorder="1" applyAlignment="1">
      <alignment/>
    </xf>
    <xf numFmtId="170" fontId="9" fillId="0" borderId="20" xfId="0" applyNumberFormat="1" applyFont="1" applyBorder="1" applyAlignment="1">
      <alignment/>
    </xf>
    <xf numFmtId="43" fontId="7" fillId="0" borderId="16" xfId="42" applyFont="1" applyBorder="1" applyAlignment="1">
      <alignment/>
    </xf>
    <xf numFmtId="43" fontId="8" fillId="33" borderId="0" xfId="42" applyFont="1" applyFill="1" applyAlignment="1">
      <alignment/>
    </xf>
    <xf numFmtId="44" fontId="0" fillId="34" borderId="0" xfId="44" applyFont="1" applyFill="1" applyAlignment="1">
      <alignment/>
    </xf>
    <xf numFmtId="44" fontId="0" fillId="34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22" sqref="E22"/>
    </sheetView>
  </sheetViews>
  <sheetFormatPr defaultColWidth="9.33203125" defaultRowHeight="12.75"/>
  <cols>
    <col min="1" max="1" width="20" style="41" customWidth="1"/>
    <col min="2" max="5" width="19.66015625" style="35" customWidth="1"/>
  </cols>
  <sheetData>
    <row r="1" ht="12.75">
      <c r="A1" s="40" t="s">
        <v>115</v>
      </c>
    </row>
    <row r="2" ht="12.75">
      <c r="A2" s="40" t="s">
        <v>116</v>
      </c>
    </row>
    <row r="4" spans="2:5" ht="12.75">
      <c r="B4" s="42" t="s">
        <v>103</v>
      </c>
      <c r="C4" s="42" t="s">
        <v>117</v>
      </c>
      <c r="D4" s="42" t="s">
        <v>119</v>
      </c>
      <c r="E4" s="42" t="s">
        <v>118</v>
      </c>
    </row>
    <row r="5" spans="2:5" ht="12.75">
      <c r="B5" s="43"/>
      <c r="C5" s="43"/>
      <c r="D5" s="43"/>
      <c r="E5" s="43"/>
    </row>
    <row r="6" spans="1:5" ht="12.75">
      <c r="A6" s="41">
        <v>38017</v>
      </c>
      <c r="B6" s="43">
        <f>+'monthly old rates'!N36</f>
        <v>38522.13</v>
      </c>
      <c r="C6" s="43">
        <f>+'monthly old rates'!N37</f>
        <v>128287.92000000001</v>
      </c>
      <c r="D6" s="43"/>
      <c r="E6" s="35">
        <f>SUM(B6:D6)</f>
        <v>166810.05000000002</v>
      </c>
    </row>
    <row r="7" spans="1:5" ht="12.75">
      <c r="A7" s="41">
        <v>38045</v>
      </c>
      <c r="B7" s="43">
        <f>+'monthly old rates'!N54</f>
        <v>39366.29</v>
      </c>
      <c r="C7" s="43">
        <f>+'monthly old rates'!N55</f>
        <v>131099.16999999998</v>
      </c>
      <c r="D7" s="43"/>
      <c r="E7" s="35">
        <f aca="true" t="shared" si="0" ref="E7:E17">SUM(B7:D7)</f>
        <v>170465.46</v>
      </c>
    </row>
    <row r="8" spans="1:5" ht="12.75">
      <c r="A8" s="41">
        <v>38073</v>
      </c>
      <c r="B8" s="35">
        <f>+'monthly old rates'!N72</f>
        <v>37826.03999999999</v>
      </c>
      <c r="C8" s="35">
        <f>+'monthly old rates'!N73</f>
        <v>125969.79</v>
      </c>
      <c r="E8" s="35">
        <f t="shared" si="0"/>
        <v>163795.83</v>
      </c>
    </row>
    <row r="9" spans="1:5" ht="12.75">
      <c r="A9" s="41">
        <v>38101</v>
      </c>
      <c r="B9" s="35">
        <f>+'monthly old rates'!N90</f>
        <v>27010.550000000003</v>
      </c>
      <c r="C9" s="35">
        <f>+'monthly old rates'!N91</f>
        <v>89951.53</v>
      </c>
      <c r="D9" s="35">
        <f>+'monthly new rates'!N39</f>
        <v>8586.93</v>
      </c>
      <c r="E9" s="35">
        <f t="shared" si="0"/>
        <v>125549.01000000001</v>
      </c>
    </row>
    <row r="10" spans="1:5" ht="12.75">
      <c r="A10" s="41">
        <v>38129</v>
      </c>
      <c r="B10" s="35">
        <f>+'monthly old rates'!N108</f>
        <v>2082.32</v>
      </c>
      <c r="C10" s="35">
        <f>+'monthly old rates'!N109</f>
        <v>6934.639999999999</v>
      </c>
      <c r="D10" s="35">
        <f>+'monthly new rates'!N59</f>
        <v>100205.03999999998</v>
      </c>
      <c r="E10" s="35">
        <f t="shared" si="0"/>
        <v>109221.99999999997</v>
      </c>
    </row>
    <row r="11" spans="1:5" ht="12.75">
      <c r="A11" s="41">
        <v>38157</v>
      </c>
      <c r="D11" s="35">
        <f>+'monthly new rates'!N79</f>
        <v>108684.86</v>
      </c>
      <c r="E11" s="35">
        <f t="shared" si="0"/>
        <v>108684.86</v>
      </c>
    </row>
    <row r="12" spans="1:5" ht="12.75">
      <c r="A12" s="41">
        <v>38185</v>
      </c>
      <c r="D12" s="35">
        <f>+'monthly new rates'!N99</f>
        <v>117545.31</v>
      </c>
      <c r="E12" s="35">
        <f t="shared" si="0"/>
        <v>117545.31</v>
      </c>
    </row>
    <row r="13" spans="1:5" ht="12.75">
      <c r="A13" s="41">
        <v>38213</v>
      </c>
      <c r="D13" s="35">
        <f>+'monthly new rates'!N119</f>
        <v>124953.79000000002</v>
      </c>
      <c r="E13" s="35">
        <f t="shared" si="0"/>
        <v>124953.79000000002</v>
      </c>
    </row>
    <row r="14" spans="1:5" ht="12.75">
      <c r="A14" s="41">
        <v>38241</v>
      </c>
      <c r="D14" s="35">
        <f>+'monthly new rates'!N139</f>
        <v>122855.81</v>
      </c>
      <c r="E14" s="35">
        <f t="shared" si="0"/>
        <v>122855.81</v>
      </c>
    </row>
    <row r="15" spans="1:5" ht="12.75">
      <c r="A15" s="41">
        <v>38269</v>
      </c>
      <c r="D15" s="35">
        <f>+'monthly new rates'!N159</f>
        <v>117258.1</v>
      </c>
      <c r="E15" s="35">
        <f t="shared" si="0"/>
        <v>117258.1</v>
      </c>
    </row>
    <row r="16" spans="1:5" ht="12.75">
      <c r="A16" s="41">
        <v>38297</v>
      </c>
      <c r="D16" s="35">
        <f>+'monthly new rates'!N179</f>
        <v>109240.10000000002</v>
      </c>
      <c r="E16" s="35">
        <f t="shared" si="0"/>
        <v>109240.10000000002</v>
      </c>
    </row>
    <row r="17" spans="1:5" ht="12.75">
      <c r="A17" s="41">
        <v>38325</v>
      </c>
      <c r="D17" s="35">
        <f>+'monthly new rates'!N199</f>
        <v>118211.58000000002</v>
      </c>
      <c r="E17" s="35">
        <f t="shared" si="0"/>
        <v>118211.58000000002</v>
      </c>
    </row>
    <row r="19" spans="2:5" ht="13.5" thickBot="1">
      <c r="B19" s="44">
        <f>SUM(B6:B18)</f>
        <v>144807.33000000002</v>
      </c>
      <c r="C19" s="44">
        <f>SUM(C6:C18)</f>
        <v>482243.05000000005</v>
      </c>
      <c r="D19" s="44">
        <f>SUM(D6:D18)</f>
        <v>927541.52</v>
      </c>
      <c r="E19" s="44">
        <f>SUM(E6:E18)</f>
        <v>1554591.9000000004</v>
      </c>
    </row>
    <row r="20" ht="13.5" thickTop="1"/>
    <row r="21" spans="2:4" ht="12.75">
      <c r="B21" s="35">
        <f>+B19-'monthly old rates'!N18</f>
        <v>-0.029999999969732016</v>
      </c>
      <c r="C21" s="35">
        <f>C19-'monthly old rates'!N19</f>
        <v>0</v>
      </c>
      <c r="D21" s="35">
        <f>+D19-'monthly new rates'!N19</f>
        <v>-0.029999999911524355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6"/>
  <sheetViews>
    <sheetView zoomScalePageLayoutView="0" workbookViewId="0" topLeftCell="A1">
      <pane ySplit="765" topLeftCell="A85" activePane="bottomLeft" state="split"/>
      <selection pane="topLeft" activeCell="A1" sqref="A1"/>
      <selection pane="bottomLeft" activeCell="G27" sqref="G27"/>
    </sheetView>
  </sheetViews>
  <sheetFormatPr defaultColWidth="9.33203125" defaultRowHeight="12.75"/>
  <cols>
    <col min="1" max="1" width="22.16015625" style="0" customWidth="1"/>
    <col min="2" max="2" width="17.5" style="0" bestFit="1" customWidth="1"/>
    <col min="3" max="3" width="15" style="0" bestFit="1" customWidth="1"/>
    <col min="4" max="4" width="16.83203125" style="0" customWidth="1"/>
    <col min="5" max="5" width="14.16015625" style="0" bestFit="1" customWidth="1"/>
    <col min="6" max="7" width="14.16015625" style="0" customWidth="1"/>
    <col min="8" max="8" width="18" style="0" bestFit="1" customWidth="1"/>
    <col min="9" max="9" width="17.83203125" style="0" bestFit="1" customWidth="1"/>
    <col min="10" max="13" width="14.16015625" style="0" bestFit="1" customWidth="1"/>
    <col min="14" max="14" width="13" style="81" bestFit="1" customWidth="1"/>
  </cols>
  <sheetData>
    <row r="1" spans="1:14" ht="12.75">
      <c r="A1" s="8" t="s">
        <v>88</v>
      </c>
      <c r="B1" s="9" t="s">
        <v>89</v>
      </c>
      <c r="C1" s="9" t="s">
        <v>90</v>
      </c>
      <c r="D1" s="9" t="s">
        <v>91</v>
      </c>
      <c r="E1" s="9" t="s">
        <v>91</v>
      </c>
      <c r="F1" s="9" t="s">
        <v>120</v>
      </c>
      <c r="G1" s="9" t="s">
        <v>120</v>
      </c>
      <c r="H1" s="9" t="s">
        <v>92</v>
      </c>
      <c r="I1" s="9" t="s">
        <v>92</v>
      </c>
      <c r="J1" s="9" t="s">
        <v>93</v>
      </c>
      <c r="K1" s="9" t="s">
        <v>93</v>
      </c>
      <c r="L1" s="9" t="s">
        <v>94</v>
      </c>
      <c r="M1" s="9" t="s">
        <v>94</v>
      </c>
      <c r="N1" s="79" t="s">
        <v>95</v>
      </c>
    </row>
    <row r="2" spans="1:14" ht="12.75">
      <c r="A2" s="8"/>
      <c r="B2" s="9" t="s">
        <v>96</v>
      </c>
      <c r="C2" s="9" t="s">
        <v>97</v>
      </c>
      <c r="D2" s="9" t="s">
        <v>96</v>
      </c>
      <c r="E2" s="9" t="s">
        <v>97</v>
      </c>
      <c r="F2" s="9" t="s">
        <v>96</v>
      </c>
      <c r="G2" s="9" t="s">
        <v>97</v>
      </c>
      <c r="H2" s="9" t="s">
        <v>96</v>
      </c>
      <c r="I2" s="9" t="s">
        <v>97</v>
      </c>
      <c r="J2" s="9" t="s">
        <v>96</v>
      </c>
      <c r="K2" s="9" t="s">
        <v>97</v>
      </c>
      <c r="L2" s="9" t="s">
        <v>96</v>
      </c>
      <c r="M2" s="9" t="s">
        <v>97</v>
      </c>
      <c r="N2" s="80"/>
    </row>
    <row r="4" ht="12.75">
      <c r="A4" s="33" t="s">
        <v>108</v>
      </c>
    </row>
    <row r="5" spans="1:14" ht="12.75">
      <c r="A5" s="8" t="s">
        <v>98</v>
      </c>
      <c r="B5" s="11">
        <v>1049182.58</v>
      </c>
      <c r="C5" s="11">
        <v>1261502.5</v>
      </c>
      <c r="D5" s="11">
        <f>166901.87-F5</f>
        <v>162870.11</v>
      </c>
      <c r="E5" s="11">
        <f>256565.47-G5</f>
        <v>212520.21</v>
      </c>
      <c r="F5" s="11">
        <f>+'Volumetric old rates'!N43</f>
        <v>4031.76</v>
      </c>
      <c r="G5" s="11">
        <f>+'Service Charges old rates'!K19+'Service Charges old rates'!K21+'Service Charges old rates'!K25+'Service Charges old rates'!K27</f>
        <v>44045.26</v>
      </c>
      <c r="H5" s="11">
        <v>958539</v>
      </c>
      <c r="I5" s="11">
        <v>436087.25</v>
      </c>
      <c r="J5" s="11">
        <v>7465.17</v>
      </c>
      <c r="K5" s="11">
        <v>8901.15</v>
      </c>
      <c r="L5" s="11">
        <v>551.82</v>
      </c>
      <c r="M5" s="11">
        <v>836.51</v>
      </c>
      <c r="N5" s="82">
        <v>4146533.32</v>
      </c>
    </row>
    <row r="6" spans="1:14" ht="12.75">
      <c r="A6" t="s">
        <v>99</v>
      </c>
      <c r="B6" s="13">
        <v>0</v>
      </c>
      <c r="C6" s="13">
        <v>0</v>
      </c>
      <c r="D6" s="14">
        <v>0</v>
      </c>
      <c r="E6" s="14">
        <v>0</v>
      </c>
      <c r="F6" s="14"/>
      <c r="G6" s="14"/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83"/>
    </row>
    <row r="7" spans="1:14" ht="12.75">
      <c r="A7" t="s">
        <v>100</v>
      </c>
      <c r="B7" s="12">
        <f aca="true" t="shared" si="0" ref="B7:M7">+B5+B6</f>
        <v>1049182.58</v>
      </c>
      <c r="C7" s="12">
        <f t="shared" si="0"/>
        <v>1261502.5</v>
      </c>
      <c r="D7" s="12">
        <f t="shared" si="0"/>
        <v>162870.11</v>
      </c>
      <c r="E7" s="12">
        <f t="shared" si="0"/>
        <v>212520.21</v>
      </c>
      <c r="F7" s="12">
        <f>+F5+F6</f>
        <v>4031.76</v>
      </c>
      <c r="G7" s="12">
        <f>+G5+G6</f>
        <v>44045.26</v>
      </c>
      <c r="H7" s="12">
        <f t="shared" si="0"/>
        <v>958539</v>
      </c>
      <c r="I7" s="12">
        <f t="shared" si="0"/>
        <v>436087.25</v>
      </c>
      <c r="J7" s="12">
        <f t="shared" si="0"/>
        <v>7465.17</v>
      </c>
      <c r="K7" s="12">
        <f t="shared" si="0"/>
        <v>8901.15</v>
      </c>
      <c r="L7" s="12">
        <f t="shared" si="0"/>
        <v>551.82</v>
      </c>
      <c r="M7" s="12">
        <f t="shared" si="0"/>
        <v>836.51</v>
      </c>
      <c r="N7" s="82"/>
    </row>
    <row r="9" spans="1:13" ht="12.75">
      <c r="A9" t="s">
        <v>101</v>
      </c>
      <c r="B9" s="12">
        <f aca="true" t="shared" si="1" ref="B9:M9">+B7/B15</f>
        <v>102861037.25490196</v>
      </c>
      <c r="C9" s="12">
        <f t="shared" si="1"/>
        <v>110271.19755244756</v>
      </c>
      <c r="D9" s="12">
        <f t="shared" si="1"/>
        <v>34653214.89361702</v>
      </c>
      <c r="E9" s="12">
        <f t="shared" si="1"/>
        <v>8528.098314606741</v>
      </c>
      <c r="F9" s="12">
        <f>+F7/F15</f>
        <v>857821.2765957447</v>
      </c>
      <c r="G9" s="12">
        <f>+G7/G15</f>
        <v>1767.4662921348315</v>
      </c>
      <c r="H9" s="12">
        <f t="shared" si="1"/>
        <v>474688.7535284505</v>
      </c>
      <c r="I9" s="12">
        <f t="shared" si="1"/>
        <v>1383.3499873112548</v>
      </c>
      <c r="J9" s="12">
        <f t="shared" si="1"/>
        <v>6278.000168194432</v>
      </c>
      <c r="K9" s="12">
        <f t="shared" si="1"/>
        <v>29670.5</v>
      </c>
      <c r="L9" s="12">
        <f t="shared" si="1"/>
        <v>549.6215139442231</v>
      </c>
      <c r="M9" s="12">
        <f t="shared" si="1"/>
        <v>2698.4193548387098</v>
      </c>
    </row>
    <row r="10" spans="2:13" ht="12.7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2.75">
      <c r="A11" t="s">
        <v>102</v>
      </c>
      <c r="B11">
        <f aca="true" t="shared" si="2" ref="B11:M11">B15-SUM(B12:B14)</f>
        <v>0.008468558494684131</v>
      </c>
      <c r="C11">
        <f t="shared" si="2"/>
        <v>9.55964309155355</v>
      </c>
      <c r="D11">
        <f t="shared" si="2"/>
        <v>0.0037992771375589987</v>
      </c>
      <c r="E11">
        <f t="shared" si="2"/>
        <v>21.08708218640508</v>
      </c>
      <c r="F11">
        <f>F15-SUM(F12:F14)</f>
        <v>0.0037992771375589987</v>
      </c>
      <c r="G11">
        <f>G15-SUM(G12:G14)</f>
        <v>21.08708218640508</v>
      </c>
      <c r="H11">
        <f t="shared" si="2"/>
        <v>1.6737319332604152</v>
      </c>
      <c r="I11">
        <f t="shared" si="2"/>
        <v>265.2229534799843</v>
      </c>
      <c r="J11">
        <f t="shared" si="2"/>
        <v>0.9054152316260093</v>
      </c>
      <c r="K11">
        <f t="shared" si="2"/>
        <v>0.2587681456863579</v>
      </c>
      <c r="L11">
        <f t="shared" si="2"/>
        <v>0.8361010451854844</v>
      </c>
      <c r="M11">
        <f t="shared" si="2"/>
        <v>0.25699301114125417</v>
      </c>
    </row>
    <row r="12" spans="1:13" ht="12.75">
      <c r="A12" t="s">
        <v>103</v>
      </c>
      <c r="B12">
        <v>0.0003616079243880993</v>
      </c>
      <c r="C12">
        <v>0.3927085937841714</v>
      </c>
      <c r="D12">
        <v>0.00018811407935885114</v>
      </c>
      <c r="E12">
        <v>0.8004968407358231</v>
      </c>
      <c r="F12">
        <v>0.00018811407935885114</v>
      </c>
      <c r="G12">
        <v>0.8004968407358231</v>
      </c>
      <c r="H12">
        <v>0.07217116545078593</v>
      </c>
      <c r="I12">
        <v>10.445955188550439</v>
      </c>
      <c r="J12">
        <v>0.05924696846950266</v>
      </c>
      <c r="K12">
        <v>0.008611186234852675</v>
      </c>
      <c r="L12">
        <v>0.035065344322060835</v>
      </c>
      <c r="M12">
        <v>0.011070398370620899</v>
      </c>
    </row>
    <row r="13" spans="1:13" ht="12.75">
      <c r="A13" t="s">
        <v>104</v>
      </c>
      <c r="B13">
        <v>0.001204240715064637</v>
      </c>
      <c r="C13">
        <v>1.3078133688329163</v>
      </c>
      <c r="D13">
        <v>0.0006264647928392694</v>
      </c>
      <c r="E13">
        <v>2.66584558268717</v>
      </c>
      <c r="F13">
        <v>0.0006264647928392694</v>
      </c>
      <c r="G13">
        <v>2.66584558268717</v>
      </c>
      <c r="H13">
        <v>0.24034721041186058</v>
      </c>
      <c r="I13">
        <v>34.78752454631531</v>
      </c>
      <c r="J13">
        <v>0.19730654906376266</v>
      </c>
      <c r="K13">
        <v>0.02867730591513283</v>
      </c>
      <c r="L13">
        <v>0.11677596776077721</v>
      </c>
      <c r="M13">
        <v>0.03686706941626318</v>
      </c>
    </row>
    <row r="14" spans="1:13" ht="12.75">
      <c r="A14" t="s">
        <v>105</v>
      </c>
      <c r="B14">
        <v>0.00016559286586313236</v>
      </c>
      <c r="C14">
        <v>0.17983494582936133</v>
      </c>
      <c r="D14" s="34">
        <v>8.614399024288101E-05</v>
      </c>
      <c r="E14">
        <v>0.3665753901719277</v>
      </c>
      <c r="F14" s="34">
        <v>8.614399024288101E-05</v>
      </c>
      <c r="G14">
        <v>0.3665753901719277</v>
      </c>
      <c r="H14">
        <v>0.033049690876938216</v>
      </c>
      <c r="I14">
        <v>4.783566785149945</v>
      </c>
      <c r="J14">
        <v>0.027131250840725405</v>
      </c>
      <c r="K14">
        <v>0.003943362163656555</v>
      </c>
      <c r="L14">
        <v>0.01605764273167756</v>
      </c>
      <c r="M14">
        <v>0.005069521071861766</v>
      </c>
    </row>
    <row r="15" spans="1:13" ht="12.75">
      <c r="A15" s="19" t="s">
        <v>106</v>
      </c>
      <c r="B15" s="19">
        <v>0.0102</v>
      </c>
      <c r="C15" s="19">
        <v>11.44</v>
      </c>
      <c r="D15" s="19">
        <v>0.0047</v>
      </c>
      <c r="E15" s="19">
        <v>24.92</v>
      </c>
      <c r="F15" s="19">
        <v>0.0047</v>
      </c>
      <c r="G15" s="19">
        <v>24.92</v>
      </c>
      <c r="H15" s="19">
        <v>2.0193</v>
      </c>
      <c r="I15" s="19">
        <v>315.24</v>
      </c>
      <c r="J15" s="19">
        <v>1.1891</v>
      </c>
      <c r="K15" s="19">
        <v>0.3</v>
      </c>
      <c r="L15" s="19">
        <v>1.004</v>
      </c>
      <c r="M15" s="19">
        <v>0.31</v>
      </c>
    </row>
    <row r="17" spans="1:14" ht="12.75">
      <c r="A17" s="22" t="s">
        <v>102</v>
      </c>
      <c r="B17" s="23">
        <f aca="true" t="shared" si="3" ref="B17:M17">ROUND(B9*B11,2)</f>
        <v>871084.71</v>
      </c>
      <c r="C17" s="23">
        <f t="shared" si="3"/>
        <v>1054153.29</v>
      </c>
      <c r="D17" s="23">
        <f t="shared" si="3"/>
        <v>131657.17</v>
      </c>
      <c r="E17" s="23">
        <f t="shared" si="3"/>
        <v>179832.71</v>
      </c>
      <c r="F17" s="23">
        <f>ROUND(F9*F11,2)</f>
        <v>3259.1</v>
      </c>
      <c r="G17" s="23">
        <f>ROUND(G9*G11,2)</f>
        <v>37270.71</v>
      </c>
      <c r="H17" s="23">
        <f t="shared" si="3"/>
        <v>794501.73</v>
      </c>
      <c r="I17" s="23">
        <f t="shared" si="3"/>
        <v>366896.17</v>
      </c>
      <c r="J17" s="23">
        <f t="shared" si="3"/>
        <v>5684.2</v>
      </c>
      <c r="K17" s="23">
        <f t="shared" si="3"/>
        <v>7677.78</v>
      </c>
      <c r="L17" s="23">
        <f t="shared" si="3"/>
        <v>459.54</v>
      </c>
      <c r="M17" s="23">
        <f t="shared" si="3"/>
        <v>693.47</v>
      </c>
      <c r="N17" s="84">
        <f>SUM(B17:M17)</f>
        <v>3453170.58</v>
      </c>
    </row>
    <row r="18" spans="1:14" ht="12.75">
      <c r="A18" s="25" t="s">
        <v>103</v>
      </c>
      <c r="B18" s="26">
        <f aca="true" t="shared" si="4" ref="B18:M18">ROUND(B9*B12,2)</f>
        <v>37195.37</v>
      </c>
      <c r="C18" s="26">
        <f t="shared" si="4"/>
        <v>43304.45</v>
      </c>
      <c r="D18" s="26">
        <f t="shared" si="4"/>
        <v>6518.76</v>
      </c>
      <c r="E18" s="26">
        <f t="shared" si="4"/>
        <v>6826.72</v>
      </c>
      <c r="F18" s="26">
        <f>ROUND(F9*F12,2)</f>
        <v>161.37</v>
      </c>
      <c r="G18" s="26">
        <f>ROUND(G9*G12,2)</f>
        <v>1414.85</v>
      </c>
      <c r="H18" s="26">
        <f t="shared" si="4"/>
        <v>34258.84</v>
      </c>
      <c r="I18" s="26">
        <f t="shared" si="4"/>
        <v>14450.41</v>
      </c>
      <c r="J18" s="26">
        <f t="shared" si="4"/>
        <v>371.95</v>
      </c>
      <c r="K18" s="26">
        <f t="shared" si="4"/>
        <v>255.5</v>
      </c>
      <c r="L18" s="26">
        <f t="shared" si="4"/>
        <v>19.27</v>
      </c>
      <c r="M18" s="26">
        <f t="shared" si="4"/>
        <v>29.87</v>
      </c>
      <c r="N18" s="85">
        <f>SUM(B18:M18)</f>
        <v>144807.36</v>
      </c>
    </row>
    <row r="19" spans="1:14" ht="12.75">
      <c r="A19" s="25" t="s">
        <v>104</v>
      </c>
      <c r="B19" s="26">
        <f aca="true" t="shared" si="5" ref="B19:M19">ROUND(B9*B13,2)</f>
        <v>123869.45</v>
      </c>
      <c r="C19" s="26">
        <f t="shared" si="5"/>
        <v>144214.15</v>
      </c>
      <c r="D19" s="26">
        <f t="shared" si="5"/>
        <v>21709.02</v>
      </c>
      <c r="E19" s="26">
        <f t="shared" si="5"/>
        <v>22734.59</v>
      </c>
      <c r="F19" s="26">
        <f>ROUND(F9*F13,2)</f>
        <v>537.39</v>
      </c>
      <c r="G19" s="26">
        <f>ROUND(G9*G13,2)</f>
        <v>4711.79</v>
      </c>
      <c r="H19" s="26">
        <f t="shared" si="5"/>
        <v>114090.12</v>
      </c>
      <c r="I19" s="26">
        <f t="shared" si="5"/>
        <v>48123.32</v>
      </c>
      <c r="J19" s="26">
        <f t="shared" si="5"/>
        <v>1238.69</v>
      </c>
      <c r="K19" s="26">
        <f t="shared" si="5"/>
        <v>850.87</v>
      </c>
      <c r="L19" s="26">
        <f t="shared" si="5"/>
        <v>64.18</v>
      </c>
      <c r="M19" s="26">
        <f t="shared" si="5"/>
        <v>99.48</v>
      </c>
      <c r="N19" s="85">
        <f>SUM(B19:M19)</f>
        <v>482243.05</v>
      </c>
    </row>
    <row r="20" spans="1:14" ht="12.75">
      <c r="A20" s="27" t="s">
        <v>105</v>
      </c>
      <c r="B20" s="28">
        <f aca="true" t="shared" si="6" ref="B20:M20">ROUND(B9*B14,2)</f>
        <v>17033.05</v>
      </c>
      <c r="C20" s="28">
        <f t="shared" si="6"/>
        <v>19830.61</v>
      </c>
      <c r="D20" s="28">
        <f t="shared" si="6"/>
        <v>2985.17</v>
      </c>
      <c r="E20" s="28">
        <f t="shared" si="6"/>
        <v>3126.19</v>
      </c>
      <c r="F20" s="28">
        <f>ROUND(F9*F14,2)</f>
        <v>73.9</v>
      </c>
      <c r="G20" s="28">
        <f>ROUND(G9*G14,2)</f>
        <v>647.91</v>
      </c>
      <c r="H20" s="28">
        <f t="shared" si="6"/>
        <v>15688.32</v>
      </c>
      <c r="I20" s="28">
        <f t="shared" si="6"/>
        <v>6617.35</v>
      </c>
      <c r="J20" s="28">
        <f t="shared" si="6"/>
        <v>170.33</v>
      </c>
      <c r="K20" s="28">
        <f t="shared" si="6"/>
        <v>117</v>
      </c>
      <c r="L20" s="28">
        <f t="shared" si="6"/>
        <v>8.83</v>
      </c>
      <c r="M20" s="28">
        <f t="shared" si="6"/>
        <v>13.68</v>
      </c>
      <c r="N20" s="86">
        <f>SUM(B20:M20)</f>
        <v>66312.34000000001</v>
      </c>
    </row>
    <row r="21" spans="2:14" ht="13.5" thickBot="1">
      <c r="B21" s="30">
        <f aca="true" t="shared" si="7" ref="B21:N21">+B5-B17-B18-B19-B20</f>
        <v>1.2005330063402653E-10</v>
      </c>
      <c r="C21" s="30">
        <f t="shared" si="7"/>
        <v>-4.3655745685100555E-11</v>
      </c>
      <c r="D21" s="30">
        <f t="shared" si="7"/>
        <v>-0.01000000002932211</v>
      </c>
      <c r="E21" s="30">
        <f t="shared" si="7"/>
        <v>0</v>
      </c>
      <c r="F21" s="30">
        <f>+F5-F17-F18-F19-F20</f>
        <v>3.126388037344441E-13</v>
      </c>
      <c r="G21" s="30">
        <f>+G5-G17-G18-G19-G20</f>
        <v>2.6147972675971687E-12</v>
      </c>
      <c r="H21" s="30">
        <f t="shared" si="7"/>
        <v>-0.009999999972933438</v>
      </c>
      <c r="I21" s="30">
        <f t="shared" si="7"/>
        <v>1.2732925824820995E-11</v>
      </c>
      <c r="J21" s="30">
        <f t="shared" si="7"/>
        <v>0</v>
      </c>
      <c r="K21" s="30">
        <f t="shared" si="7"/>
        <v>-1.1368683772161603E-13</v>
      </c>
      <c r="L21" s="30">
        <f t="shared" si="7"/>
        <v>2.6645352591003757E-14</v>
      </c>
      <c r="M21" s="30">
        <f t="shared" si="7"/>
        <v>0.009999999999955378</v>
      </c>
      <c r="N21" s="87">
        <f t="shared" si="7"/>
        <v>-0.010000000227591954</v>
      </c>
    </row>
    <row r="23" spans="1:14" ht="12.75">
      <c r="A23" s="31">
        <v>38017</v>
      </c>
      <c r="B23" s="11">
        <f>+'Volumetric old rates'!K64+'Volumetric old rates'!K65+'Volumetric old rates'!K66</f>
        <v>264724.54</v>
      </c>
      <c r="C23" s="11">
        <f>+'Service Charges old rates'!K32+'Service Charges old rates'!K33+'Service Charges old rates'!K34</f>
        <v>359666.16000000003</v>
      </c>
      <c r="D23" s="11">
        <f>+'Volumetric old rates'!K44+'Volumetric old rates'!K45+'Volumetric old rates'!K46+'Volumetric old rates'!K48+'Volumetric old rates'!K49</f>
        <v>39911.810000000005</v>
      </c>
      <c r="E23" s="11">
        <f>+'Service Charges old rates'!K16+'Service Charges old rates'!K17+'Service Charges old rates'!K18+'Service Charges old rates'!K20</f>
        <v>60542.28</v>
      </c>
      <c r="F23" s="11">
        <f>+'Volumetric old rates'!K47</f>
        <v>974.71</v>
      </c>
      <c r="G23" s="11">
        <f>+'Service Charges old rates'!K19</f>
        <v>12584.6</v>
      </c>
      <c r="H23" s="11">
        <f>+'Volumetric old rates'!K85+'Volumetric old rates'!K84+'Volumetric old rates'!K86+'Volumetric old rates'!K87+'Volumetric old rates'!K88+'Volumetric old rates'!K89</f>
        <v>237913.05000000002</v>
      </c>
      <c r="I23" s="11">
        <f>+'Service Charges old rates'!K2+'Service Charges old rates'!K3+'Service Charges old rates'!K4+'Service Charges old rates'!K5+'Service Charges old rates'!K6+'Service Charges old rates'!K7</f>
        <v>124404.20000000001</v>
      </c>
      <c r="J23" s="11">
        <f>+'Volumetric old rates'!K78</f>
        <v>1866.89</v>
      </c>
      <c r="K23" s="11">
        <f>+'Service Charges old rates'!K46</f>
        <v>2543.7</v>
      </c>
      <c r="L23" s="11">
        <f>+'Volumetric old rates'!K2+'Volumetric old rates'!K3+'Volumetric old rates'!K4+'Volumetric old rates'!K5+'Volumetric old rates'!K6+'Volumetric old rates'!K7+'Volumetric old rates'!K8</f>
        <v>146.38</v>
      </c>
      <c r="M23" s="11">
        <f>+'Service Charges old rates'!K52+'Service Charges old rates'!K53+'Service Charges old rates'!K54+'Service Charges old rates'!K55+'Service Charges old rates'!K56+'Service Charges old rates'!K57+'Service Charges old rates'!K58</f>
        <v>239.79000000000002</v>
      </c>
      <c r="N23" s="82">
        <f>SUM(B23:M23)</f>
        <v>1105518.1099999999</v>
      </c>
    </row>
    <row r="24" spans="1:14" ht="12.75">
      <c r="A24" t="s">
        <v>99</v>
      </c>
      <c r="B24" s="13">
        <v>0</v>
      </c>
      <c r="C24" s="13">
        <v>0</v>
      </c>
      <c r="D24" s="14">
        <v>0</v>
      </c>
      <c r="E24" s="14">
        <v>0</v>
      </c>
      <c r="F24" s="14"/>
      <c r="G24" s="14"/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83"/>
    </row>
    <row r="25" spans="1:14" ht="12.75">
      <c r="A25" t="s">
        <v>100</v>
      </c>
      <c r="B25" s="12">
        <f aca="true" t="shared" si="8" ref="B25:M25">+B23+B24</f>
        <v>264724.54</v>
      </c>
      <c r="C25" s="12">
        <f t="shared" si="8"/>
        <v>359666.16000000003</v>
      </c>
      <c r="D25" s="12">
        <f t="shared" si="8"/>
        <v>39911.810000000005</v>
      </c>
      <c r="E25" s="12">
        <f t="shared" si="8"/>
        <v>60542.28</v>
      </c>
      <c r="F25" s="12">
        <f>+F23+F24</f>
        <v>974.71</v>
      </c>
      <c r="G25" s="12">
        <f>+G23+G24</f>
        <v>12584.6</v>
      </c>
      <c r="H25" s="12">
        <f t="shared" si="8"/>
        <v>237913.05000000002</v>
      </c>
      <c r="I25" s="12">
        <f t="shared" si="8"/>
        <v>124404.20000000001</v>
      </c>
      <c r="J25" s="12">
        <f t="shared" si="8"/>
        <v>1866.89</v>
      </c>
      <c r="K25" s="12">
        <f t="shared" si="8"/>
        <v>2543.7</v>
      </c>
      <c r="L25" s="12">
        <f t="shared" si="8"/>
        <v>146.38</v>
      </c>
      <c r="M25" s="12">
        <f t="shared" si="8"/>
        <v>239.79000000000002</v>
      </c>
      <c r="N25" s="82"/>
    </row>
    <row r="27" spans="1:13" ht="12.75">
      <c r="A27" t="s">
        <v>101</v>
      </c>
      <c r="B27" s="12">
        <f aca="true" t="shared" si="9" ref="B27:M27">+B25/B33</f>
        <v>25953386.2745098</v>
      </c>
      <c r="C27" s="12">
        <f t="shared" si="9"/>
        <v>31439.349650349654</v>
      </c>
      <c r="D27" s="12">
        <f t="shared" si="9"/>
        <v>8491874.468085106</v>
      </c>
      <c r="E27" s="12">
        <f t="shared" si="9"/>
        <v>2429.465489566613</v>
      </c>
      <c r="F27" s="12">
        <f t="shared" si="9"/>
        <v>207385.10638297873</v>
      </c>
      <c r="G27" s="12">
        <f t="shared" si="9"/>
        <v>505</v>
      </c>
      <c r="H27" s="12">
        <f t="shared" si="9"/>
        <v>117819.5661863022</v>
      </c>
      <c r="I27" s="12">
        <f t="shared" si="9"/>
        <v>394.6332952670981</v>
      </c>
      <c r="J27" s="12">
        <f t="shared" si="9"/>
        <v>1570.0025229164914</v>
      </c>
      <c r="K27" s="12">
        <f t="shared" si="9"/>
        <v>8479</v>
      </c>
      <c r="L27" s="12">
        <f t="shared" si="9"/>
        <v>145.79681274900398</v>
      </c>
      <c r="M27" s="12">
        <f t="shared" si="9"/>
        <v>773.5161290322582</v>
      </c>
    </row>
    <row r="28" spans="2:13" ht="12.7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.75">
      <c r="A29" t="s">
        <v>102</v>
      </c>
      <c r="B29">
        <f aca="true" t="shared" si="10" ref="B29:M29">B33-SUM(B30:B32)</f>
        <v>0.008468558494684131</v>
      </c>
      <c r="C29">
        <f t="shared" si="10"/>
        <v>9.55964309155355</v>
      </c>
      <c r="D29" s="15">
        <f t="shared" si="10"/>
        <v>0.0037992771375589987</v>
      </c>
      <c r="E29">
        <f t="shared" si="10"/>
        <v>21.08708218640508</v>
      </c>
      <c r="F29">
        <f t="shared" si="10"/>
        <v>0.0037992771375589987</v>
      </c>
      <c r="G29">
        <f t="shared" si="10"/>
        <v>21.08708218640508</v>
      </c>
      <c r="H29">
        <f t="shared" si="10"/>
        <v>1.6737319332604152</v>
      </c>
      <c r="I29">
        <f t="shared" si="10"/>
        <v>265.2229534799843</v>
      </c>
      <c r="J29">
        <f t="shared" si="10"/>
        <v>0.9054152316260093</v>
      </c>
      <c r="K29">
        <f t="shared" si="10"/>
        <v>0.2587681456863579</v>
      </c>
      <c r="L29">
        <f t="shared" si="10"/>
        <v>0.8361010451854844</v>
      </c>
      <c r="M29">
        <f t="shared" si="10"/>
        <v>0.25699301114125417</v>
      </c>
    </row>
    <row r="30" spans="1:13" ht="12.75">
      <c r="A30" t="s">
        <v>103</v>
      </c>
      <c r="B30">
        <v>0.0003616079243880993</v>
      </c>
      <c r="C30" s="16">
        <v>0.3927085937841714</v>
      </c>
      <c r="D30" s="15">
        <v>0.00018811407935885114</v>
      </c>
      <c r="E30" s="16">
        <v>0.8004968407358231</v>
      </c>
      <c r="F30">
        <v>0.00018811407935885114</v>
      </c>
      <c r="G30">
        <v>0.8004968407358231</v>
      </c>
      <c r="H30">
        <v>0.07217116545078593</v>
      </c>
      <c r="I30" s="16">
        <v>10.445955188550439</v>
      </c>
      <c r="J30">
        <v>0.05924696846950266</v>
      </c>
      <c r="K30" s="16">
        <v>0.008611186234852675</v>
      </c>
      <c r="L30" s="17">
        <v>0.035065344322060835</v>
      </c>
      <c r="M30" s="16">
        <v>0.011070398370620899</v>
      </c>
    </row>
    <row r="31" spans="1:13" ht="12.75">
      <c r="A31" t="s">
        <v>104</v>
      </c>
      <c r="B31">
        <v>0.001204240715064637</v>
      </c>
      <c r="C31" s="16">
        <v>1.3078133688329163</v>
      </c>
      <c r="D31" s="15">
        <v>0.0006264647928392694</v>
      </c>
      <c r="E31" s="16">
        <v>2.66584558268717</v>
      </c>
      <c r="F31">
        <v>0.0006264647928392694</v>
      </c>
      <c r="G31">
        <v>2.66584558268717</v>
      </c>
      <c r="H31">
        <v>0.24034721041186058</v>
      </c>
      <c r="I31" s="16">
        <v>34.78752454631531</v>
      </c>
      <c r="J31">
        <v>0.19730654906376266</v>
      </c>
      <c r="K31" s="16">
        <v>0.02867730591513283</v>
      </c>
      <c r="L31">
        <v>0.11677596776077721</v>
      </c>
      <c r="M31" s="16">
        <v>0.03686706941626318</v>
      </c>
    </row>
    <row r="32" spans="1:13" ht="12.75">
      <c r="A32" t="s">
        <v>105</v>
      </c>
      <c r="B32">
        <v>0.00016559286586313236</v>
      </c>
      <c r="C32" s="16">
        <v>0.17983494582936133</v>
      </c>
      <c r="D32" s="18">
        <v>8.614399024288101E-05</v>
      </c>
      <c r="E32" s="16">
        <v>0.3665753901719277</v>
      </c>
      <c r="F32" s="34">
        <v>8.614399024288101E-05</v>
      </c>
      <c r="G32">
        <v>0.3665753901719277</v>
      </c>
      <c r="H32">
        <v>0.033049690876938216</v>
      </c>
      <c r="I32" s="16">
        <v>4.783566785149945</v>
      </c>
      <c r="J32">
        <v>0.027131250840725405</v>
      </c>
      <c r="K32" s="16">
        <v>0.003943362163656555</v>
      </c>
      <c r="L32">
        <v>0.01605764273167756</v>
      </c>
      <c r="M32" s="16">
        <v>0.005069521071861766</v>
      </c>
    </row>
    <row r="33" spans="1:13" ht="12.75">
      <c r="A33" s="19" t="s">
        <v>106</v>
      </c>
      <c r="B33" s="19">
        <v>0.0102</v>
      </c>
      <c r="C33" s="20">
        <v>11.44</v>
      </c>
      <c r="D33" s="19">
        <v>0.0047</v>
      </c>
      <c r="E33" s="21">
        <v>24.92</v>
      </c>
      <c r="F33" s="19">
        <v>0.0047</v>
      </c>
      <c r="G33" s="19">
        <v>24.92</v>
      </c>
      <c r="H33" s="19">
        <v>2.0193</v>
      </c>
      <c r="I33" s="21">
        <v>315.24</v>
      </c>
      <c r="J33" s="19">
        <v>1.1891</v>
      </c>
      <c r="K33" s="21">
        <v>0.3</v>
      </c>
      <c r="L33" s="19">
        <v>1.004</v>
      </c>
      <c r="M33" s="21">
        <v>0.31</v>
      </c>
    </row>
    <row r="34" spans="3:13" ht="12.75">
      <c r="C34" s="16"/>
      <c r="D34" s="18"/>
      <c r="E34" s="16"/>
      <c r="I34" s="16"/>
      <c r="K34" s="16"/>
      <c r="M34" s="16"/>
    </row>
    <row r="35" spans="1:14" ht="12.75">
      <c r="A35" s="22" t="s">
        <v>102</v>
      </c>
      <c r="B35" s="23">
        <f>ROUND(B27*B29,2)</f>
        <v>219787.77</v>
      </c>
      <c r="C35" s="23">
        <f aca="true" t="shared" si="11" ref="C35:M35">ROUND(C27*C29,2)</f>
        <v>300548.96</v>
      </c>
      <c r="D35" s="23">
        <f t="shared" si="11"/>
        <v>32262.98</v>
      </c>
      <c r="E35" s="23">
        <f t="shared" si="11"/>
        <v>51230.34</v>
      </c>
      <c r="F35" s="23">
        <f t="shared" si="11"/>
        <v>787.91</v>
      </c>
      <c r="G35" s="23">
        <f t="shared" si="11"/>
        <v>10648.98</v>
      </c>
      <c r="H35" s="23">
        <f t="shared" si="11"/>
        <v>197198.37</v>
      </c>
      <c r="I35" s="23">
        <f t="shared" si="11"/>
        <v>104665.81</v>
      </c>
      <c r="J35" s="23">
        <f t="shared" si="11"/>
        <v>1421.5</v>
      </c>
      <c r="K35" s="23">
        <f t="shared" si="11"/>
        <v>2194.1</v>
      </c>
      <c r="L35" s="23">
        <f t="shared" si="11"/>
        <v>121.9</v>
      </c>
      <c r="M35" s="23">
        <f t="shared" si="11"/>
        <v>198.79</v>
      </c>
      <c r="N35" s="84">
        <f>SUM(B35:M35)</f>
        <v>921067.4099999999</v>
      </c>
    </row>
    <row r="36" spans="1:14" ht="12.75">
      <c r="A36" s="25" t="s">
        <v>103</v>
      </c>
      <c r="B36" s="26">
        <f aca="true" t="shared" si="12" ref="B36:M36">ROUND(B27*B30,2)</f>
        <v>9384.95</v>
      </c>
      <c r="C36" s="26">
        <f t="shared" si="12"/>
        <v>12346.5</v>
      </c>
      <c r="D36" s="26">
        <f t="shared" si="12"/>
        <v>1597.44</v>
      </c>
      <c r="E36" s="26">
        <f t="shared" si="12"/>
        <v>1944.78</v>
      </c>
      <c r="F36" s="26">
        <f t="shared" si="12"/>
        <v>39.01</v>
      </c>
      <c r="G36" s="26">
        <f t="shared" si="12"/>
        <v>404.25</v>
      </c>
      <c r="H36" s="26">
        <f t="shared" si="12"/>
        <v>8503.18</v>
      </c>
      <c r="I36" s="26">
        <f t="shared" si="12"/>
        <v>4122.32</v>
      </c>
      <c r="J36" s="26">
        <f t="shared" si="12"/>
        <v>93.02</v>
      </c>
      <c r="K36" s="26">
        <f t="shared" si="12"/>
        <v>73.01</v>
      </c>
      <c r="L36" s="26">
        <f t="shared" si="12"/>
        <v>5.11</v>
      </c>
      <c r="M36" s="26">
        <f t="shared" si="12"/>
        <v>8.56</v>
      </c>
      <c r="N36" s="85">
        <f>SUM(B36:M36)</f>
        <v>38522.13</v>
      </c>
    </row>
    <row r="37" spans="1:14" ht="12.75">
      <c r="A37" s="25" t="s">
        <v>104</v>
      </c>
      <c r="B37" s="26">
        <f aca="true" t="shared" si="13" ref="B37:M37">ROUND(B27*B31,2)</f>
        <v>31254.12</v>
      </c>
      <c r="C37" s="26">
        <f t="shared" si="13"/>
        <v>41116.8</v>
      </c>
      <c r="D37" s="26">
        <f t="shared" si="13"/>
        <v>5319.86</v>
      </c>
      <c r="E37" s="26">
        <f t="shared" si="13"/>
        <v>6476.58</v>
      </c>
      <c r="F37" s="26">
        <f t="shared" si="13"/>
        <v>129.92</v>
      </c>
      <c r="G37" s="26">
        <f t="shared" si="13"/>
        <v>1346.25</v>
      </c>
      <c r="H37" s="26">
        <f t="shared" si="13"/>
        <v>28317.6</v>
      </c>
      <c r="I37" s="26">
        <f t="shared" si="13"/>
        <v>13728.32</v>
      </c>
      <c r="J37" s="26">
        <f t="shared" si="13"/>
        <v>309.77</v>
      </c>
      <c r="K37" s="26">
        <f t="shared" si="13"/>
        <v>243.15</v>
      </c>
      <c r="L37" s="26">
        <f t="shared" si="13"/>
        <v>17.03</v>
      </c>
      <c r="M37" s="26">
        <f t="shared" si="13"/>
        <v>28.52</v>
      </c>
      <c r="N37" s="85">
        <f>SUM(B37:M37)</f>
        <v>128287.92000000001</v>
      </c>
    </row>
    <row r="38" spans="1:14" ht="12.75">
      <c r="A38" s="27" t="s">
        <v>105</v>
      </c>
      <c r="B38" s="28">
        <f aca="true" t="shared" si="14" ref="B38:M38">ROUND(B27*B32,2)</f>
        <v>4297.7</v>
      </c>
      <c r="C38" s="28">
        <f t="shared" si="14"/>
        <v>5653.89</v>
      </c>
      <c r="D38" s="28">
        <f t="shared" si="14"/>
        <v>731.52</v>
      </c>
      <c r="E38" s="28">
        <f t="shared" si="14"/>
        <v>890.58</v>
      </c>
      <c r="F38" s="28">
        <f t="shared" si="14"/>
        <v>17.86</v>
      </c>
      <c r="G38" s="28">
        <f t="shared" si="14"/>
        <v>185.12</v>
      </c>
      <c r="H38" s="28">
        <f t="shared" si="14"/>
        <v>3893.9</v>
      </c>
      <c r="I38" s="28">
        <f t="shared" si="14"/>
        <v>1887.75</v>
      </c>
      <c r="J38" s="28">
        <f t="shared" si="14"/>
        <v>42.6</v>
      </c>
      <c r="K38" s="28">
        <f t="shared" si="14"/>
        <v>33.44</v>
      </c>
      <c r="L38" s="28">
        <f t="shared" si="14"/>
        <v>2.34</v>
      </c>
      <c r="M38" s="28">
        <f t="shared" si="14"/>
        <v>3.92</v>
      </c>
      <c r="N38" s="86">
        <f>SUM(B38:M38)</f>
        <v>17640.619999999995</v>
      </c>
    </row>
    <row r="39" spans="1:14" ht="13.5" thickBot="1">
      <c r="A39" s="29"/>
      <c r="B39" s="30">
        <f aca="true" t="shared" si="15" ref="B39:N39">+B23-B35-B36-B37-B38</f>
        <v>0</v>
      </c>
      <c r="C39" s="30">
        <f t="shared" si="15"/>
        <v>0.010000000008403731</v>
      </c>
      <c r="D39" s="30">
        <f t="shared" si="15"/>
        <v>0.0100000000052205</v>
      </c>
      <c r="E39" s="30">
        <f t="shared" si="15"/>
        <v>2.6147972675971687E-12</v>
      </c>
      <c r="F39" s="30">
        <f>+F23-F35-F36-F37-F38</f>
        <v>0.010000000000090381</v>
      </c>
      <c r="G39" s="30">
        <f>+G23-G35-G36-G37-G38</f>
        <v>7.958078640513122E-13</v>
      </c>
      <c r="H39" s="30">
        <f t="shared" si="15"/>
        <v>2.319211489520967E-11</v>
      </c>
      <c r="I39" s="30">
        <f t="shared" si="15"/>
        <v>1.4551915228366852E-11</v>
      </c>
      <c r="J39" s="30">
        <f t="shared" si="15"/>
        <v>1.3500311979441904E-13</v>
      </c>
      <c r="K39" s="30">
        <f t="shared" si="15"/>
        <v>-8.526512829121202E-14</v>
      </c>
      <c r="L39" s="30">
        <f t="shared" si="15"/>
        <v>-1.0658141036401503E-14</v>
      </c>
      <c r="M39" s="30">
        <f t="shared" si="15"/>
        <v>2.6645352591003757E-14</v>
      </c>
      <c r="N39" s="87">
        <f t="shared" si="15"/>
        <v>0.029999999940628186</v>
      </c>
    </row>
    <row r="41" spans="1:14" ht="12.75">
      <c r="A41" s="31">
        <v>38045</v>
      </c>
      <c r="B41" s="11">
        <f>+'Volumetric old rates'!K67+'Volumetric old rates'!K68</f>
        <v>284924.15</v>
      </c>
      <c r="C41" s="11">
        <f>+'Service Charges old rates'!K35+'Service Charges old rates'!K36+'Service Charges old rates'!K37</f>
        <v>359842.57</v>
      </c>
      <c r="D41" s="11">
        <f>+'Volumetric old rates'!K51+'Volumetric old rates'!K52+'Volumetric old rates'!K53</f>
        <v>41813.049999999996</v>
      </c>
      <c r="E41" s="11">
        <f>+'Service Charges old rates'!K22+'Service Charges old rates'!K23+'Service Charges old rates'!K24</f>
        <v>60598.77999999999</v>
      </c>
      <c r="F41" s="11">
        <f>+'Volumetric old rates'!K50</f>
        <v>974.71</v>
      </c>
      <c r="G41" s="11">
        <f>+'Service Charges old rates'!K21</f>
        <v>12564.66</v>
      </c>
      <c r="H41" s="11">
        <f>+'Volumetric old rates'!K90+'Volumetric old rates'!K91</f>
        <v>238288.91999999998</v>
      </c>
      <c r="I41" s="11">
        <f>+'Service Charges old rates'!K8+'Service Charges old rates'!K9</f>
        <v>125349.93000000001</v>
      </c>
      <c r="J41" s="11">
        <f>+'Volumetric old rates'!K79</f>
        <v>1872.83</v>
      </c>
      <c r="K41" s="11">
        <f>+'Service Charges old rates'!K47</f>
        <v>2548.8</v>
      </c>
      <c r="L41" s="11">
        <f>+'Volumetric old rates'!K10+'Volumetric old rates'!K11+'Volumetric old rates'!K12+'Volumetric old rates'!K13+'Volumetric old rates'!K14+'Volumetric old rates'!K15+'Volumetric old rates'!K16+'Volumetric old rates'!K17+'Volumetric old rates'!K18</f>
        <v>132.75999999999996</v>
      </c>
      <c r="M41" s="11">
        <f>+'Service Charges old rates'!K60+'Service Charges old rates'!K61+'Service Charges old rates'!K62+'Service Charges old rates'!K63+'Service Charges old rates'!K64+'Service Charges old rates'!K65+'Service Charges old rates'!K66+'Service Charges old rates'!K67+'Service Charges old rates'!K68</f>
        <v>239.26</v>
      </c>
      <c r="N41" s="82">
        <f>SUM(B41:M41)</f>
        <v>1129150.4200000002</v>
      </c>
    </row>
    <row r="42" spans="1:14" ht="12.75">
      <c r="A42" t="s">
        <v>99</v>
      </c>
      <c r="B42" s="13">
        <v>0</v>
      </c>
      <c r="C42" s="13">
        <v>0</v>
      </c>
      <c r="D42" s="14">
        <v>0</v>
      </c>
      <c r="E42" s="14">
        <v>0</v>
      </c>
      <c r="F42" s="14"/>
      <c r="G42" s="14"/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83"/>
    </row>
    <row r="43" spans="1:14" ht="12.75">
      <c r="A43" t="s">
        <v>100</v>
      </c>
      <c r="B43" s="12">
        <f aca="true" t="shared" si="16" ref="B43:M43">+B41+B42</f>
        <v>284924.15</v>
      </c>
      <c r="C43" s="12">
        <f t="shared" si="16"/>
        <v>359842.57</v>
      </c>
      <c r="D43" s="12">
        <f t="shared" si="16"/>
        <v>41813.049999999996</v>
      </c>
      <c r="E43" s="12">
        <f t="shared" si="16"/>
        <v>60598.77999999999</v>
      </c>
      <c r="F43" s="12">
        <f>+F41+F42</f>
        <v>974.71</v>
      </c>
      <c r="G43" s="12">
        <f>+G41+G42</f>
        <v>12564.66</v>
      </c>
      <c r="H43" s="12">
        <f t="shared" si="16"/>
        <v>238288.91999999998</v>
      </c>
      <c r="I43" s="12">
        <f t="shared" si="16"/>
        <v>125349.93000000001</v>
      </c>
      <c r="J43" s="12">
        <f t="shared" si="16"/>
        <v>1872.83</v>
      </c>
      <c r="K43" s="12">
        <f t="shared" si="16"/>
        <v>2548.8</v>
      </c>
      <c r="L43" s="12">
        <f t="shared" si="16"/>
        <v>132.75999999999996</v>
      </c>
      <c r="M43" s="12">
        <f t="shared" si="16"/>
        <v>239.26</v>
      </c>
      <c r="N43" s="82"/>
    </row>
    <row r="45" spans="1:13" ht="12.75">
      <c r="A45" t="s">
        <v>101</v>
      </c>
      <c r="B45" s="12">
        <f aca="true" t="shared" si="17" ref="B45:M45">+B43/B51</f>
        <v>27933740.19607843</v>
      </c>
      <c r="C45" s="12">
        <f t="shared" si="17"/>
        <v>31454.770104895106</v>
      </c>
      <c r="D45" s="12">
        <f t="shared" si="17"/>
        <v>8896393.617021276</v>
      </c>
      <c r="E45" s="12">
        <f t="shared" si="17"/>
        <v>2431.732744783306</v>
      </c>
      <c r="F45" s="12">
        <f t="shared" si="17"/>
        <v>207385.10638297873</v>
      </c>
      <c r="G45" s="12">
        <f t="shared" si="17"/>
        <v>504.1998394863563</v>
      </c>
      <c r="H45" s="12">
        <f t="shared" si="17"/>
        <v>118005.70494725896</v>
      </c>
      <c r="I45" s="12">
        <f t="shared" si="17"/>
        <v>397.6333269889608</v>
      </c>
      <c r="J45" s="12">
        <f t="shared" si="17"/>
        <v>1574.9978975695904</v>
      </c>
      <c r="K45" s="12">
        <f t="shared" si="17"/>
        <v>8496.000000000002</v>
      </c>
      <c r="L45" s="12">
        <f t="shared" si="17"/>
        <v>132.2310756972111</v>
      </c>
      <c r="M45" s="12">
        <f t="shared" si="17"/>
        <v>771.8064516129032</v>
      </c>
    </row>
    <row r="46" spans="2:13" ht="12.7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2.75">
      <c r="A47" t="s">
        <v>102</v>
      </c>
      <c r="B47">
        <f aca="true" t="shared" si="18" ref="B47:M47">B51-SUM(B48:B50)</f>
        <v>0.008468558494684131</v>
      </c>
      <c r="C47">
        <f t="shared" si="18"/>
        <v>9.55964309155355</v>
      </c>
      <c r="D47" s="15">
        <f t="shared" si="18"/>
        <v>0.0037992771375589987</v>
      </c>
      <c r="E47">
        <f t="shared" si="18"/>
        <v>21.08708218640508</v>
      </c>
      <c r="F47">
        <f t="shared" si="18"/>
        <v>0.0037992771375589987</v>
      </c>
      <c r="G47">
        <f t="shared" si="18"/>
        <v>21.08708218640508</v>
      </c>
      <c r="H47">
        <f t="shared" si="18"/>
        <v>1.6737319332604152</v>
      </c>
      <c r="I47">
        <f t="shared" si="18"/>
        <v>265.2229534799843</v>
      </c>
      <c r="J47">
        <f t="shared" si="18"/>
        <v>0.9054152316260093</v>
      </c>
      <c r="K47">
        <f t="shared" si="18"/>
        <v>0.2587681456863579</v>
      </c>
      <c r="L47">
        <f t="shared" si="18"/>
        <v>0.8361010451854844</v>
      </c>
      <c r="M47">
        <f t="shared" si="18"/>
        <v>0.25699301114125417</v>
      </c>
    </row>
    <row r="48" spans="1:13" ht="12.75">
      <c r="A48" t="s">
        <v>103</v>
      </c>
      <c r="B48">
        <v>0.0003616079243880993</v>
      </c>
      <c r="C48" s="16">
        <v>0.3927085937841714</v>
      </c>
      <c r="D48" s="15">
        <v>0.00018811407935885114</v>
      </c>
      <c r="E48" s="16">
        <v>0.8004968407358231</v>
      </c>
      <c r="F48">
        <v>0.00018811407935885114</v>
      </c>
      <c r="G48">
        <v>0.8004968407358231</v>
      </c>
      <c r="H48">
        <v>0.07217116545078593</v>
      </c>
      <c r="I48" s="16">
        <v>10.445955188550439</v>
      </c>
      <c r="J48">
        <v>0.05924696846950266</v>
      </c>
      <c r="K48" s="16">
        <v>0.008611186234852675</v>
      </c>
      <c r="L48" s="17">
        <v>0.035065344322060835</v>
      </c>
      <c r="M48" s="16">
        <v>0.011070398370620899</v>
      </c>
    </row>
    <row r="49" spans="1:13" ht="12.75">
      <c r="A49" t="s">
        <v>104</v>
      </c>
      <c r="B49">
        <v>0.001204240715064637</v>
      </c>
      <c r="C49" s="16">
        <v>1.3078133688329163</v>
      </c>
      <c r="D49" s="15">
        <v>0.0006264647928392694</v>
      </c>
      <c r="E49" s="16">
        <v>2.66584558268717</v>
      </c>
      <c r="F49">
        <v>0.0006264647928392694</v>
      </c>
      <c r="G49">
        <v>2.66584558268717</v>
      </c>
      <c r="H49">
        <v>0.24034721041186058</v>
      </c>
      <c r="I49" s="16">
        <v>34.78752454631531</v>
      </c>
      <c r="J49">
        <v>0.19730654906376266</v>
      </c>
      <c r="K49" s="16">
        <v>0.02867730591513283</v>
      </c>
      <c r="L49">
        <v>0.11677596776077721</v>
      </c>
      <c r="M49" s="16">
        <v>0.03686706941626318</v>
      </c>
    </row>
    <row r="50" spans="1:13" ht="12.75">
      <c r="A50" t="s">
        <v>105</v>
      </c>
      <c r="B50">
        <v>0.00016559286586313236</v>
      </c>
      <c r="C50" s="16">
        <v>0.17983494582936133</v>
      </c>
      <c r="D50" s="18">
        <v>8.614399024288101E-05</v>
      </c>
      <c r="E50" s="16">
        <v>0.3665753901719277</v>
      </c>
      <c r="F50" s="34">
        <v>8.614399024288101E-05</v>
      </c>
      <c r="G50">
        <v>0.3665753901719277</v>
      </c>
      <c r="H50">
        <v>0.033049690876938216</v>
      </c>
      <c r="I50" s="16">
        <v>4.783566785149945</v>
      </c>
      <c r="J50">
        <v>0.027131250840725405</v>
      </c>
      <c r="K50" s="16">
        <v>0.003943362163656555</v>
      </c>
      <c r="L50">
        <v>0.01605764273167756</v>
      </c>
      <c r="M50" s="16">
        <v>0.005069521071861766</v>
      </c>
    </row>
    <row r="51" spans="1:13" ht="12.75">
      <c r="A51" s="19" t="s">
        <v>106</v>
      </c>
      <c r="B51" s="19">
        <v>0.0102</v>
      </c>
      <c r="C51" s="20">
        <v>11.44</v>
      </c>
      <c r="D51" s="19">
        <v>0.0047</v>
      </c>
      <c r="E51" s="21">
        <v>24.92</v>
      </c>
      <c r="F51" s="19">
        <v>0.0047</v>
      </c>
      <c r="G51" s="19">
        <v>24.92</v>
      </c>
      <c r="H51" s="19">
        <v>2.0193</v>
      </c>
      <c r="I51" s="21">
        <v>315.24</v>
      </c>
      <c r="J51" s="19">
        <v>1.1891</v>
      </c>
      <c r="K51" s="21">
        <v>0.3</v>
      </c>
      <c r="L51" s="19">
        <v>1.004</v>
      </c>
      <c r="M51" s="21">
        <v>0.31</v>
      </c>
    </row>
    <row r="52" spans="3:13" ht="12.75">
      <c r="C52" s="16"/>
      <c r="D52" s="18"/>
      <c r="E52" s="16"/>
      <c r="I52" s="16"/>
      <c r="K52" s="16"/>
      <c r="M52" s="16"/>
    </row>
    <row r="53" spans="1:14" ht="12.75">
      <c r="A53" s="22" t="s">
        <v>102</v>
      </c>
      <c r="B53" s="23">
        <f>ROUND(B45*B47,2)</f>
        <v>236558.51</v>
      </c>
      <c r="C53" s="23">
        <f aca="true" t="shared" si="19" ref="C53:M53">ROUND(C45*C47,2)</f>
        <v>300696.38</v>
      </c>
      <c r="D53" s="23">
        <f t="shared" si="19"/>
        <v>33799.86</v>
      </c>
      <c r="E53" s="23">
        <f t="shared" si="19"/>
        <v>51278.15</v>
      </c>
      <c r="F53" s="23">
        <f t="shared" si="19"/>
        <v>787.91</v>
      </c>
      <c r="G53" s="23">
        <f t="shared" si="19"/>
        <v>10632.1</v>
      </c>
      <c r="H53" s="23">
        <f t="shared" si="19"/>
        <v>197509.92</v>
      </c>
      <c r="I53" s="23">
        <f t="shared" si="19"/>
        <v>105461.49</v>
      </c>
      <c r="J53" s="23">
        <f t="shared" si="19"/>
        <v>1426.03</v>
      </c>
      <c r="K53" s="23">
        <f t="shared" si="19"/>
        <v>2198.49</v>
      </c>
      <c r="L53" s="23">
        <f t="shared" si="19"/>
        <v>110.56</v>
      </c>
      <c r="M53" s="23">
        <f t="shared" si="19"/>
        <v>198.35</v>
      </c>
      <c r="N53" s="84">
        <f>SUM(B53:M53)</f>
        <v>940657.7500000001</v>
      </c>
    </row>
    <row r="54" spans="1:14" ht="12.75">
      <c r="A54" s="25" t="s">
        <v>103</v>
      </c>
      <c r="B54" s="26">
        <f aca="true" t="shared" si="20" ref="B54:M54">ROUND(B45*B48,2)</f>
        <v>10101.06</v>
      </c>
      <c r="C54" s="26">
        <f t="shared" si="20"/>
        <v>12352.56</v>
      </c>
      <c r="D54" s="26">
        <f t="shared" si="20"/>
        <v>1673.54</v>
      </c>
      <c r="E54" s="26">
        <f t="shared" si="20"/>
        <v>1946.59</v>
      </c>
      <c r="F54" s="26">
        <f t="shared" si="20"/>
        <v>39.01</v>
      </c>
      <c r="G54" s="26">
        <f t="shared" si="20"/>
        <v>403.61</v>
      </c>
      <c r="H54" s="26">
        <f t="shared" si="20"/>
        <v>8516.61</v>
      </c>
      <c r="I54" s="26">
        <f t="shared" si="20"/>
        <v>4153.66</v>
      </c>
      <c r="J54" s="26">
        <f t="shared" si="20"/>
        <v>93.31</v>
      </c>
      <c r="K54" s="26">
        <f t="shared" si="20"/>
        <v>73.16</v>
      </c>
      <c r="L54" s="26">
        <f t="shared" si="20"/>
        <v>4.64</v>
      </c>
      <c r="M54" s="26">
        <f t="shared" si="20"/>
        <v>8.54</v>
      </c>
      <c r="N54" s="85">
        <f>SUM(B54:M54)</f>
        <v>39366.29</v>
      </c>
    </row>
    <row r="55" spans="1:14" ht="12.75">
      <c r="A55" s="25" t="s">
        <v>104</v>
      </c>
      <c r="B55" s="26">
        <f aca="true" t="shared" si="21" ref="B55:M55">ROUND(B45*B49,2)</f>
        <v>33638.95</v>
      </c>
      <c r="C55" s="26">
        <f t="shared" si="21"/>
        <v>41136.97</v>
      </c>
      <c r="D55" s="26">
        <f t="shared" si="21"/>
        <v>5573.28</v>
      </c>
      <c r="E55" s="26">
        <f t="shared" si="21"/>
        <v>6482.62</v>
      </c>
      <c r="F55" s="26">
        <f t="shared" si="21"/>
        <v>129.92</v>
      </c>
      <c r="G55" s="26">
        <f t="shared" si="21"/>
        <v>1344.12</v>
      </c>
      <c r="H55" s="26">
        <f t="shared" si="21"/>
        <v>28362.34</v>
      </c>
      <c r="I55" s="26">
        <f t="shared" si="21"/>
        <v>13832.68</v>
      </c>
      <c r="J55" s="26">
        <f t="shared" si="21"/>
        <v>310.76</v>
      </c>
      <c r="K55" s="26">
        <f t="shared" si="21"/>
        <v>243.64</v>
      </c>
      <c r="L55" s="26">
        <f t="shared" si="21"/>
        <v>15.44</v>
      </c>
      <c r="M55" s="26">
        <f t="shared" si="21"/>
        <v>28.45</v>
      </c>
      <c r="N55" s="85">
        <f>SUM(B55:M55)</f>
        <v>131099.16999999998</v>
      </c>
    </row>
    <row r="56" spans="1:14" ht="12.75">
      <c r="A56" s="27" t="s">
        <v>105</v>
      </c>
      <c r="B56" s="28">
        <f aca="true" t="shared" si="22" ref="B56:M56">ROUND(B45*B50,2)</f>
        <v>4625.63</v>
      </c>
      <c r="C56" s="28">
        <f t="shared" si="22"/>
        <v>5656.67</v>
      </c>
      <c r="D56" s="28">
        <f t="shared" si="22"/>
        <v>766.37</v>
      </c>
      <c r="E56" s="28">
        <f t="shared" si="22"/>
        <v>891.41</v>
      </c>
      <c r="F56" s="28">
        <f t="shared" si="22"/>
        <v>17.86</v>
      </c>
      <c r="G56" s="28">
        <f t="shared" si="22"/>
        <v>184.83</v>
      </c>
      <c r="H56" s="28">
        <f t="shared" si="22"/>
        <v>3900.05</v>
      </c>
      <c r="I56" s="28">
        <f t="shared" si="22"/>
        <v>1902.11</v>
      </c>
      <c r="J56" s="28">
        <f t="shared" si="22"/>
        <v>42.73</v>
      </c>
      <c r="K56" s="28">
        <f t="shared" si="22"/>
        <v>33.5</v>
      </c>
      <c r="L56" s="28">
        <f t="shared" si="22"/>
        <v>2.12</v>
      </c>
      <c r="M56" s="28">
        <f t="shared" si="22"/>
        <v>3.91</v>
      </c>
      <c r="N56" s="86">
        <f>SUM(B56:M56)</f>
        <v>18027.19</v>
      </c>
    </row>
    <row r="57" spans="1:14" ht="13.5" thickBot="1">
      <c r="A57" s="29"/>
      <c r="B57" s="30">
        <f aca="true" t="shared" si="23" ref="B57:N57">+B41-B53-B54-B55-B56</f>
        <v>1.9099388737231493E-11</v>
      </c>
      <c r="C57" s="30">
        <f t="shared" si="23"/>
        <v>-0.0099999999965803</v>
      </c>
      <c r="D57" s="30">
        <f t="shared" si="23"/>
        <v>-4.661160346586257E-12</v>
      </c>
      <c r="E57" s="30">
        <f t="shared" si="23"/>
        <v>0.00999999999010015</v>
      </c>
      <c r="F57" s="30">
        <f>+F41-F53-F54-F55-F56</f>
        <v>0.010000000000090381</v>
      </c>
      <c r="G57" s="30">
        <f>+G41-G53-G54-G55-G56</f>
        <v>-5.400124791776761E-13</v>
      </c>
      <c r="H57" s="30">
        <f t="shared" si="23"/>
        <v>-3.001332515850663E-11</v>
      </c>
      <c r="I57" s="30">
        <f t="shared" si="23"/>
        <v>-0.009999999997717168</v>
      </c>
      <c r="J57" s="30">
        <f t="shared" si="23"/>
        <v>0</v>
      </c>
      <c r="K57" s="30">
        <f t="shared" si="23"/>
        <v>0.010000000000445652</v>
      </c>
      <c r="L57" s="30">
        <f t="shared" si="23"/>
        <v>-3.9968028886505635E-14</v>
      </c>
      <c r="M57" s="30">
        <f t="shared" si="23"/>
        <v>0.00999999999999801</v>
      </c>
      <c r="N57" s="87">
        <f t="shared" si="23"/>
        <v>0.02000000005136826</v>
      </c>
    </row>
    <row r="59" spans="1:14" ht="12.75">
      <c r="A59" s="31">
        <v>38077</v>
      </c>
      <c r="B59" s="11">
        <f>+'Volumetric old rates'!K69+'Volumetric old rates'!K70</f>
        <v>244373.63</v>
      </c>
      <c r="C59" s="11">
        <f>+'Service Charges old rates'!K38+'Service Charges old rates'!K39+'Service Charges old rates'!K40</f>
        <v>361885.5</v>
      </c>
      <c r="D59" s="11">
        <f>+'Volumetric old rates'!K55</f>
        <v>38536.28</v>
      </c>
      <c r="E59" s="11">
        <f>+'Service Charges old rates'!K26</f>
        <v>60950.19</v>
      </c>
      <c r="F59" s="11">
        <f>+'Volumetric old rates'!K54</f>
        <v>974.71</v>
      </c>
      <c r="G59" s="11">
        <f>+'Service Charges old rates'!K25</f>
        <v>12602.87</v>
      </c>
      <c r="H59" s="11">
        <f>+'Volumetric old rates'!K92+'Volumetric old rates'!K93</f>
        <v>236637.73</v>
      </c>
      <c r="I59" s="11">
        <f>+'Service Charges old rates'!K10+'Service Charges old rates'!K11</f>
        <v>125497.04</v>
      </c>
      <c r="J59" s="11">
        <f>+'Volumetric old rates'!K80</f>
        <v>1872.83</v>
      </c>
      <c r="K59" s="11">
        <f>+'Service Charges old rates'!K48</f>
        <v>2548.8</v>
      </c>
      <c r="L59" s="11">
        <f>+'Volumetric old rates'!K20+'Volumetric old rates'!K21+'Volumetric old rates'!K22+'Volumetric old rates'!K23+'Volumetric old rates'!K24+'Volumetric old rates'!K25+'Volumetric old rates'!K26</f>
        <v>132.45999999999998</v>
      </c>
      <c r="M59" s="11">
        <f>+'Service Charges old rates'!K70+'Service Charges old rates'!K71+'Service Charges old rates'!K72+'Service Charges old rates'!K73+'Service Charges old rates'!K74+'Service Charges old rates'!K75+'Service Charges old rates'!K76</f>
        <v>239.04</v>
      </c>
      <c r="N59" s="82">
        <f>SUM(B59:M59)</f>
        <v>1086251.08</v>
      </c>
    </row>
    <row r="60" spans="1:14" ht="12.75">
      <c r="A60" t="s">
        <v>99</v>
      </c>
      <c r="B60" s="13">
        <v>0</v>
      </c>
      <c r="C60" s="13">
        <v>0</v>
      </c>
      <c r="D60" s="14">
        <v>0</v>
      </c>
      <c r="E60" s="14">
        <v>0</v>
      </c>
      <c r="F60" s="14"/>
      <c r="G60" s="14"/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83"/>
    </row>
    <row r="61" spans="1:14" ht="12.75">
      <c r="A61" t="s">
        <v>100</v>
      </c>
      <c r="B61" s="12">
        <f aca="true" t="shared" si="24" ref="B61:M61">+B59+B60</f>
        <v>244373.63</v>
      </c>
      <c r="C61" s="12">
        <f t="shared" si="24"/>
        <v>361885.5</v>
      </c>
      <c r="D61" s="12">
        <f t="shared" si="24"/>
        <v>38536.28</v>
      </c>
      <c r="E61" s="12">
        <f t="shared" si="24"/>
        <v>60950.19</v>
      </c>
      <c r="F61" s="12">
        <f>+F59+F60</f>
        <v>974.71</v>
      </c>
      <c r="G61" s="12">
        <f>+G59+G60</f>
        <v>12602.87</v>
      </c>
      <c r="H61" s="12">
        <f t="shared" si="24"/>
        <v>236637.73</v>
      </c>
      <c r="I61" s="12">
        <f t="shared" si="24"/>
        <v>125497.04</v>
      </c>
      <c r="J61" s="12">
        <f t="shared" si="24"/>
        <v>1872.83</v>
      </c>
      <c r="K61" s="12">
        <f t="shared" si="24"/>
        <v>2548.8</v>
      </c>
      <c r="L61" s="12">
        <f t="shared" si="24"/>
        <v>132.45999999999998</v>
      </c>
      <c r="M61" s="12">
        <f t="shared" si="24"/>
        <v>239.04</v>
      </c>
      <c r="N61" s="82"/>
    </row>
    <row r="63" spans="1:13" ht="12.75">
      <c r="A63" t="s">
        <v>101</v>
      </c>
      <c r="B63" s="12">
        <f aca="true" t="shared" si="25" ref="B63:M63">+B61/B69</f>
        <v>23958199.019607842</v>
      </c>
      <c r="C63" s="12">
        <f t="shared" si="25"/>
        <v>31633.347902097903</v>
      </c>
      <c r="D63" s="12">
        <f t="shared" si="25"/>
        <v>8199208.510638298</v>
      </c>
      <c r="E63" s="12">
        <f t="shared" si="25"/>
        <v>2445.834269662921</v>
      </c>
      <c r="F63" s="12">
        <f t="shared" si="25"/>
        <v>207385.10638297873</v>
      </c>
      <c r="G63" s="12">
        <f t="shared" si="25"/>
        <v>505.7331460674157</v>
      </c>
      <c r="H63" s="12">
        <f t="shared" si="25"/>
        <v>117188.00079235379</v>
      </c>
      <c r="I63" s="12">
        <f t="shared" si="25"/>
        <v>398.0999873112549</v>
      </c>
      <c r="J63" s="12">
        <f t="shared" si="25"/>
        <v>1574.9978975695904</v>
      </c>
      <c r="K63" s="12">
        <f t="shared" si="25"/>
        <v>8496.000000000002</v>
      </c>
      <c r="L63" s="12">
        <f t="shared" si="25"/>
        <v>131.93227091633463</v>
      </c>
      <c r="M63" s="12">
        <f t="shared" si="25"/>
        <v>771.0967741935484</v>
      </c>
    </row>
    <row r="64" spans="2:13" ht="12.7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2.75">
      <c r="A65" t="s">
        <v>102</v>
      </c>
      <c r="B65">
        <f aca="true" t="shared" si="26" ref="B65:M65">B69-SUM(B66:B68)</f>
        <v>0.008468558494684131</v>
      </c>
      <c r="C65">
        <f t="shared" si="26"/>
        <v>9.55964309155355</v>
      </c>
      <c r="D65" s="15">
        <f t="shared" si="26"/>
        <v>0.0037992771375589987</v>
      </c>
      <c r="E65">
        <f t="shared" si="26"/>
        <v>21.08708218640508</v>
      </c>
      <c r="F65">
        <f t="shared" si="26"/>
        <v>0.0037992771375589987</v>
      </c>
      <c r="G65">
        <f t="shared" si="26"/>
        <v>21.08708218640508</v>
      </c>
      <c r="H65">
        <f t="shared" si="26"/>
        <v>1.6737319332604152</v>
      </c>
      <c r="I65">
        <f t="shared" si="26"/>
        <v>265.2229534799843</v>
      </c>
      <c r="J65">
        <f t="shared" si="26"/>
        <v>0.9054152316260093</v>
      </c>
      <c r="K65">
        <f t="shared" si="26"/>
        <v>0.2587681456863579</v>
      </c>
      <c r="L65">
        <f t="shared" si="26"/>
        <v>0.8361010451854844</v>
      </c>
      <c r="M65">
        <f t="shared" si="26"/>
        <v>0.25699301114125417</v>
      </c>
    </row>
    <row r="66" spans="1:13" ht="12.75">
      <c r="A66" t="s">
        <v>103</v>
      </c>
      <c r="B66">
        <v>0.0003616079243880993</v>
      </c>
      <c r="C66" s="16">
        <v>0.3927085937841714</v>
      </c>
      <c r="D66" s="15">
        <v>0.00018811407935885114</v>
      </c>
      <c r="E66" s="16">
        <v>0.8004968407358231</v>
      </c>
      <c r="F66">
        <v>0.00018811407935885114</v>
      </c>
      <c r="G66">
        <v>0.8004968407358231</v>
      </c>
      <c r="H66">
        <v>0.07217116545078593</v>
      </c>
      <c r="I66" s="16">
        <v>10.445955188550439</v>
      </c>
      <c r="J66">
        <v>0.05924696846950266</v>
      </c>
      <c r="K66" s="16">
        <v>0.008611186234852675</v>
      </c>
      <c r="L66" s="17">
        <v>0.035065344322060835</v>
      </c>
      <c r="M66" s="16">
        <v>0.011070398370620899</v>
      </c>
    </row>
    <row r="67" spans="1:13" ht="12.75">
      <c r="A67" t="s">
        <v>104</v>
      </c>
      <c r="B67">
        <v>0.001204240715064637</v>
      </c>
      <c r="C67" s="16">
        <v>1.3078133688329163</v>
      </c>
      <c r="D67" s="15">
        <v>0.0006264647928392694</v>
      </c>
      <c r="E67" s="16">
        <v>2.66584558268717</v>
      </c>
      <c r="F67">
        <v>0.0006264647928392694</v>
      </c>
      <c r="G67">
        <v>2.66584558268717</v>
      </c>
      <c r="H67">
        <v>0.24034721041186058</v>
      </c>
      <c r="I67" s="16">
        <v>34.78752454631531</v>
      </c>
      <c r="J67">
        <v>0.19730654906376266</v>
      </c>
      <c r="K67" s="16">
        <v>0.02867730591513283</v>
      </c>
      <c r="L67">
        <v>0.11677596776077721</v>
      </c>
      <c r="M67" s="16">
        <v>0.03686706941626318</v>
      </c>
    </row>
    <row r="68" spans="1:13" ht="12.75">
      <c r="A68" t="s">
        <v>105</v>
      </c>
      <c r="B68">
        <v>0.00016559286586313236</v>
      </c>
      <c r="C68" s="16">
        <v>0.17983494582936133</v>
      </c>
      <c r="D68" s="18">
        <v>8.614399024288101E-05</v>
      </c>
      <c r="E68" s="16">
        <v>0.3665753901719277</v>
      </c>
      <c r="F68" s="34">
        <v>8.614399024288101E-05</v>
      </c>
      <c r="G68">
        <v>0.3665753901719277</v>
      </c>
      <c r="H68">
        <v>0.033049690876938216</v>
      </c>
      <c r="I68" s="16">
        <v>4.783566785149945</v>
      </c>
      <c r="J68">
        <v>0.027131250840725405</v>
      </c>
      <c r="K68" s="16">
        <v>0.003943362163656555</v>
      </c>
      <c r="L68">
        <v>0.01605764273167756</v>
      </c>
      <c r="M68" s="16">
        <v>0.005069521071861766</v>
      </c>
    </row>
    <row r="69" spans="1:13" ht="12.75">
      <c r="A69" s="19" t="s">
        <v>106</v>
      </c>
      <c r="B69" s="19">
        <v>0.0102</v>
      </c>
      <c r="C69" s="20">
        <v>11.44</v>
      </c>
      <c r="D69" s="19">
        <v>0.0047</v>
      </c>
      <c r="E69" s="21">
        <v>24.92</v>
      </c>
      <c r="F69" s="19">
        <v>0.0047</v>
      </c>
      <c r="G69" s="19">
        <v>24.92</v>
      </c>
      <c r="H69" s="19">
        <v>2.0193</v>
      </c>
      <c r="I69" s="21">
        <v>315.24</v>
      </c>
      <c r="J69" s="19">
        <v>1.1891</v>
      </c>
      <c r="K69" s="21">
        <v>0.3</v>
      </c>
      <c r="L69" s="19">
        <v>1.004</v>
      </c>
      <c r="M69" s="21">
        <v>0.31</v>
      </c>
    </row>
    <row r="70" spans="3:13" ht="12.75">
      <c r="C70" s="16"/>
      <c r="D70" s="18"/>
      <c r="E70" s="16"/>
      <c r="I70" s="16"/>
      <c r="K70" s="16"/>
      <c r="M70" s="16"/>
    </row>
    <row r="71" spans="1:14" ht="12.75">
      <c r="A71" s="22" t="s">
        <v>102</v>
      </c>
      <c r="B71" s="23">
        <f>ROUND(B63*B65,2)</f>
        <v>202891.41</v>
      </c>
      <c r="C71" s="23">
        <f aca="true" t="shared" si="27" ref="C71:M71">ROUND(C63*C65,2)</f>
        <v>302403.52</v>
      </c>
      <c r="D71" s="23">
        <f t="shared" si="27"/>
        <v>31151.07</v>
      </c>
      <c r="E71" s="23">
        <f t="shared" si="27"/>
        <v>51575.51</v>
      </c>
      <c r="F71" s="23">
        <f t="shared" si="27"/>
        <v>787.91</v>
      </c>
      <c r="G71" s="23">
        <f t="shared" si="27"/>
        <v>10664.44</v>
      </c>
      <c r="H71" s="23">
        <f t="shared" si="27"/>
        <v>196141.3</v>
      </c>
      <c r="I71" s="23">
        <f t="shared" si="27"/>
        <v>105585.25</v>
      </c>
      <c r="J71" s="23">
        <f t="shared" si="27"/>
        <v>1426.03</v>
      </c>
      <c r="K71" s="23">
        <f t="shared" si="27"/>
        <v>2198.49</v>
      </c>
      <c r="L71" s="23">
        <f t="shared" si="27"/>
        <v>110.31</v>
      </c>
      <c r="M71" s="23">
        <f t="shared" si="27"/>
        <v>198.17</v>
      </c>
      <c r="N71" s="84">
        <f>SUM(B71:M71)</f>
        <v>905133.41</v>
      </c>
    </row>
    <row r="72" spans="1:14" ht="12.75">
      <c r="A72" s="25" t="s">
        <v>103</v>
      </c>
      <c r="B72" s="26">
        <f aca="true" t="shared" si="28" ref="B72:M72">ROUND(B63*B66,2)</f>
        <v>8663.47</v>
      </c>
      <c r="C72" s="26">
        <f t="shared" si="28"/>
        <v>12422.69</v>
      </c>
      <c r="D72" s="26">
        <f t="shared" si="28"/>
        <v>1542.39</v>
      </c>
      <c r="E72" s="26">
        <f t="shared" si="28"/>
        <v>1957.88</v>
      </c>
      <c r="F72" s="26">
        <f t="shared" si="28"/>
        <v>39.01</v>
      </c>
      <c r="G72" s="26">
        <f t="shared" si="28"/>
        <v>404.84</v>
      </c>
      <c r="H72" s="26">
        <f t="shared" si="28"/>
        <v>8457.59</v>
      </c>
      <c r="I72" s="26">
        <f t="shared" si="28"/>
        <v>4158.53</v>
      </c>
      <c r="J72" s="26">
        <f t="shared" si="28"/>
        <v>93.31</v>
      </c>
      <c r="K72" s="26">
        <f t="shared" si="28"/>
        <v>73.16</v>
      </c>
      <c r="L72" s="26">
        <f t="shared" si="28"/>
        <v>4.63</v>
      </c>
      <c r="M72" s="26">
        <f t="shared" si="28"/>
        <v>8.54</v>
      </c>
      <c r="N72" s="85">
        <f>SUM(B72:M72)</f>
        <v>37826.03999999999</v>
      </c>
    </row>
    <row r="73" spans="1:14" ht="12.75">
      <c r="A73" s="25" t="s">
        <v>104</v>
      </c>
      <c r="B73" s="26">
        <f aca="true" t="shared" si="29" ref="B73:M73">ROUND(B63*B67,2)</f>
        <v>28851.44</v>
      </c>
      <c r="C73" s="26">
        <f t="shared" si="29"/>
        <v>41370.52</v>
      </c>
      <c r="D73" s="26">
        <f t="shared" si="29"/>
        <v>5136.52</v>
      </c>
      <c r="E73" s="26">
        <f t="shared" si="29"/>
        <v>6520.22</v>
      </c>
      <c r="F73" s="26">
        <f t="shared" si="29"/>
        <v>129.92</v>
      </c>
      <c r="G73" s="26">
        <f t="shared" si="29"/>
        <v>1348.21</v>
      </c>
      <c r="H73" s="26">
        <f t="shared" si="29"/>
        <v>28165.81</v>
      </c>
      <c r="I73" s="26">
        <f t="shared" si="29"/>
        <v>13848.91</v>
      </c>
      <c r="J73" s="26">
        <f t="shared" si="29"/>
        <v>310.76</v>
      </c>
      <c r="K73" s="26">
        <f t="shared" si="29"/>
        <v>243.64</v>
      </c>
      <c r="L73" s="26">
        <f t="shared" si="29"/>
        <v>15.41</v>
      </c>
      <c r="M73" s="26">
        <f t="shared" si="29"/>
        <v>28.43</v>
      </c>
      <c r="N73" s="85">
        <f>SUM(B73:M73)</f>
        <v>125969.79</v>
      </c>
    </row>
    <row r="74" spans="1:14" ht="12.75">
      <c r="A74" s="27" t="s">
        <v>105</v>
      </c>
      <c r="B74" s="28">
        <f aca="true" t="shared" si="30" ref="B74:M74">ROUND(B63*B68,2)</f>
        <v>3967.31</v>
      </c>
      <c r="C74" s="28">
        <f t="shared" si="30"/>
        <v>5688.78</v>
      </c>
      <c r="D74" s="28">
        <f t="shared" si="30"/>
        <v>706.31</v>
      </c>
      <c r="E74" s="28">
        <f t="shared" si="30"/>
        <v>896.58</v>
      </c>
      <c r="F74" s="28">
        <f t="shared" si="30"/>
        <v>17.86</v>
      </c>
      <c r="G74" s="28">
        <f t="shared" si="30"/>
        <v>185.39</v>
      </c>
      <c r="H74" s="28">
        <f t="shared" si="30"/>
        <v>3873.03</v>
      </c>
      <c r="I74" s="28">
        <f t="shared" si="30"/>
        <v>1904.34</v>
      </c>
      <c r="J74" s="28">
        <f t="shared" si="30"/>
        <v>42.73</v>
      </c>
      <c r="K74" s="28">
        <f t="shared" si="30"/>
        <v>33.5</v>
      </c>
      <c r="L74" s="28">
        <f t="shared" si="30"/>
        <v>2.12</v>
      </c>
      <c r="M74" s="28">
        <f t="shared" si="30"/>
        <v>3.91</v>
      </c>
      <c r="N74" s="86">
        <f>SUM(B74:M74)</f>
        <v>17321.859999999997</v>
      </c>
    </row>
    <row r="75" spans="1:14" ht="13.5" thickBot="1">
      <c r="A75" s="29"/>
      <c r="B75" s="30">
        <f aca="true" t="shared" si="31" ref="B75:N75">+B59-B71-B72-B73-B74</f>
        <v>0</v>
      </c>
      <c r="C75" s="30">
        <f t="shared" si="31"/>
        <v>-0.010000000017498678</v>
      </c>
      <c r="D75" s="30">
        <f t="shared" si="31"/>
        <v>-0.01000000000158252</v>
      </c>
      <c r="E75" s="30">
        <f t="shared" si="31"/>
        <v>0</v>
      </c>
      <c r="F75" s="30">
        <f>+F59-F71-F72-F73-F74</f>
        <v>0.010000000000090381</v>
      </c>
      <c r="G75" s="30">
        <f>+G59-G71-G72-G73-G74</f>
        <v>-0.009999999999649845</v>
      </c>
      <c r="H75" s="30">
        <f t="shared" si="31"/>
        <v>2.0463630789890885E-11</v>
      </c>
      <c r="I75" s="30">
        <f t="shared" si="31"/>
        <v>0.009999999994988684</v>
      </c>
      <c r="J75" s="30">
        <f t="shared" si="31"/>
        <v>0</v>
      </c>
      <c r="K75" s="30">
        <f t="shared" si="31"/>
        <v>0.010000000000445652</v>
      </c>
      <c r="L75" s="30">
        <f t="shared" si="31"/>
        <v>-0.010000000000021991</v>
      </c>
      <c r="M75" s="30">
        <f t="shared" si="31"/>
        <v>-0.009999999999994458</v>
      </c>
      <c r="N75" s="87">
        <f t="shared" si="31"/>
        <v>-0.01999999992767698</v>
      </c>
    </row>
    <row r="77" spans="1:14" ht="12.75">
      <c r="A77" s="31">
        <v>38107</v>
      </c>
      <c r="B77" s="11">
        <f>+'Volumetric old rates'!K71+'Volumetric old rates'!K72</f>
        <v>214794.05000000002</v>
      </c>
      <c r="C77" s="11">
        <f>+'Service Charges old rates'!K41+'Service Charges old rates'!K42+'Service Charges old rates'!K43</f>
        <v>180108.26499999998</v>
      </c>
      <c r="D77" s="11">
        <f>+'Volumetric old rates'!K57+'Volumetric old rates'!K58</f>
        <v>38352.35</v>
      </c>
      <c r="E77" s="11">
        <f>+'Service Charges old rates'!K28+'Service Charges old rates'!K29</f>
        <v>30428.954999999998</v>
      </c>
      <c r="F77" s="11">
        <f>+'Volumetric old rates'!K56</f>
        <v>1100.3</v>
      </c>
      <c r="G77" s="11">
        <f>+'Service Charges old rates'!K27</f>
        <v>6293.13</v>
      </c>
      <c r="H77" s="11">
        <f>+'Volumetric old rates'!K94+'Volumetric old rates'!K95</f>
        <v>232269.22999999998</v>
      </c>
      <c r="I77" s="11">
        <f>+'Service Charges old rates'!K12+'Service Charges old rates'!K13</f>
        <v>60836.075</v>
      </c>
      <c r="J77" s="11">
        <f>+'Volumetric old rates'!K81</f>
        <v>1852.62</v>
      </c>
      <c r="K77" s="11">
        <f>+'Service Charges old rates'!K49</f>
        <v>1259.85</v>
      </c>
      <c r="L77" s="11">
        <f>+'Volumetric old rates'!K28+'Volumetric old rates'!K29+'Volumetric old rates'!K30+'Volumetric old rates'!K31+'Volumetric old rates'!K32+'Volumetric old rates'!K33+'Volumetric old rates'!K34+'Volumetric old rates'!K35</f>
        <v>122.73000000000002</v>
      </c>
      <c r="M77" s="11">
        <f>+'Service Charges old rates'!K78+'Service Charges old rates'!K79+'Service Charges old rates'!K80+'Service Charges old rates'!K81+'Service Charges old rates'!K82+'Service Charges old rates'!K83+'Service Charges old rates'!K84+'Service Charges old rates'!K85</f>
        <v>118.41999999999999</v>
      </c>
      <c r="N77" s="82">
        <f>SUM(B77:M77)</f>
        <v>767535.975</v>
      </c>
    </row>
    <row r="78" spans="1:14" ht="12.75">
      <c r="A78" t="s">
        <v>99</v>
      </c>
      <c r="B78" s="13">
        <v>0</v>
      </c>
      <c r="C78" s="13">
        <v>0</v>
      </c>
      <c r="D78" s="14">
        <v>0</v>
      </c>
      <c r="E78" s="14">
        <v>0</v>
      </c>
      <c r="F78" s="14"/>
      <c r="G78" s="14"/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83"/>
    </row>
    <row r="79" spans="1:14" ht="12.75">
      <c r="A79" t="s">
        <v>100</v>
      </c>
      <c r="B79" s="12">
        <f aca="true" t="shared" si="32" ref="B79:M79">+B77+B78</f>
        <v>214794.05000000002</v>
      </c>
      <c r="C79" s="12">
        <f t="shared" si="32"/>
        <v>180108.26499999998</v>
      </c>
      <c r="D79" s="12">
        <f t="shared" si="32"/>
        <v>38352.35</v>
      </c>
      <c r="E79" s="12">
        <f t="shared" si="32"/>
        <v>30428.954999999998</v>
      </c>
      <c r="F79" s="12">
        <f>+F77+F78</f>
        <v>1100.3</v>
      </c>
      <c r="G79" s="12">
        <f>+G77+G78</f>
        <v>6293.13</v>
      </c>
      <c r="H79" s="12">
        <f t="shared" si="32"/>
        <v>232269.22999999998</v>
      </c>
      <c r="I79" s="12">
        <f t="shared" si="32"/>
        <v>60836.075</v>
      </c>
      <c r="J79" s="12">
        <f t="shared" si="32"/>
        <v>1852.62</v>
      </c>
      <c r="K79" s="12">
        <f t="shared" si="32"/>
        <v>1259.85</v>
      </c>
      <c r="L79" s="12">
        <f t="shared" si="32"/>
        <v>122.73000000000002</v>
      </c>
      <c r="M79" s="12">
        <f t="shared" si="32"/>
        <v>118.41999999999999</v>
      </c>
      <c r="N79" s="82"/>
    </row>
    <row r="81" spans="1:13" ht="12.75">
      <c r="A81" t="s">
        <v>101</v>
      </c>
      <c r="B81" s="12">
        <f aca="true" t="shared" si="33" ref="B81:M81">+B79/B87</f>
        <v>21058240.19607843</v>
      </c>
      <c r="C81" s="12">
        <f t="shared" si="33"/>
        <v>15743.729458041957</v>
      </c>
      <c r="D81" s="12">
        <f t="shared" si="33"/>
        <v>8160074.4680851055</v>
      </c>
      <c r="E81" s="12">
        <f t="shared" si="33"/>
        <v>1221.0656099518458</v>
      </c>
      <c r="F81" s="12">
        <f t="shared" si="33"/>
        <v>234106.38297872338</v>
      </c>
      <c r="G81" s="12">
        <f t="shared" si="33"/>
        <v>252.53330658105938</v>
      </c>
      <c r="H81" s="12">
        <f t="shared" si="33"/>
        <v>115024.62734611004</v>
      </c>
      <c r="I81" s="12">
        <f t="shared" si="33"/>
        <v>192.98336188300976</v>
      </c>
      <c r="J81" s="12">
        <f t="shared" si="33"/>
        <v>1558.0018501387603</v>
      </c>
      <c r="K81" s="12">
        <f t="shared" si="33"/>
        <v>4199.5</v>
      </c>
      <c r="L81" s="12">
        <f t="shared" si="33"/>
        <v>122.24103585657372</v>
      </c>
      <c r="M81" s="12">
        <f t="shared" si="33"/>
        <v>381.99999999999994</v>
      </c>
    </row>
    <row r="82" spans="2:13" ht="12.7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12.75">
      <c r="A83" t="s">
        <v>102</v>
      </c>
      <c r="B83">
        <f aca="true" t="shared" si="34" ref="B83:M83">B87-SUM(B84:B86)</f>
        <v>0.008468558494684131</v>
      </c>
      <c r="C83">
        <f t="shared" si="34"/>
        <v>9.55964309155355</v>
      </c>
      <c r="D83" s="15">
        <f t="shared" si="34"/>
        <v>0.0037992771375589987</v>
      </c>
      <c r="E83">
        <f t="shared" si="34"/>
        <v>21.08708218640508</v>
      </c>
      <c r="F83">
        <f t="shared" si="34"/>
        <v>0.0037992771375589987</v>
      </c>
      <c r="G83">
        <f t="shared" si="34"/>
        <v>21.08708218640508</v>
      </c>
      <c r="H83">
        <f t="shared" si="34"/>
        <v>1.6737319332604152</v>
      </c>
      <c r="I83">
        <f t="shared" si="34"/>
        <v>265.2229534799843</v>
      </c>
      <c r="J83">
        <f t="shared" si="34"/>
        <v>0.9054152316260093</v>
      </c>
      <c r="K83">
        <f t="shared" si="34"/>
        <v>0.2587681456863579</v>
      </c>
      <c r="L83">
        <f t="shared" si="34"/>
        <v>0.8361010451854844</v>
      </c>
      <c r="M83">
        <f t="shared" si="34"/>
        <v>0.25699301114125417</v>
      </c>
    </row>
    <row r="84" spans="1:13" ht="12.75">
      <c r="A84" t="s">
        <v>103</v>
      </c>
      <c r="B84">
        <v>0.0003616079243880993</v>
      </c>
      <c r="C84" s="16">
        <v>0.3927085937841714</v>
      </c>
      <c r="D84" s="15">
        <v>0.00018811407935885114</v>
      </c>
      <c r="E84" s="16">
        <v>0.8004968407358231</v>
      </c>
      <c r="F84">
        <v>0.00018811407935885114</v>
      </c>
      <c r="G84">
        <v>0.8004968407358231</v>
      </c>
      <c r="H84">
        <v>0.07217116545078593</v>
      </c>
      <c r="I84" s="16">
        <v>10.445955188550439</v>
      </c>
      <c r="J84">
        <v>0.05924696846950266</v>
      </c>
      <c r="K84" s="16">
        <v>0.008611186234852675</v>
      </c>
      <c r="L84" s="17">
        <v>0.035065344322060835</v>
      </c>
      <c r="M84" s="16">
        <v>0.011070398370620899</v>
      </c>
    </row>
    <row r="85" spans="1:13" ht="12.75">
      <c r="A85" t="s">
        <v>104</v>
      </c>
      <c r="B85">
        <v>0.001204240715064637</v>
      </c>
      <c r="C85" s="16">
        <v>1.3078133688329163</v>
      </c>
      <c r="D85" s="15">
        <v>0.0006264647928392694</v>
      </c>
      <c r="E85" s="16">
        <v>2.66584558268717</v>
      </c>
      <c r="F85">
        <v>0.0006264647928392694</v>
      </c>
      <c r="G85">
        <v>2.66584558268717</v>
      </c>
      <c r="H85">
        <v>0.24034721041186058</v>
      </c>
      <c r="I85" s="16">
        <v>34.78752454631531</v>
      </c>
      <c r="J85">
        <v>0.19730654906376266</v>
      </c>
      <c r="K85" s="16">
        <v>0.02867730591513283</v>
      </c>
      <c r="L85">
        <v>0.11677596776077721</v>
      </c>
      <c r="M85" s="16">
        <v>0.03686706941626318</v>
      </c>
    </row>
    <row r="86" spans="1:13" ht="12.75">
      <c r="A86" t="s">
        <v>105</v>
      </c>
      <c r="B86">
        <v>0.00016559286586313236</v>
      </c>
      <c r="C86" s="16">
        <v>0.17983494582936133</v>
      </c>
      <c r="D86" s="18">
        <v>8.614399024288101E-05</v>
      </c>
      <c r="E86" s="16">
        <v>0.3665753901719277</v>
      </c>
      <c r="F86" s="34">
        <v>8.614399024288101E-05</v>
      </c>
      <c r="G86">
        <v>0.3665753901719277</v>
      </c>
      <c r="H86">
        <v>0.033049690876938216</v>
      </c>
      <c r="I86" s="16">
        <v>4.783566785149945</v>
      </c>
      <c r="J86">
        <v>0.027131250840725405</v>
      </c>
      <c r="K86" s="16">
        <v>0.003943362163656555</v>
      </c>
      <c r="L86">
        <v>0.01605764273167756</v>
      </c>
      <c r="M86" s="16">
        <v>0.005069521071861766</v>
      </c>
    </row>
    <row r="87" spans="1:13" ht="12.75">
      <c r="A87" s="19" t="s">
        <v>106</v>
      </c>
      <c r="B87" s="19">
        <v>0.0102</v>
      </c>
      <c r="C87" s="20">
        <v>11.44</v>
      </c>
      <c r="D87" s="19">
        <v>0.0047</v>
      </c>
      <c r="E87" s="21">
        <v>24.92</v>
      </c>
      <c r="F87" s="19">
        <v>0.0047</v>
      </c>
      <c r="G87" s="19">
        <v>24.92</v>
      </c>
      <c r="H87" s="19">
        <v>2.0193</v>
      </c>
      <c r="I87" s="21">
        <v>315.24</v>
      </c>
      <c r="J87" s="19">
        <v>1.1891</v>
      </c>
      <c r="K87" s="21">
        <v>0.3</v>
      </c>
      <c r="L87" s="19">
        <v>1.004</v>
      </c>
      <c r="M87" s="21">
        <v>0.31</v>
      </c>
    </row>
    <row r="88" spans="3:13" ht="12.75">
      <c r="C88" s="16"/>
      <c r="D88" s="18"/>
      <c r="E88" s="16"/>
      <c r="I88" s="16"/>
      <c r="K88" s="16"/>
      <c r="M88" s="16"/>
    </row>
    <row r="89" spans="1:14" ht="12.75">
      <c r="A89" s="22" t="s">
        <v>102</v>
      </c>
      <c r="B89" s="23">
        <f>ROUND(B81*B83,2)</f>
        <v>178332.94</v>
      </c>
      <c r="C89" s="23">
        <f aca="true" t="shared" si="35" ref="C89:M89">ROUND(C81*C83,2)</f>
        <v>150504.43</v>
      </c>
      <c r="D89" s="23">
        <f t="shared" si="35"/>
        <v>31002.38</v>
      </c>
      <c r="E89" s="23">
        <f t="shared" si="35"/>
        <v>25748.71</v>
      </c>
      <c r="F89" s="23">
        <f t="shared" si="35"/>
        <v>889.44</v>
      </c>
      <c r="G89" s="23">
        <f t="shared" si="35"/>
        <v>5325.19</v>
      </c>
      <c r="H89" s="23">
        <f t="shared" si="35"/>
        <v>192520.39</v>
      </c>
      <c r="I89" s="23">
        <f t="shared" si="35"/>
        <v>51183.62</v>
      </c>
      <c r="J89" s="23">
        <f t="shared" si="35"/>
        <v>1410.64</v>
      </c>
      <c r="K89" s="23">
        <f t="shared" si="35"/>
        <v>1086.7</v>
      </c>
      <c r="L89" s="23">
        <f t="shared" si="35"/>
        <v>102.21</v>
      </c>
      <c r="M89" s="23">
        <f t="shared" si="35"/>
        <v>98.17</v>
      </c>
      <c r="N89" s="84">
        <f>SUM(B89:M89)</f>
        <v>638204.82</v>
      </c>
    </row>
    <row r="90" spans="1:14" ht="12.75">
      <c r="A90" s="25" t="s">
        <v>103</v>
      </c>
      <c r="B90" s="26">
        <f aca="true" t="shared" si="36" ref="B90:M90">ROUND(B81*B84,2)</f>
        <v>7614.83</v>
      </c>
      <c r="C90" s="26">
        <f t="shared" si="36"/>
        <v>6182.7</v>
      </c>
      <c r="D90" s="26">
        <f t="shared" si="36"/>
        <v>1535.02</v>
      </c>
      <c r="E90" s="26">
        <f t="shared" si="36"/>
        <v>977.46</v>
      </c>
      <c r="F90" s="26">
        <f t="shared" si="36"/>
        <v>44.04</v>
      </c>
      <c r="G90" s="26">
        <f t="shared" si="36"/>
        <v>202.15</v>
      </c>
      <c r="H90" s="26">
        <f t="shared" si="36"/>
        <v>8301.46</v>
      </c>
      <c r="I90" s="26">
        <f t="shared" si="36"/>
        <v>2015.9</v>
      </c>
      <c r="J90" s="26">
        <f t="shared" si="36"/>
        <v>92.31</v>
      </c>
      <c r="K90" s="26">
        <f t="shared" si="36"/>
        <v>36.16</v>
      </c>
      <c r="L90" s="26">
        <f t="shared" si="36"/>
        <v>4.29</v>
      </c>
      <c r="M90" s="26">
        <f t="shared" si="36"/>
        <v>4.23</v>
      </c>
      <c r="N90" s="85">
        <f>SUM(B90:M90)</f>
        <v>27010.550000000003</v>
      </c>
    </row>
    <row r="91" spans="1:14" ht="12.75">
      <c r="A91" s="25" t="s">
        <v>104</v>
      </c>
      <c r="B91" s="26">
        <f aca="true" t="shared" si="37" ref="B91:M91">ROUND(B81*B85,2)</f>
        <v>25359.19</v>
      </c>
      <c r="C91" s="26">
        <f t="shared" si="37"/>
        <v>20589.86</v>
      </c>
      <c r="D91" s="26">
        <f t="shared" si="37"/>
        <v>5112</v>
      </c>
      <c r="E91" s="26">
        <f t="shared" si="37"/>
        <v>3255.17</v>
      </c>
      <c r="F91" s="26">
        <f t="shared" si="37"/>
        <v>146.66</v>
      </c>
      <c r="G91" s="26">
        <f t="shared" si="37"/>
        <v>673.21</v>
      </c>
      <c r="H91" s="26">
        <f t="shared" si="37"/>
        <v>27645.85</v>
      </c>
      <c r="I91" s="26">
        <f t="shared" si="37"/>
        <v>6713.41</v>
      </c>
      <c r="J91" s="26">
        <f t="shared" si="37"/>
        <v>307.4</v>
      </c>
      <c r="K91" s="26">
        <f t="shared" si="37"/>
        <v>120.43</v>
      </c>
      <c r="L91" s="26">
        <f t="shared" si="37"/>
        <v>14.27</v>
      </c>
      <c r="M91" s="26">
        <f t="shared" si="37"/>
        <v>14.08</v>
      </c>
      <c r="N91" s="85">
        <f>SUM(B91:M91)</f>
        <v>89951.53</v>
      </c>
    </row>
    <row r="92" spans="1:14" ht="12.75">
      <c r="A92" s="27" t="s">
        <v>105</v>
      </c>
      <c r="B92" s="28">
        <f aca="true" t="shared" si="38" ref="B92:M92">ROUND(B81*B86,2)</f>
        <v>3487.09</v>
      </c>
      <c r="C92" s="28">
        <f t="shared" si="38"/>
        <v>2831.27</v>
      </c>
      <c r="D92" s="28">
        <f t="shared" si="38"/>
        <v>702.94</v>
      </c>
      <c r="E92" s="28">
        <f t="shared" si="38"/>
        <v>447.61</v>
      </c>
      <c r="F92" s="28">
        <f t="shared" si="38"/>
        <v>20.17</v>
      </c>
      <c r="G92" s="28">
        <f t="shared" si="38"/>
        <v>92.57</v>
      </c>
      <c r="H92" s="28">
        <f t="shared" si="38"/>
        <v>3801.53</v>
      </c>
      <c r="I92" s="28">
        <f t="shared" si="38"/>
        <v>923.15</v>
      </c>
      <c r="J92" s="28">
        <f t="shared" si="38"/>
        <v>42.27</v>
      </c>
      <c r="K92" s="28">
        <f t="shared" si="38"/>
        <v>16.56</v>
      </c>
      <c r="L92" s="28">
        <f t="shared" si="38"/>
        <v>1.96</v>
      </c>
      <c r="M92" s="28">
        <f t="shared" si="38"/>
        <v>1.94</v>
      </c>
      <c r="N92" s="86">
        <f>SUM(B92:M92)</f>
        <v>12369.06</v>
      </c>
    </row>
    <row r="93" spans="1:14" ht="13.5" thickBot="1">
      <c r="A93" s="29"/>
      <c r="B93" s="30">
        <f aca="true" t="shared" si="39" ref="B93:N93">+B77-B89-B90-B91-B92</f>
        <v>1.4551915228366852E-11</v>
      </c>
      <c r="C93" s="30">
        <f t="shared" si="39"/>
        <v>0.004999999990559445</v>
      </c>
      <c r="D93" s="30">
        <f t="shared" si="39"/>
        <v>0.009999999997035047</v>
      </c>
      <c r="E93" s="30">
        <f t="shared" si="39"/>
        <v>0.004999999998858584</v>
      </c>
      <c r="F93" s="30">
        <f>+F77-F89-F90-F91-F92</f>
        <v>-0.010000000000090381</v>
      </c>
      <c r="G93" s="30">
        <f>+G77-G89-G90-G91-G92</f>
        <v>0.010000000000502496</v>
      </c>
      <c r="H93" s="30">
        <f t="shared" si="39"/>
        <v>-3.0468072509393096E-11</v>
      </c>
      <c r="I93" s="30">
        <f t="shared" si="39"/>
        <v>-0.005000000004997673</v>
      </c>
      <c r="J93" s="30">
        <f t="shared" si="39"/>
        <v>-1.9184653865522705E-13</v>
      </c>
      <c r="K93" s="30">
        <f t="shared" si="39"/>
        <v>-1.3855583347321954E-13</v>
      </c>
      <c r="L93" s="30">
        <f t="shared" si="39"/>
        <v>2.5757174171303632E-14</v>
      </c>
      <c r="M93" s="30">
        <f t="shared" si="39"/>
        <v>-1.4654943925052066E-14</v>
      </c>
      <c r="N93" s="87">
        <f t="shared" si="39"/>
        <v>0.015000000026702764</v>
      </c>
    </row>
    <row r="95" spans="1:14" ht="12.75">
      <c r="A95" s="31">
        <v>38138</v>
      </c>
      <c r="B95" s="11">
        <f>+'Volumetric old rates'!K73+'Volumetric old rates'!K74+'Volumetric old rates'!K75</f>
        <v>40366.21000000001</v>
      </c>
      <c r="C95" s="11"/>
      <c r="D95" s="11">
        <f>+'Volumetric old rates'!K60</f>
        <v>4256.62</v>
      </c>
      <c r="E95" s="11"/>
      <c r="F95" s="11">
        <f>+'Volumetric old rates'!K59+'Volumetric old rates'!K61</f>
        <v>7.33</v>
      </c>
      <c r="G95" s="11"/>
      <c r="H95" s="11">
        <f>+'Volumetric old rates'!K96</f>
        <v>13430.07</v>
      </c>
      <c r="I95" s="11"/>
      <c r="J95" s="11"/>
      <c r="K95" s="11"/>
      <c r="L95" s="11">
        <f>+'Volumetric old rates'!K37+'Volumetric old rates'!K38+'Volumetric old rates'!K39+'Volumetric old rates'!K40+'Volumetric old rates'!K41</f>
        <v>17.49</v>
      </c>
      <c r="M95" s="11"/>
      <c r="N95" s="82">
        <f>SUM(B95:M95)</f>
        <v>58077.72000000001</v>
      </c>
    </row>
    <row r="96" spans="1:14" ht="12.75">
      <c r="A96" t="s">
        <v>99</v>
      </c>
      <c r="B96" s="13">
        <v>0</v>
      </c>
      <c r="C96" s="13">
        <v>0</v>
      </c>
      <c r="D96" s="14">
        <v>0</v>
      </c>
      <c r="E96" s="14">
        <v>0</v>
      </c>
      <c r="F96" s="14"/>
      <c r="G96" s="14"/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83"/>
    </row>
    <row r="97" spans="1:14" ht="12.75">
      <c r="A97" t="s">
        <v>100</v>
      </c>
      <c r="B97" s="12">
        <f aca="true" t="shared" si="40" ref="B97:M97">+B95+B96</f>
        <v>40366.21000000001</v>
      </c>
      <c r="C97" s="12">
        <f t="shared" si="40"/>
        <v>0</v>
      </c>
      <c r="D97" s="12">
        <f t="shared" si="40"/>
        <v>4256.62</v>
      </c>
      <c r="E97" s="12">
        <f t="shared" si="40"/>
        <v>0</v>
      </c>
      <c r="F97" s="12">
        <f>+F95+F96</f>
        <v>7.33</v>
      </c>
      <c r="G97" s="12">
        <f>+G95+G96</f>
        <v>0</v>
      </c>
      <c r="H97" s="12">
        <f t="shared" si="40"/>
        <v>13430.07</v>
      </c>
      <c r="I97" s="12">
        <f t="shared" si="40"/>
        <v>0</v>
      </c>
      <c r="J97" s="12">
        <f t="shared" si="40"/>
        <v>0</v>
      </c>
      <c r="K97" s="12">
        <f t="shared" si="40"/>
        <v>0</v>
      </c>
      <c r="L97" s="12">
        <f t="shared" si="40"/>
        <v>17.49</v>
      </c>
      <c r="M97" s="12">
        <f t="shared" si="40"/>
        <v>0</v>
      </c>
      <c r="N97" s="82"/>
    </row>
    <row r="99" spans="1:13" ht="12.75">
      <c r="A99" t="s">
        <v>101</v>
      </c>
      <c r="B99" s="12">
        <f aca="true" t="shared" si="41" ref="B99:M99">+B97/B105</f>
        <v>3957471.5686274515</v>
      </c>
      <c r="C99" s="12">
        <f t="shared" si="41"/>
        <v>0</v>
      </c>
      <c r="D99" s="12">
        <f t="shared" si="41"/>
        <v>905663.829787234</v>
      </c>
      <c r="E99" s="12">
        <f t="shared" si="41"/>
        <v>0</v>
      </c>
      <c r="F99" s="12">
        <f t="shared" si="41"/>
        <v>1559.5744680851064</v>
      </c>
      <c r="G99" s="12">
        <f t="shared" si="41"/>
        <v>0</v>
      </c>
      <c r="H99" s="12">
        <f t="shared" si="41"/>
        <v>6650.854256425494</v>
      </c>
      <c r="I99" s="12">
        <f t="shared" si="41"/>
        <v>0</v>
      </c>
      <c r="J99" s="12">
        <f t="shared" si="41"/>
        <v>0</v>
      </c>
      <c r="K99" s="12">
        <f t="shared" si="41"/>
        <v>0</v>
      </c>
      <c r="L99" s="12">
        <f t="shared" si="41"/>
        <v>17.4203187250996</v>
      </c>
      <c r="M99" s="12">
        <f t="shared" si="41"/>
        <v>0</v>
      </c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ht="12.75">
      <c r="A101" t="s">
        <v>102</v>
      </c>
      <c r="B101">
        <f aca="true" t="shared" si="42" ref="B101:M101">B105-SUM(B102:B104)</f>
        <v>0.008468558494684131</v>
      </c>
      <c r="C101">
        <f t="shared" si="42"/>
        <v>9.55964309155355</v>
      </c>
      <c r="D101" s="15">
        <f t="shared" si="42"/>
        <v>0.0037992771375589987</v>
      </c>
      <c r="E101">
        <f t="shared" si="42"/>
        <v>21.08708218640508</v>
      </c>
      <c r="F101">
        <f t="shared" si="42"/>
        <v>0.0037992771375589987</v>
      </c>
      <c r="G101">
        <f t="shared" si="42"/>
        <v>21.08708218640508</v>
      </c>
      <c r="H101">
        <f t="shared" si="42"/>
        <v>1.6737319332604152</v>
      </c>
      <c r="I101">
        <f t="shared" si="42"/>
        <v>265.2229534799843</v>
      </c>
      <c r="J101">
        <f t="shared" si="42"/>
        <v>0.9054152316260093</v>
      </c>
      <c r="K101">
        <f t="shared" si="42"/>
        <v>0.2587681456863579</v>
      </c>
      <c r="L101">
        <f t="shared" si="42"/>
        <v>0.8361010451854844</v>
      </c>
      <c r="M101">
        <f t="shared" si="42"/>
        <v>0.25699301114125417</v>
      </c>
    </row>
    <row r="102" spans="1:13" ht="12.75">
      <c r="A102" t="s">
        <v>103</v>
      </c>
      <c r="B102">
        <v>0.0003616079243880993</v>
      </c>
      <c r="C102" s="16">
        <v>0.3927085937841714</v>
      </c>
      <c r="D102" s="15">
        <v>0.00018811407935885114</v>
      </c>
      <c r="E102" s="16">
        <v>0.8004968407358231</v>
      </c>
      <c r="F102">
        <v>0.00018811407935885114</v>
      </c>
      <c r="G102">
        <v>0.8004968407358231</v>
      </c>
      <c r="H102">
        <v>0.07217116545078593</v>
      </c>
      <c r="I102" s="16">
        <v>10.445955188550439</v>
      </c>
      <c r="J102">
        <v>0.05924696846950266</v>
      </c>
      <c r="K102" s="16">
        <v>0.008611186234852675</v>
      </c>
      <c r="L102" s="17">
        <v>0.035065344322060835</v>
      </c>
      <c r="M102" s="16">
        <v>0.011070398370620899</v>
      </c>
    </row>
    <row r="103" spans="1:13" ht="12.75">
      <c r="A103" t="s">
        <v>104</v>
      </c>
      <c r="B103">
        <v>0.001204240715064637</v>
      </c>
      <c r="C103" s="16">
        <v>1.3078133688329163</v>
      </c>
      <c r="D103" s="15">
        <v>0.0006264647928392694</v>
      </c>
      <c r="E103" s="16">
        <v>2.66584558268717</v>
      </c>
      <c r="F103">
        <v>0.0006264647928392694</v>
      </c>
      <c r="G103">
        <v>2.66584558268717</v>
      </c>
      <c r="H103">
        <v>0.24034721041186058</v>
      </c>
      <c r="I103" s="16">
        <v>34.78752454631531</v>
      </c>
      <c r="J103">
        <v>0.19730654906376266</v>
      </c>
      <c r="K103" s="16">
        <v>0.02867730591513283</v>
      </c>
      <c r="L103">
        <v>0.11677596776077721</v>
      </c>
      <c r="M103" s="16">
        <v>0.03686706941626318</v>
      </c>
    </row>
    <row r="104" spans="1:13" ht="12.75">
      <c r="A104" t="s">
        <v>105</v>
      </c>
      <c r="B104">
        <v>0.00016559286586313236</v>
      </c>
      <c r="C104" s="16">
        <v>0.17983494582936133</v>
      </c>
      <c r="D104" s="18">
        <v>8.614399024288101E-05</v>
      </c>
      <c r="E104" s="16">
        <v>0.3665753901719277</v>
      </c>
      <c r="F104" s="34">
        <v>8.614399024288101E-05</v>
      </c>
      <c r="G104">
        <v>0.3665753901719277</v>
      </c>
      <c r="H104">
        <v>0.033049690876938216</v>
      </c>
      <c r="I104" s="16">
        <v>4.783566785149945</v>
      </c>
      <c r="J104">
        <v>0.027131250840725405</v>
      </c>
      <c r="K104" s="16">
        <v>0.003943362163656555</v>
      </c>
      <c r="L104">
        <v>0.01605764273167756</v>
      </c>
      <c r="M104" s="16">
        <v>0.005069521071861766</v>
      </c>
    </row>
    <row r="105" spans="1:13" ht="12.75">
      <c r="A105" s="19" t="s">
        <v>106</v>
      </c>
      <c r="B105" s="19">
        <v>0.0102</v>
      </c>
      <c r="C105" s="20">
        <v>11.44</v>
      </c>
      <c r="D105" s="19">
        <v>0.0047</v>
      </c>
      <c r="E105" s="21">
        <v>24.92</v>
      </c>
      <c r="F105" s="19">
        <v>0.0047</v>
      </c>
      <c r="G105" s="19">
        <v>24.92</v>
      </c>
      <c r="H105" s="19">
        <v>2.0193</v>
      </c>
      <c r="I105" s="21">
        <v>315.24</v>
      </c>
      <c r="J105" s="19">
        <v>1.1891</v>
      </c>
      <c r="K105" s="21">
        <v>0.3</v>
      </c>
      <c r="L105" s="19">
        <v>1.004</v>
      </c>
      <c r="M105" s="21">
        <v>0.31</v>
      </c>
    </row>
    <row r="106" spans="3:13" ht="12.75">
      <c r="C106" s="16"/>
      <c r="D106" s="18"/>
      <c r="E106" s="16"/>
      <c r="I106" s="16"/>
      <c r="K106" s="16"/>
      <c r="M106" s="16"/>
    </row>
    <row r="107" spans="1:14" ht="12.75">
      <c r="A107" s="22" t="s">
        <v>102</v>
      </c>
      <c r="B107" s="23">
        <f>ROUND(B99*B101,2)</f>
        <v>33514.08</v>
      </c>
      <c r="C107" s="23">
        <f aca="true" t="shared" si="43" ref="C107:M107">ROUND(C99*C101,2)</f>
        <v>0</v>
      </c>
      <c r="D107" s="23">
        <f t="shared" si="43"/>
        <v>3440.87</v>
      </c>
      <c r="E107" s="23">
        <f t="shared" si="43"/>
        <v>0</v>
      </c>
      <c r="F107" s="23">
        <f t="shared" si="43"/>
        <v>5.93</v>
      </c>
      <c r="G107" s="23">
        <f t="shared" si="43"/>
        <v>0</v>
      </c>
      <c r="H107" s="23">
        <f t="shared" si="43"/>
        <v>11131.75</v>
      </c>
      <c r="I107" s="23">
        <f t="shared" si="43"/>
        <v>0</v>
      </c>
      <c r="J107" s="23">
        <f t="shared" si="43"/>
        <v>0</v>
      </c>
      <c r="K107" s="23">
        <f t="shared" si="43"/>
        <v>0</v>
      </c>
      <c r="L107" s="23">
        <f t="shared" si="43"/>
        <v>14.57</v>
      </c>
      <c r="M107" s="23">
        <f t="shared" si="43"/>
        <v>0</v>
      </c>
      <c r="N107" s="84">
        <f>SUM(B107:M107)</f>
        <v>48107.200000000004</v>
      </c>
    </row>
    <row r="108" spans="1:14" ht="12.75">
      <c r="A108" s="25" t="s">
        <v>103</v>
      </c>
      <c r="B108" s="26">
        <f aca="true" t="shared" si="44" ref="B108:M108">ROUND(B99*B102,2)</f>
        <v>1431.05</v>
      </c>
      <c r="C108" s="26">
        <f t="shared" si="44"/>
        <v>0</v>
      </c>
      <c r="D108" s="26">
        <f t="shared" si="44"/>
        <v>170.37</v>
      </c>
      <c r="E108" s="26">
        <f t="shared" si="44"/>
        <v>0</v>
      </c>
      <c r="F108" s="26">
        <f t="shared" si="44"/>
        <v>0.29</v>
      </c>
      <c r="G108" s="26">
        <f t="shared" si="44"/>
        <v>0</v>
      </c>
      <c r="H108" s="26">
        <f t="shared" si="44"/>
        <v>480</v>
      </c>
      <c r="I108" s="26">
        <f t="shared" si="44"/>
        <v>0</v>
      </c>
      <c r="J108" s="26">
        <f t="shared" si="44"/>
        <v>0</v>
      </c>
      <c r="K108" s="26">
        <f t="shared" si="44"/>
        <v>0</v>
      </c>
      <c r="L108" s="26">
        <f t="shared" si="44"/>
        <v>0.61</v>
      </c>
      <c r="M108" s="26">
        <f t="shared" si="44"/>
        <v>0</v>
      </c>
      <c r="N108" s="85">
        <f>SUM(B108:M108)</f>
        <v>2082.32</v>
      </c>
    </row>
    <row r="109" spans="1:14" ht="12.75">
      <c r="A109" s="25" t="s">
        <v>104</v>
      </c>
      <c r="B109" s="26">
        <f aca="true" t="shared" si="45" ref="B109:M109">ROUND(B99*B103,2)</f>
        <v>4765.75</v>
      </c>
      <c r="C109" s="26">
        <f t="shared" si="45"/>
        <v>0</v>
      </c>
      <c r="D109" s="26">
        <f t="shared" si="45"/>
        <v>567.37</v>
      </c>
      <c r="E109" s="26">
        <f t="shared" si="45"/>
        <v>0</v>
      </c>
      <c r="F109" s="26">
        <f t="shared" si="45"/>
        <v>0.98</v>
      </c>
      <c r="G109" s="26">
        <f t="shared" si="45"/>
        <v>0</v>
      </c>
      <c r="H109" s="26">
        <f t="shared" si="45"/>
        <v>1598.51</v>
      </c>
      <c r="I109" s="26">
        <f t="shared" si="45"/>
        <v>0</v>
      </c>
      <c r="J109" s="26">
        <f t="shared" si="45"/>
        <v>0</v>
      </c>
      <c r="K109" s="26">
        <f t="shared" si="45"/>
        <v>0</v>
      </c>
      <c r="L109" s="26">
        <f t="shared" si="45"/>
        <v>2.03</v>
      </c>
      <c r="M109" s="26">
        <f t="shared" si="45"/>
        <v>0</v>
      </c>
      <c r="N109" s="85">
        <f>SUM(B109:M109)</f>
        <v>6934.639999999999</v>
      </c>
    </row>
    <row r="110" spans="1:14" ht="12.75">
      <c r="A110" s="27" t="s">
        <v>105</v>
      </c>
      <c r="B110" s="28">
        <f aca="true" t="shared" si="46" ref="B110:M110">ROUND(B99*B104,2)</f>
        <v>655.33</v>
      </c>
      <c r="C110" s="28">
        <f t="shared" si="46"/>
        <v>0</v>
      </c>
      <c r="D110" s="28">
        <f t="shared" si="46"/>
        <v>78.02</v>
      </c>
      <c r="E110" s="28">
        <f t="shared" si="46"/>
        <v>0</v>
      </c>
      <c r="F110" s="28">
        <f t="shared" si="46"/>
        <v>0.13</v>
      </c>
      <c r="G110" s="28">
        <f t="shared" si="46"/>
        <v>0</v>
      </c>
      <c r="H110" s="28">
        <f t="shared" si="46"/>
        <v>219.81</v>
      </c>
      <c r="I110" s="28">
        <f t="shared" si="46"/>
        <v>0</v>
      </c>
      <c r="J110" s="28">
        <f t="shared" si="46"/>
        <v>0</v>
      </c>
      <c r="K110" s="28">
        <f t="shared" si="46"/>
        <v>0</v>
      </c>
      <c r="L110" s="28">
        <f t="shared" si="46"/>
        <v>0.28</v>
      </c>
      <c r="M110" s="28">
        <f t="shared" si="46"/>
        <v>0</v>
      </c>
      <c r="N110" s="86">
        <f>SUM(B110:M110)</f>
        <v>953.5699999999999</v>
      </c>
    </row>
    <row r="111" spans="1:14" ht="13.5" thickBot="1">
      <c r="A111" s="29"/>
      <c r="B111" s="30">
        <f aca="true" t="shared" si="47" ref="B111:N111">+B95-B107-B108-B109-B110</f>
        <v>4.433786671143025E-12</v>
      </c>
      <c r="C111" s="30">
        <f t="shared" si="47"/>
        <v>0</v>
      </c>
      <c r="D111" s="30">
        <f t="shared" si="47"/>
        <v>-0.010000000000005116</v>
      </c>
      <c r="E111" s="30">
        <f t="shared" si="47"/>
        <v>0</v>
      </c>
      <c r="F111" s="30">
        <f>+F95-F107-F108-F109-F110</f>
        <v>3.3306690738754696E-16</v>
      </c>
      <c r="G111" s="30">
        <f>+G95-G107-G108-G109-G110</f>
        <v>0</v>
      </c>
      <c r="H111" s="30">
        <f t="shared" si="47"/>
        <v>-2.8421709430404007E-13</v>
      </c>
      <c r="I111" s="30">
        <f t="shared" si="47"/>
        <v>0</v>
      </c>
      <c r="J111" s="30">
        <f t="shared" si="47"/>
        <v>0</v>
      </c>
      <c r="K111" s="30">
        <f t="shared" si="47"/>
        <v>0</v>
      </c>
      <c r="L111" s="30">
        <f t="shared" si="47"/>
        <v>-1.5543122344752192E-15</v>
      </c>
      <c r="M111" s="30">
        <f t="shared" si="47"/>
        <v>0</v>
      </c>
      <c r="N111" s="87">
        <f t="shared" si="47"/>
        <v>-0.009999999994988684</v>
      </c>
    </row>
    <row r="113" spans="1:14" ht="12.75" hidden="1">
      <c r="A113" s="31">
        <v>38168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82">
        <f>SUM(B113:M113)</f>
        <v>0</v>
      </c>
    </row>
    <row r="114" spans="1:14" ht="12.75" hidden="1">
      <c r="A114" t="s">
        <v>99</v>
      </c>
      <c r="B114" s="13">
        <v>0</v>
      </c>
      <c r="C114" s="13">
        <v>0</v>
      </c>
      <c r="D114" s="14">
        <v>0</v>
      </c>
      <c r="E114" s="14">
        <v>0</v>
      </c>
      <c r="F114" s="14"/>
      <c r="G114" s="14"/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83"/>
    </row>
    <row r="115" spans="1:14" ht="12.75" hidden="1">
      <c r="A115" t="s">
        <v>100</v>
      </c>
      <c r="B115" s="12">
        <f aca="true" t="shared" si="48" ref="B115:M115">+B113+B114</f>
        <v>0</v>
      </c>
      <c r="C115" s="12">
        <f t="shared" si="48"/>
        <v>0</v>
      </c>
      <c r="D115" s="12">
        <f t="shared" si="48"/>
        <v>0</v>
      </c>
      <c r="E115" s="12">
        <f t="shared" si="48"/>
        <v>0</v>
      </c>
      <c r="F115" s="12">
        <f>+F113+F114</f>
        <v>0</v>
      </c>
      <c r="G115" s="12">
        <f>+G113+G114</f>
        <v>0</v>
      </c>
      <c r="H115" s="12">
        <f t="shared" si="48"/>
        <v>0</v>
      </c>
      <c r="I115" s="12">
        <f t="shared" si="48"/>
        <v>0</v>
      </c>
      <c r="J115" s="12">
        <f t="shared" si="48"/>
        <v>0</v>
      </c>
      <c r="K115" s="12">
        <f t="shared" si="48"/>
        <v>0</v>
      </c>
      <c r="L115" s="12">
        <f t="shared" si="48"/>
        <v>0</v>
      </c>
      <c r="M115" s="12">
        <f t="shared" si="48"/>
        <v>0</v>
      </c>
      <c r="N115" s="82"/>
    </row>
    <row r="116" ht="12.75" hidden="1"/>
    <row r="117" spans="1:13" ht="12.75" hidden="1">
      <c r="A117" t="s">
        <v>101</v>
      </c>
      <c r="B117" s="12">
        <f aca="true" t="shared" si="49" ref="B117:M117">+B115/B123</f>
        <v>0</v>
      </c>
      <c r="C117" s="12">
        <f t="shared" si="49"/>
        <v>0</v>
      </c>
      <c r="D117" s="12">
        <f t="shared" si="49"/>
        <v>0</v>
      </c>
      <c r="E117" s="12">
        <f t="shared" si="49"/>
        <v>0</v>
      </c>
      <c r="F117" s="12">
        <f t="shared" si="49"/>
        <v>0</v>
      </c>
      <c r="G117" s="12">
        <f t="shared" si="49"/>
        <v>0</v>
      </c>
      <c r="H117" s="12">
        <f t="shared" si="49"/>
        <v>0</v>
      </c>
      <c r="I117" s="12">
        <f t="shared" si="49"/>
        <v>0</v>
      </c>
      <c r="J117" s="12">
        <f t="shared" si="49"/>
        <v>0</v>
      </c>
      <c r="K117" s="12">
        <f t="shared" si="49"/>
        <v>0</v>
      </c>
      <c r="L117" s="12">
        <f t="shared" si="49"/>
        <v>0</v>
      </c>
      <c r="M117" s="12">
        <f t="shared" si="49"/>
        <v>0</v>
      </c>
    </row>
    <row r="118" spans="2:13" ht="12.75" hidden="1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ht="12.75" hidden="1">
      <c r="A119" t="s">
        <v>102</v>
      </c>
      <c r="B119">
        <f aca="true" t="shared" si="50" ref="B119:M119">B123-SUM(B120:B122)</f>
        <v>0.008468558494684131</v>
      </c>
      <c r="C119">
        <f t="shared" si="50"/>
        <v>9.55964309155355</v>
      </c>
      <c r="D119" s="15">
        <f t="shared" si="50"/>
        <v>0.0037992771375589987</v>
      </c>
      <c r="E119">
        <f t="shared" si="50"/>
        <v>21.08708218640508</v>
      </c>
      <c r="F119">
        <f t="shared" si="50"/>
        <v>0.0037992771375589987</v>
      </c>
      <c r="G119">
        <f t="shared" si="50"/>
        <v>21.08708218640508</v>
      </c>
      <c r="H119">
        <f t="shared" si="50"/>
        <v>1.6737319332604152</v>
      </c>
      <c r="I119">
        <f t="shared" si="50"/>
        <v>265.2229534799843</v>
      </c>
      <c r="J119">
        <f t="shared" si="50"/>
        <v>0.9054152316260093</v>
      </c>
      <c r="K119">
        <f t="shared" si="50"/>
        <v>0.2587681456863579</v>
      </c>
      <c r="L119">
        <f t="shared" si="50"/>
        <v>0.8361010451854844</v>
      </c>
      <c r="M119">
        <f t="shared" si="50"/>
        <v>0.25699301114125417</v>
      </c>
    </row>
    <row r="120" spans="1:13" ht="12.75" hidden="1">
      <c r="A120" t="s">
        <v>103</v>
      </c>
      <c r="B120">
        <v>0.0003616079243880993</v>
      </c>
      <c r="C120" s="16">
        <v>0.3927085937841714</v>
      </c>
      <c r="D120" s="15">
        <v>0.00018811407935885114</v>
      </c>
      <c r="E120" s="16">
        <v>0.8004968407358231</v>
      </c>
      <c r="F120">
        <v>0.00018811407935885114</v>
      </c>
      <c r="G120">
        <v>0.8004968407358231</v>
      </c>
      <c r="H120">
        <v>0.07217116545078593</v>
      </c>
      <c r="I120" s="16">
        <v>10.445955188550439</v>
      </c>
      <c r="J120">
        <v>0.05924696846950266</v>
      </c>
      <c r="K120" s="16">
        <v>0.008611186234852675</v>
      </c>
      <c r="L120" s="17">
        <v>0.035065344322060835</v>
      </c>
      <c r="M120" s="16">
        <v>0.011070398370620899</v>
      </c>
    </row>
    <row r="121" spans="1:13" ht="12.75" hidden="1">
      <c r="A121" t="s">
        <v>104</v>
      </c>
      <c r="B121">
        <v>0.001204240715064637</v>
      </c>
      <c r="C121" s="16">
        <v>1.3078133688329163</v>
      </c>
      <c r="D121" s="15">
        <v>0.0006264647928392694</v>
      </c>
      <c r="E121" s="16">
        <v>2.66584558268717</v>
      </c>
      <c r="F121">
        <v>0.0006264647928392694</v>
      </c>
      <c r="G121">
        <v>2.66584558268717</v>
      </c>
      <c r="H121">
        <v>0.24034721041186058</v>
      </c>
      <c r="I121" s="16">
        <v>34.78752454631531</v>
      </c>
      <c r="J121">
        <v>0.19730654906376266</v>
      </c>
      <c r="K121" s="16">
        <v>0.02867730591513283</v>
      </c>
      <c r="L121">
        <v>0.11677596776077721</v>
      </c>
      <c r="M121" s="16">
        <v>0.03686706941626318</v>
      </c>
    </row>
    <row r="122" spans="1:13" ht="12.75" hidden="1">
      <c r="A122" t="s">
        <v>105</v>
      </c>
      <c r="B122">
        <v>0.00016559286586313236</v>
      </c>
      <c r="C122" s="16">
        <v>0.17983494582936133</v>
      </c>
      <c r="D122" s="18">
        <v>8.614399024288101E-05</v>
      </c>
      <c r="E122" s="16">
        <v>0.3665753901719277</v>
      </c>
      <c r="F122" s="34">
        <v>8.614399024288101E-05</v>
      </c>
      <c r="G122">
        <v>0.3665753901719277</v>
      </c>
      <c r="H122">
        <v>0.033049690876938216</v>
      </c>
      <c r="I122" s="16">
        <v>4.783566785149945</v>
      </c>
      <c r="J122">
        <v>0.027131250840725405</v>
      </c>
      <c r="K122" s="16">
        <v>0.003943362163656555</v>
      </c>
      <c r="L122">
        <v>0.01605764273167756</v>
      </c>
      <c r="M122" s="16">
        <v>0.005069521071861766</v>
      </c>
    </row>
    <row r="123" spans="1:13" ht="12.75" hidden="1">
      <c r="A123" s="19" t="s">
        <v>106</v>
      </c>
      <c r="B123" s="19">
        <v>0.0102</v>
      </c>
      <c r="C123" s="20">
        <v>11.44</v>
      </c>
      <c r="D123" s="19">
        <v>0.0047</v>
      </c>
      <c r="E123" s="21">
        <v>24.92</v>
      </c>
      <c r="F123" s="19">
        <v>0.0047</v>
      </c>
      <c r="G123" s="19">
        <v>24.92</v>
      </c>
      <c r="H123" s="19">
        <v>2.0193</v>
      </c>
      <c r="I123" s="21">
        <v>315.24</v>
      </c>
      <c r="J123" s="19">
        <v>1.1891</v>
      </c>
      <c r="K123" s="21">
        <v>0.3</v>
      </c>
      <c r="L123" s="19">
        <v>1.004</v>
      </c>
      <c r="M123" s="21">
        <v>0.31</v>
      </c>
    </row>
    <row r="124" spans="3:13" ht="12.75" hidden="1">
      <c r="C124" s="16"/>
      <c r="D124" s="18"/>
      <c r="E124" s="16"/>
      <c r="I124" s="16"/>
      <c r="K124" s="16"/>
      <c r="M124" s="16"/>
    </row>
    <row r="125" spans="1:14" ht="12.75" hidden="1">
      <c r="A125" s="22" t="s">
        <v>102</v>
      </c>
      <c r="B125" s="23">
        <f>ROUND(B117*B119,2)</f>
        <v>0</v>
      </c>
      <c r="C125" s="23">
        <f aca="true" t="shared" si="51" ref="C125:M125">ROUND(C117*C119,2)</f>
        <v>0</v>
      </c>
      <c r="D125" s="23">
        <f t="shared" si="51"/>
        <v>0</v>
      </c>
      <c r="E125" s="23">
        <f t="shared" si="51"/>
        <v>0</v>
      </c>
      <c r="F125" s="23">
        <f t="shared" si="51"/>
        <v>0</v>
      </c>
      <c r="G125" s="23">
        <f t="shared" si="51"/>
        <v>0</v>
      </c>
      <c r="H125" s="23">
        <f t="shared" si="51"/>
        <v>0</v>
      </c>
      <c r="I125" s="23">
        <f t="shared" si="51"/>
        <v>0</v>
      </c>
      <c r="J125" s="23">
        <f t="shared" si="51"/>
        <v>0</v>
      </c>
      <c r="K125" s="23">
        <f t="shared" si="51"/>
        <v>0</v>
      </c>
      <c r="L125" s="23">
        <f t="shared" si="51"/>
        <v>0</v>
      </c>
      <c r="M125" s="23">
        <f t="shared" si="51"/>
        <v>0</v>
      </c>
      <c r="N125" s="84">
        <f>SUM(B125:M125)</f>
        <v>0</v>
      </c>
    </row>
    <row r="126" spans="1:14" ht="12.75" hidden="1">
      <c r="A126" s="25" t="s">
        <v>103</v>
      </c>
      <c r="B126" s="26">
        <f aca="true" t="shared" si="52" ref="B126:M126">ROUND(B117*B120,2)</f>
        <v>0</v>
      </c>
      <c r="C126" s="26">
        <f t="shared" si="52"/>
        <v>0</v>
      </c>
      <c r="D126" s="26">
        <f t="shared" si="52"/>
        <v>0</v>
      </c>
      <c r="E126" s="26">
        <f t="shared" si="52"/>
        <v>0</v>
      </c>
      <c r="F126" s="26">
        <f t="shared" si="52"/>
        <v>0</v>
      </c>
      <c r="G126" s="26">
        <f t="shared" si="52"/>
        <v>0</v>
      </c>
      <c r="H126" s="26">
        <f t="shared" si="52"/>
        <v>0</v>
      </c>
      <c r="I126" s="26">
        <f t="shared" si="52"/>
        <v>0</v>
      </c>
      <c r="J126" s="26">
        <f t="shared" si="52"/>
        <v>0</v>
      </c>
      <c r="K126" s="26">
        <f t="shared" si="52"/>
        <v>0</v>
      </c>
      <c r="L126" s="26">
        <f t="shared" si="52"/>
        <v>0</v>
      </c>
      <c r="M126" s="26">
        <f t="shared" si="52"/>
        <v>0</v>
      </c>
      <c r="N126" s="85">
        <f>SUM(B126:M126)</f>
        <v>0</v>
      </c>
    </row>
    <row r="127" spans="1:14" ht="12.75" hidden="1">
      <c r="A127" s="25" t="s">
        <v>104</v>
      </c>
      <c r="B127" s="26">
        <f aca="true" t="shared" si="53" ref="B127:M127">ROUND(B117*B121,2)</f>
        <v>0</v>
      </c>
      <c r="C127" s="26">
        <f t="shared" si="53"/>
        <v>0</v>
      </c>
      <c r="D127" s="26">
        <f t="shared" si="53"/>
        <v>0</v>
      </c>
      <c r="E127" s="26">
        <f t="shared" si="53"/>
        <v>0</v>
      </c>
      <c r="F127" s="26">
        <f t="shared" si="53"/>
        <v>0</v>
      </c>
      <c r="G127" s="26">
        <f t="shared" si="53"/>
        <v>0</v>
      </c>
      <c r="H127" s="26">
        <f t="shared" si="53"/>
        <v>0</v>
      </c>
      <c r="I127" s="26">
        <f t="shared" si="53"/>
        <v>0</v>
      </c>
      <c r="J127" s="26">
        <f t="shared" si="53"/>
        <v>0</v>
      </c>
      <c r="K127" s="26">
        <f t="shared" si="53"/>
        <v>0</v>
      </c>
      <c r="L127" s="26">
        <f t="shared" si="53"/>
        <v>0</v>
      </c>
      <c r="M127" s="26">
        <f t="shared" si="53"/>
        <v>0</v>
      </c>
      <c r="N127" s="85">
        <f>SUM(B127:M127)</f>
        <v>0</v>
      </c>
    </row>
    <row r="128" spans="1:14" ht="12.75" hidden="1">
      <c r="A128" s="27" t="s">
        <v>105</v>
      </c>
      <c r="B128" s="28">
        <f aca="true" t="shared" si="54" ref="B128:M128">ROUND(B117*B122,2)</f>
        <v>0</v>
      </c>
      <c r="C128" s="28">
        <f t="shared" si="54"/>
        <v>0</v>
      </c>
      <c r="D128" s="28">
        <f t="shared" si="54"/>
        <v>0</v>
      </c>
      <c r="E128" s="28">
        <f t="shared" si="54"/>
        <v>0</v>
      </c>
      <c r="F128" s="28">
        <f t="shared" si="54"/>
        <v>0</v>
      </c>
      <c r="G128" s="28">
        <f t="shared" si="54"/>
        <v>0</v>
      </c>
      <c r="H128" s="28">
        <f t="shared" si="54"/>
        <v>0</v>
      </c>
      <c r="I128" s="28">
        <f t="shared" si="54"/>
        <v>0</v>
      </c>
      <c r="J128" s="28">
        <f t="shared" si="54"/>
        <v>0</v>
      </c>
      <c r="K128" s="28">
        <f t="shared" si="54"/>
        <v>0</v>
      </c>
      <c r="L128" s="28">
        <f t="shared" si="54"/>
        <v>0</v>
      </c>
      <c r="M128" s="28">
        <f t="shared" si="54"/>
        <v>0</v>
      </c>
      <c r="N128" s="86">
        <f>SUM(B128:M128)</f>
        <v>0</v>
      </c>
    </row>
    <row r="129" spans="1:14" ht="13.5" hidden="1" thickBot="1">
      <c r="A129" s="29"/>
      <c r="B129" s="30">
        <f aca="true" t="shared" si="55" ref="B129:N129">+B113-B125-B126-B127-B128</f>
        <v>0</v>
      </c>
      <c r="C129" s="30">
        <f t="shared" si="55"/>
        <v>0</v>
      </c>
      <c r="D129" s="30">
        <f t="shared" si="55"/>
        <v>0</v>
      </c>
      <c r="E129" s="30">
        <f t="shared" si="55"/>
        <v>0</v>
      </c>
      <c r="F129" s="30">
        <f>+F113-F125-F126-F127-F128</f>
        <v>0</v>
      </c>
      <c r="G129" s="30">
        <f>+G113-G125-G126-G127-G128</f>
        <v>0</v>
      </c>
      <c r="H129" s="30">
        <f t="shared" si="55"/>
        <v>0</v>
      </c>
      <c r="I129" s="30">
        <f t="shared" si="55"/>
        <v>0</v>
      </c>
      <c r="J129" s="30">
        <f t="shared" si="55"/>
        <v>0</v>
      </c>
      <c r="K129" s="30">
        <f t="shared" si="55"/>
        <v>0</v>
      </c>
      <c r="L129" s="30">
        <f t="shared" si="55"/>
        <v>0</v>
      </c>
      <c r="M129" s="30">
        <f t="shared" si="55"/>
        <v>0</v>
      </c>
      <c r="N129" s="87">
        <f t="shared" si="55"/>
        <v>0</v>
      </c>
    </row>
    <row r="130" ht="12.75" hidden="1"/>
    <row r="131" spans="1:14" ht="12.75" hidden="1">
      <c r="A131" s="31">
        <v>37833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82">
        <f>SUM(B131:M131)</f>
        <v>0</v>
      </c>
    </row>
    <row r="132" spans="1:14" ht="12.75" hidden="1">
      <c r="A132" t="s">
        <v>99</v>
      </c>
      <c r="B132" s="13">
        <v>0</v>
      </c>
      <c r="C132" s="13">
        <v>0</v>
      </c>
      <c r="D132" s="14">
        <v>0</v>
      </c>
      <c r="E132" s="14">
        <v>0</v>
      </c>
      <c r="F132" s="14"/>
      <c r="G132" s="14"/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83"/>
    </row>
    <row r="133" spans="1:14" ht="12.75" hidden="1">
      <c r="A133" t="s">
        <v>100</v>
      </c>
      <c r="B133" s="12">
        <f aca="true" t="shared" si="56" ref="B133:M133">+B131+B132</f>
        <v>0</v>
      </c>
      <c r="C133" s="12">
        <f t="shared" si="56"/>
        <v>0</v>
      </c>
      <c r="D133" s="12">
        <f t="shared" si="56"/>
        <v>0</v>
      </c>
      <c r="E133" s="12">
        <f t="shared" si="56"/>
        <v>0</v>
      </c>
      <c r="F133" s="12">
        <f>+F131+F132</f>
        <v>0</v>
      </c>
      <c r="G133" s="12">
        <f>+G131+G132</f>
        <v>0</v>
      </c>
      <c r="H133" s="12">
        <f t="shared" si="56"/>
        <v>0</v>
      </c>
      <c r="I133" s="12">
        <f t="shared" si="56"/>
        <v>0</v>
      </c>
      <c r="J133" s="12">
        <f t="shared" si="56"/>
        <v>0</v>
      </c>
      <c r="K133" s="12">
        <f t="shared" si="56"/>
        <v>0</v>
      </c>
      <c r="L133" s="12">
        <f t="shared" si="56"/>
        <v>0</v>
      </c>
      <c r="M133" s="12">
        <f t="shared" si="56"/>
        <v>0</v>
      </c>
      <c r="N133" s="82"/>
    </row>
    <row r="134" ht="12.75" hidden="1"/>
    <row r="135" spans="1:13" ht="12.75" hidden="1">
      <c r="A135" t="s">
        <v>101</v>
      </c>
      <c r="B135" s="12">
        <f aca="true" t="shared" si="57" ref="B135:M135">+B133/B141</f>
        <v>0</v>
      </c>
      <c r="C135" s="12">
        <f t="shared" si="57"/>
        <v>0</v>
      </c>
      <c r="D135" s="12">
        <f t="shared" si="57"/>
        <v>0</v>
      </c>
      <c r="E135" s="12">
        <f t="shared" si="57"/>
        <v>0</v>
      </c>
      <c r="F135" s="12">
        <f t="shared" si="57"/>
        <v>0</v>
      </c>
      <c r="G135" s="12">
        <f t="shared" si="57"/>
        <v>0</v>
      </c>
      <c r="H135" s="12">
        <f t="shared" si="57"/>
        <v>0</v>
      </c>
      <c r="I135" s="12">
        <f t="shared" si="57"/>
        <v>0</v>
      </c>
      <c r="J135" s="12">
        <f t="shared" si="57"/>
        <v>0</v>
      </c>
      <c r="K135" s="12">
        <f t="shared" si="57"/>
        <v>0</v>
      </c>
      <c r="L135" s="12">
        <f t="shared" si="57"/>
        <v>0</v>
      </c>
      <c r="M135" s="12">
        <f t="shared" si="57"/>
        <v>0</v>
      </c>
    </row>
    <row r="136" spans="2:13" ht="12.75" hidden="1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1:13" ht="12.75" hidden="1">
      <c r="A137" t="s">
        <v>102</v>
      </c>
      <c r="B137">
        <f aca="true" t="shared" si="58" ref="B137:M137">B141-SUM(B138:B140)</f>
        <v>0.008468558494684131</v>
      </c>
      <c r="C137">
        <f t="shared" si="58"/>
        <v>9.55964309155355</v>
      </c>
      <c r="D137" s="15">
        <f t="shared" si="58"/>
        <v>0.0037992771375589987</v>
      </c>
      <c r="E137">
        <f t="shared" si="58"/>
        <v>21.08708218640508</v>
      </c>
      <c r="F137">
        <f t="shared" si="58"/>
        <v>0.0037992771375589987</v>
      </c>
      <c r="G137">
        <f t="shared" si="58"/>
        <v>21.08708218640508</v>
      </c>
      <c r="H137">
        <f t="shared" si="58"/>
        <v>1.6737319332604152</v>
      </c>
      <c r="I137">
        <f t="shared" si="58"/>
        <v>265.2229534799843</v>
      </c>
      <c r="J137">
        <f t="shared" si="58"/>
        <v>0.9054152316260093</v>
      </c>
      <c r="K137">
        <f t="shared" si="58"/>
        <v>0.2587681456863579</v>
      </c>
      <c r="L137">
        <f t="shared" si="58"/>
        <v>0.8361010451854844</v>
      </c>
      <c r="M137">
        <f t="shared" si="58"/>
        <v>0.25699301114125417</v>
      </c>
    </row>
    <row r="138" spans="1:13" ht="12.75" hidden="1">
      <c r="A138" t="s">
        <v>103</v>
      </c>
      <c r="B138">
        <v>0.0003616079243880993</v>
      </c>
      <c r="C138" s="16">
        <v>0.3927085937841714</v>
      </c>
      <c r="D138" s="15">
        <v>0.00018811407935885114</v>
      </c>
      <c r="E138" s="16">
        <v>0.8004968407358231</v>
      </c>
      <c r="F138">
        <v>0.00018811407935885114</v>
      </c>
      <c r="G138">
        <v>0.8004968407358231</v>
      </c>
      <c r="H138">
        <v>0.07217116545078593</v>
      </c>
      <c r="I138" s="16">
        <v>10.445955188550439</v>
      </c>
      <c r="J138">
        <v>0.05924696846950266</v>
      </c>
      <c r="K138" s="16">
        <v>0.008611186234852675</v>
      </c>
      <c r="L138" s="17">
        <v>0.035065344322060835</v>
      </c>
      <c r="M138" s="16">
        <v>0.011070398370620899</v>
      </c>
    </row>
    <row r="139" spans="1:13" ht="12.75" hidden="1">
      <c r="A139" t="s">
        <v>104</v>
      </c>
      <c r="B139">
        <v>0.001204240715064637</v>
      </c>
      <c r="C139" s="16">
        <v>1.3078133688329163</v>
      </c>
      <c r="D139" s="15">
        <v>0.0006264647928392694</v>
      </c>
      <c r="E139" s="16">
        <v>2.66584558268717</v>
      </c>
      <c r="F139">
        <v>0.0006264647928392694</v>
      </c>
      <c r="G139">
        <v>2.66584558268717</v>
      </c>
      <c r="H139">
        <v>0.24034721041186058</v>
      </c>
      <c r="I139" s="16">
        <v>34.78752454631531</v>
      </c>
      <c r="J139">
        <v>0.19730654906376266</v>
      </c>
      <c r="K139" s="16">
        <v>0.02867730591513283</v>
      </c>
      <c r="L139">
        <v>0.11677596776077721</v>
      </c>
      <c r="M139" s="16">
        <v>0.03686706941626318</v>
      </c>
    </row>
    <row r="140" spans="1:13" ht="12.75" hidden="1">
      <c r="A140" t="s">
        <v>105</v>
      </c>
      <c r="B140">
        <v>0.00016559286586313236</v>
      </c>
      <c r="C140" s="16">
        <v>0.17983494582936133</v>
      </c>
      <c r="D140" s="18">
        <v>8.614399024288101E-05</v>
      </c>
      <c r="E140" s="16">
        <v>0.3665753901719277</v>
      </c>
      <c r="F140" s="34">
        <v>8.614399024288101E-05</v>
      </c>
      <c r="G140">
        <v>0.3665753901719277</v>
      </c>
      <c r="H140">
        <v>0.033049690876938216</v>
      </c>
      <c r="I140" s="16">
        <v>4.783566785149945</v>
      </c>
      <c r="J140">
        <v>0.027131250840725405</v>
      </c>
      <c r="K140" s="16">
        <v>0.003943362163656555</v>
      </c>
      <c r="L140">
        <v>0.01605764273167756</v>
      </c>
      <c r="M140" s="16">
        <v>0.005069521071861766</v>
      </c>
    </row>
    <row r="141" spans="1:13" ht="12.75" hidden="1">
      <c r="A141" s="19" t="s">
        <v>106</v>
      </c>
      <c r="B141" s="19">
        <v>0.0102</v>
      </c>
      <c r="C141" s="20">
        <v>11.44</v>
      </c>
      <c r="D141" s="19">
        <v>0.0047</v>
      </c>
      <c r="E141" s="21">
        <v>24.92</v>
      </c>
      <c r="F141" s="19">
        <v>0.0047</v>
      </c>
      <c r="G141" s="19">
        <v>24.92</v>
      </c>
      <c r="H141" s="19">
        <v>2.0193</v>
      </c>
      <c r="I141" s="21">
        <v>315.24</v>
      </c>
      <c r="J141" s="19">
        <v>1.1891</v>
      </c>
      <c r="K141" s="21">
        <v>0.3</v>
      </c>
      <c r="L141" s="19">
        <v>1.004</v>
      </c>
      <c r="M141" s="21">
        <v>0.31</v>
      </c>
    </row>
    <row r="142" spans="3:13" ht="12.75" hidden="1">
      <c r="C142" s="16"/>
      <c r="D142" s="18"/>
      <c r="E142" s="16"/>
      <c r="I142" s="16"/>
      <c r="K142" s="16"/>
      <c r="M142" s="16"/>
    </row>
    <row r="143" spans="1:14" ht="12.75" hidden="1">
      <c r="A143" s="22" t="s">
        <v>102</v>
      </c>
      <c r="B143" s="23">
        <f>ROUND(B135*B137,2)</f>
        <v>0</v>
      </c>
      <c r="C143" s="23">
        <f aca="true" t="shared" si="59" ref="C143:M143">ROUND(C135*C137,2)</f>
        <v>0</v>
      </c>
      <c r="D143" s="23">
        <f t="shared" si="59"/>
        <v>0</v>
      </c>
      <c r="E143" s="23">
        <f t="shared" si="59"/>
        <v>0</v>
      </c>
      <c r="F143" s="23">
        <f t="shared" si="59"/>
        <v>0</v>
      </c>
      <c r="G143" s="23">
        <f t="shared" si="59"/>
        <v>0</v>
      </c>
      <c r="H143" s="23">
        <f t="shared" si="59"/>
        <v>0</v>
      </c>
      <c r="I143" s="23">
        <f t="shared" si="59"/>
        <v>0</v>
      </c>
      <c r="J143" s="23">
        <f t="shared" si="59"/>
        <v>0</v>
      </c>
      <c r="K143" s="23">
        <f t="shared" si="59"/>
        <v>0</v>
      </c>
      <c r="L143" s="23">
        <f t="shared" si="59"/>
        <v>0</v>
      </c>
      <c r="M143" s="23">
        <f t="shared" si="59"/>
        <v>0</v>
      </c>
      <c r="N143" s="84">
        <f>SUM(B143:M143)</f>
        <v>0</v>
      </c>
    </row>
    <row r="144" spans="1:14" ht="12.75" hidden="1">
      <c r="A144" s="25" t="s">
        <v>103</v>
      </c>
      <c r="B144" s="26">
        <f aca="true" t="shared" si="60" ref="B144:M144">ROUND(B135*B138,2)</f>
        <v>0</v>
      </c>
      <c r="C144" s="26">
        <f t="shared" si="60"/>
        <v>0</v>
      </c>
      <c r="D144" s="26">
        <f t="shared" si="60"/>
        <v>0</v>
      </c>
      <c r="E144" s="26">
        <f t="shared" si="60"/>
        <v>0</v>
      </c>
      <c r="F144" s="26">
        <f t="shared" si="60"/>
        <v>0</v>
      </c>
      <c r="G144" s="26">
        <f t="shared" si="60"/>
        <v>0</v>
      </c>
      <c r="H144" s="26">
        <f t="shared" si="60"/>
        <v>0</v>
      </c>
      <c r="I144" s="26">
        <f t="shared" si="60"/>
        <v>0</v>
      </c>
      <c r="J144" s="26">
        <f t="shared" si="60"/>
        <v>0</v>
      </c>
      <c r="K144" s="26">
        <f t="shared" si="60"/>
        <v>0</v>
      </c>
      <c r="L144" s="26">
        <f t="shared" si="60"/>
        <v>0</v>
      </c>
      <c r="M144" s="26">
        <f t="shared" si="60"/>
        <v>0</v>
      </c>
      <c r="N144" s="85">
        <f>SUM(B144:M144)</f>
        <v>0</v>
      </c>
    </row>
    <row r="145" spans="1:14" ht="12.75" hidden="1">
      <c r="A145" s="25" t="s">
        <v>104</v>
      </c>
      <c r="B145" s="26">
        <f aca="true" t="shared" si="61" ref="B145:M145">ROUND(B135*B139,2)</f>
        <v>0</v>
      </c>
      <c r="C145" s="26">
        <f t="shared" si="61"/>
        <v>0</v>
      </c>
      <c r="D145" s="26">
        <f t="shared" si="61"/>
        <v>0</v>
      </c>
      <c r="E145" s="26">
        <f t="shared" si="61"/>
        <v>0</v>
      </c>
      <c r="F145" s="26">
        <f t="shared" si="61"/>
        <v>0</v>
      </c>
      <c r="G145" s="26">
        <f t="shared" si="61"/>
        <v>0</v>
      </c>
      <c r="H145" s="26">
        <f t="shared" si="61"/>
        <v>0</v>
      </c>
      <c r="I145" s="26">
        <f t="shared" si="61"/>
        <v>0</v>
      </c>
      <c r="J145" s="26">
        <f t="shared" si="61"/>
        <v>0</v>
      </c>
      <c r="K145" s="26">
        <f t="shared" si="61"/>
        <v>0</v>
      </c>
      <c r="L145" s="26">
        <f t="shared" si="61"/>
        <v>0</v>
      </c>
      <c r="M145" s="26">
        <f t="shared" si="61"/>
        <v>0</v>
      </c>
      <c r="N145" s="85">
        <f>SUM(B145:M145)</f>
        <v>0</v>
      </c>
    </row>
    <row r="146" spans="1:14" ht="12.75" hidden="1">
      <c r="A146" s="27" t="s">
        <v>105</v>
      </c>
      <c r="B146" s="28">
        <f aca="true" t="shared" si="62" ref="B146:M146">ROUND(B135*B140,2)</f>
        <v>0</v>
      </c>
      <c r="C146" s="28">
        <f t="shared" si="62"/>
        <v>0</v>
      </c>
      <c r="D146" s="28">
        <f t="shared" si="62"/>
        <v>0</v>
      </c>
      <c r="E146" s="28">
        <f t="shared" si="62"/>
        <v>0</v>
      </c>
      <c r="F146" s="28">
        <f t="shared" si="62"/>
        <v>0</v>
      </c>
      <c r="G146" s="28">
        <f t="shared" si="62"/>
        <v>0</v>
      </c>
      <c r="H146" s="28">
        <f t="shared" si="62"/>
        <v>0</v>
      </c>
      <c r="I146" s="28">
        <f t="shared" si="62"/>
        <v>0</v>
      </c>
      <c r="J146" s="28">
        <f t="shared" si="62"/>
        <v>0</v>
      </c>
      <c r="K146" s="28">
        <f t="shared" si="62"/>
        <v>0</v>
      </c>
      <c r="L146" s="28">
        <f t="shared" si="62"/>
        <v>0</v>
      </c>
      <c r="M146" s="28">
        <f t="shared" si="62"/>
        <v>0</v>
      </c>
      <c r="N146" s="86">
        <f>SUM(B146:M146)</f>
        <v>0</v>
      </c>
    </row>
    <row r="147" spans="1:14" ht="13.5" hidden="1" thickBot="1">
      <c r="A147" s="29"/>
      <c r="B147" s="30">
        <f aca="true" t="shared" si="63" ref="B147:N147">+B131-B143-B144-B145-B146</f>
        <v>0</v>
      </c>
      <c r="C147" s="30">
        <f t="shared" si="63"/>
        <v>0</v>
      </c>
      <c r="D147" s="30">
        <f t="shared" si="63"/>
        <v>0</v>
      </c>
      <c r="E147" s="30">
        <f t="shared" si="63"/>
        <v>0</v>
      </c>
      <c r="F147" s="30">
        <f>+F131-F143-F144-F145-F146</f>
        <v>0</v>
      </c>
      <c r="G147" s="30">
        <f>+G131-G143-G144-G145-G146</f>
        <v>0</v>
      </c>
      <c r="H147" s="30">
        <f t="shared" si="63"/>
        <v>0</v>
      </c>
      <c r="I147" s="30">
        <f t="shared" si="63"/>
        <v>0</v>
      </c>
      <c r="J147" s="30">
        <f t="shared" si="63"/>
        <v>0</v>
      </c>
      <c r="K147" s="30">
        <f t="shared" si="63"/>
        <v>0</v>
      </c>
      <c r="L147" s="30">
        <f t="shared" si="63"/>
        <v>0</v>
      </c>
      <c r="M147" s="30">
        <f t="shared" si="63"/>
        <v>0</v>
      </c>
      <c r="N147" s="87">
        <f t="shared" si="63"/>
        <v>0</v>
      </c>
    </row>
    <row r="148" ht="12.75" hidden="1"/>
    <row r="149" spans="1:14" ht="12.75" hidden="1">
      <c r="A149" s="31">
        <v>37864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82">
        <f>SUM(B149:M149)</f>
        <v>0</v>
      </c>
    </row>
    <row r="150" spans="1:14" ht="12.75" hidden="1">
      <c r="A150" t="s">
        <v>99</v>
      </c>
      <c r="B150" s="13">
        <v>0</v>
      </c>
      <c r="C150" s="13">
        <v>0</v>
      </c>
      <c r="D150" s="14">
        <v>0</v>
      </c>
      <c r="E150" s="14">
        <v>0</v>
      </c>
      <c r="F150" s="14"/>
      <c r="G150" s="14"/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83"/>
    </row>
    <row r="151" spans="1:14" ht="12.75" hidden="1">
      <c r="A151" t="s">
        <v>100</v>
      </c>
      <c r="B151" s="12">
        <f aca="true" t="shared" si="64" ref="B151:M151">+B149+B150</f>
        <v>0</v>
      </c>
      <c r="C151" s="12">
        <f t="shared" si="64"/>
        <v>0</v>
      </c>
      <c r="D151" s="12">
        <f t="shared" si="64"/>
        <v>0</v>
      </c>
      <c r="E151" s="12">
        <f t="shared" si="64"/>
        <v>0</v>
      </c>
      <c r="F151" s="12">
        <f>+F149+F150</f>
        <v>0</v>
      </c>
      <c r="G151" s="12">
        <f>+G149+G150</f>
        <v>0</v>
      </c>
      <c r="H151" s="12">
        <f t="shared" si="64"/>
        <v>0</v>
      </c>
      <c r="I151" s="12">
        <f t="shared" si="64"/>
        <v>0</v>
      </c>
      <c r="J151" s="12">
        <f t="shared" si="64"/>
        <v>0</v>
      </c>
      <c r="K151" s="12">
        <f t="shared" si="64"/>
        <v>0</v>
      </c>
      <c r="L151" s="12">
        <f t="shared" si="64"/>
        <v>0</v>
      </c>
      <c r="M151" s="12">
        <f t="shared" si="64"/>
        <v>0</v>
      </c>
      <c r="N151" s="82"/>
    </row>
    <row r="152" ht="12.75" hidden="1"/>
    <row r="153" spans="1:13" ht="12.75" hidden="1">
      <c r="A153" t="s">
        <v>101</v>
      </c>
      <c r="B153" s="12">
        <f aca="true" t="shared" si="65" ref="B153:M153">+B151/B159</f>
        <v>0</v>
      </c>
      <c r="C153" s="12">
        <f t="shared" si="65"/>
        <v>0</v>
      </c>
      <c r="D153" s="12">
        <f t="shared" si="65"/>
        <v>0</v>
      </c>
      <c r="E153" s="12">
        <f t="shared" si="65"/>
        <v>0</v>
      </c>
      <c r="F153" s="12">
        <f t="shared" si="65"/>
        <v>0</v>
      </c>
      <c r="G153" s="12">
        <f t="shared" si="65"/>
        <v>0</v>
      </c>
      <c r="H153" s="12">
        <f t="shared" si="65"/>
        <v>0</v>
      </c>
      <c r="I153" s="12">
        <f t="shared" si="65"/>
        <v>0</v>
      </c>
      <c r="J153" s="12">
        <f t="shared" si="65"/>
        <v>0</v>
      </c>
      <c r="K153" s="12">
        <f t="shared" si="65"/>
        <v>0</v>
      </c>
      <c r="L153" s="12">
        <f t="shared" si="65"/>
        <v>0</v>
      </c>
      <c r="M153" s="12">
        <f t="shared" si="65"/>
        <v>0</v>
      </c>
    </row>
    <row r="154" spans="2:13" ht="12.75" hidden="1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1:13" ht="12.75" hidden="1">
      <c r="A155" t="s">
        <v>102</v>
      </c>
      <c r="B155">
        <f aca="true" t="shared" si="66" ref="B155:M155">B159-SUM(B156:B158)</f>
        <v>0.008468558494684131</v>
      </c>
      <c r="C155">
        <f t="shared" si="66"/>
        <v>9.55964309155355</v>
      </c>
      <c r="D155" s="15">
        <f t="shared" si="66"/>
        <v>0.0037992771375589987</v>
      </c>
      <c r="E155">
        <f t="shared" si="66"/>
        <v>21.08708218640508</v>
      </c>
      <c r="F155">
        <f t="shared" si="66"/>
        <v>0.0037992771375589987</v>
      </c>
      <c r="G155">
        <f t="shared" si="66"/>
        <v>21.08708218640508</v>
      </c>
      <c r="H155">
        <f t="shared" si="66"/>
        <v>1.6737319332604152</v>
      </c>
      <c r="I155">
        <f t="shared" si="66"/>
        <v>265.2229534799843</v>
      </c>
      <c r="J155">
        <f t="shared" si="66"/>
        <v>0.9054152316260093</v>
      </c>
      <c r="K155">
        <f t="shared" si="66"/>
        <v>0.2587681456863579</v>
      </c>
      <c r="L155">
        <f t="shared" si="66"/>
        <v>0.8361010451854844</v>
      </c>
      <c r="M155">
        <f t="shared" si="66"/>
        <v>0.25699301114125417</v>
      </c>
    </row>
    <row r="156" spans="1:13" ht="12.75" hidden="1">
      <c r="A156" t="s">
        <v>103</v>
      </c>
      <c r="B156">
        <v>0.0003616079243880993</v>
      </c>
      <c r="C156" s="16">
        <v>0.3927085937841714</v>
      </c>
      <c r="D156" s="15">
        <v>0.00018811407935885114</v>
      </c>
      <c r="E156" s="16">
        <v>0.8004968407358231</v>
      </c>
      <c r="F156">
        <v>0.00018811407935885114</v>
      </c>
      <c r="G156">
        <v>0.8004968407358231</v>
      </c>
      <c r="H156">
        <v>0.07217116545078593</v>
      </c>
      <c r="I156" s="16">
        <v>10.445955188550439</v>
      </c>
      <c r="J156">
        <v>0.05924696846950266</v>
      </c>
      <c r="K156" s="16">
        <v>0.008611186234852675</v>
      </c>
      <c r="L156" s="17">
        <v>0.035065344322060835</v>
      </c>
      <c r="M156" s="16">
        <v>0.011070398370620899</v>
      </c>
    </row>
    <row r="157" spans="1:13" ht="12.75" hidden="1">
      <c r="A157" t="s">
        <v>104</v>
      </c>
      <c r="B157">
        <v>0.001204240715064637</v>
      </c>
      <c r="C157" s="16">
        <v>1.3078133688329163</v>
      </c>
      <c r="D157" s="15">
        <v>0.0006264647928392694</v>
      </c>
      <c r="E157" s="16">
        <v>2.66584558268717</v>
      </c>
      <c r="F157">
        <v>0.0006264647928392694</v>
      </c>
      <c r="G157">
        <v>2.66584558268717</v>
      </c>
      <c r="H157">
        <v>0.24034721041186058</v>
      </c>
      <c r="I157" s="16">
        <v>34.78752454631531</v>
      </c>
      <c r="J157">
        <v>0.19730654906376266</v>
      </c>
      <c r="K157" s="16">
        <v>0.02867730591513283</v>
      </c>
      <c r="L157">
        <v>0.11677596776077721</v>
      </c>
      <c r="M157" s="16">
        <v>0.03686706941626318</v>
      </c>
    </row>
    <row r="158" spans="1:13" ht="12.75" hidden="1">
      <c r="A158" t="s">
        <v>105</v>
      </c>
      <c r="B158">
        <v>0.00016559286586313236</v>
      </c>
      <c r="C158" s="16">
        <v>0.17983494582936133</v>
      </c>
      <c r="D158" s="18">
        <v>8.614399024288101E-05</v>
      </c>
      <c r="E158" s="16">
        <v>0.3665753901719277</v>
      </c>
      <c r="F158" s="34">
        <v>8.614399024288101E-05</v>
      </c>
      <c r="G158">
        <v>0.3665753901719277</v>
      </c>
      <c r="H158">
        <v>0.033049690876938216</v>
      </c>
      <c r="I158" s="16">
        <v>4.783566785149945</v>
      </c>
      <c r="J158">
        <v>0.027131250840725405</v>
      </c>
      <c r="K158" s="16">
        <v>0.003943362163656555</v>
      </c>
      <c r="L158">
        <v>0.01605764273167756</v>
      </c>
      <c r="M158" s="16">
        <v>0.005069521071861766</v>
      </c>
    </row>
    <row r="159" spans="1:13" ht="12.75" hidden="1">
      <c r="A159" s="19" t="s">
        <v>106</v>
      </c>
      <c r="B159" s="19">
        <v>0.0102</v>
      </c>
      <c r="C159" s="20">
        <v>11.44</v>
      </c>
      <c r="D159" s="19">
        <v>0.0047</v>
      </c>
      <c r="E159" s="21">
        <v>24.92</v>
      </c>
      <c r="F159" s="19">
        <v>0.0047</v>
      </c>
      <c r="G159" s="19">
        <v>24.92</v>
      </c>
      <c r="H159" s="19">
        <v>2.0193</v>
      </c>
      <c r="I159" s="21">
        <v>315.24</v>
      </c>
      <c r="J159" s="19">
        <v>1.1891</v>
      </c>
      <c r="K159" s="21">
        <v>0.3</v>
      </c>
      <c r="L159" s="19">
        <v>1.004</v>
      </c>
      <c r="M159" s="21">
        <v>0.31</v>
      </c>
    </row>
    <row r="160" spans="3:13" ht="12.75" hidden="1">
      <c r="C160" s="16"/>
      <c r="D160" s="18"/>
      <c r="E160" s="16"/>
      <c r="I160" s="16"/>
      <c r="K160" s="16"/>
      <c r="M160" s="16"/>
    </row>
    <row r="161" spans="1:14" ht="12.75" hidden="1">
      <c r="A161" s="22" t="s">
        <v>102</v>
      </c>
      <c r="B161" s="23">
        <f>ROUND(B153*B155,2)</f>
        <v>0</v>
      </c>
      <c r="C161" s="23">
        <f aca="true" t="shared" si="67" ref="C161:M161">ROUND(C153*C155,2)</f>
        <v>0</v>
      </c>
      <c r="D161" s="23">
        <f t="shared" si="67"/>
        <v>0</v>
      </c>
      <c r="E161" s="23">
        <f t="shared" si="67"/>
        <v>0</v>
      </c>
      <c r="F161" s="23">
        <f t="shared" si="67"/>
        <v>0</v>
      </c>
      <c r="G161" s="23">
        <f t="shared" si="67"/>
        <v>0</v>
      </c>
      <c r="H161" s="23">
        <f t="shared" si="67"/>
        <v>0</v>
      </c>
      <c r="I161" s="23">
        <f t="shared" si="67"/>
        <v>0</v>
      </c>
      <c r="J161" s="23">
        <f t="shared" si="67"/>
        <v>0</v>
      </c>
      <c r="K161" s="23">
        <f t="shared" si="67"/>
        <v>0</v>
      </c>
      <c r="L161" s="23">
        <f t="shared" si="67"/>
        <v>0</v>
      </c>
      <c r="M161" s="23">
        <f t="shared" si="67"/>
        <v>0</v>
      </c>
      <c r="N161" s="84">
        <f>SUM(B161:M161)</f>
        <v>0</v>
      </c>
    </row>
    <row r="162" spans="1:14" ht="12.75" hidden="1">
      <c r="A162" s="25" t="s">
        <v>103</v>
      </c>
      <c r="B162" s="26">
        <f aca="true" t="shared" si="68" ref="B162:M162">ROUND(B153*B156,2)</f>
        <v>0</v>
      </c>
      <c r="C162" s="26">
        <f t="shared" si="68"/>
        <v>0</v>
      </c>
      <c r="D162" s="26">
        <f t="shared" si="68"/>
        <v>0</v>
      </c>
      <c r="E162" s="26">
        <f t="shared" si="68"/>
        <v>0</v>
      </c>
      <c r="F162" s="26">
        <f t="shared" si="68"/>
        <v>0</v>
      </c>
      <c r="G162" s="26">
        <f t="shared" si="68"/>
        <v>0</v>
      </c>
      <c r="H162" s="26">
        <f t="shared" si="68"/>
        <v>0</v>
      </c>
      <c r="I162" s="26">
        <f t="shared" si="68"/>
        <v>0</v>
      </c>
      <c r="J162" s="26">
        <f t="shared" si="68"/>
        <v>0</v>
      </c>
      <c r="K162" s="26">
        <f t="shared" si="68"/>
        <v>0</v>
      </c>
      <c r="L162" s="26">
        <f t="shared" si="68"/>
        <v>0</v>
      </c>
      <c r="M162" s="26">
        <f t="shared" si="68"/>
        <v>0</v>
      </c>
      <c r="N162" s="85">
        <f>SUM(B162:M162)</f>
        <v>0</v>
      </c>
    </row>
    <row r="163" spans="1:14" ht="12.75" hidden="1">
      <c r="A163" s="25" t="s">
        <v>104</v>
      </c>
      <c r="B163" s="26">
        <f aca="true" t="shared" si="69" ref="B163:M163">ROUND(B153*B157,2)</f>
        <v>0</v>
      </c>
      <c r="C163" s="26">
        <f t="shared" si="69"/>
        <v>0</v>
      </c>
      <c r="D163" s="26">
        <f t="shared" si="69"/>
        <v>0</v>
      </c>
      <c r="E163" s="26">
        <f t="shared" si="69"/>
        <v>0</v>
      </c>
      <c r="F163" s="26">
        <f t="shared" si="69"/>
        <v>0</v>
      </c>
      <c r="G163" s="26">
        <f t="shared" si="69"/>
        <v>0</v>
      </c>
      <c r="H163" s="26">
        <f t="shared" si="69"/>
        <v>0</v>
      </c>
      <c r="I163" s="26">
        <f t="shared" si="69"/>
        <v>0</v>
      </c>
      <c r="J163" s="26">
        <f t="shared" si="69"/>
        <v>0</v>
      </c>
      <c r="K163" s="26">
        <f t="shared" si="69"/>
        <v>0</v>
      </c>
      <c r="L163" s="26">
        <f t="shared" si="69"/>
        <v>0</v>
      </c>
      <c r="M163" s="26">
        <f t="shared" si="69"/>
        <v>0</v>
      </c>
      <c r="N163" s="85">
        <f>SUM(B163:M163)</f>
        <v>0</v>
      </c>
    </row>
    <row r="164" spans="1:14" ht="12.75" hidden="1">
      <c r="A164" s="27" t="s">
        <v>105</v>
      </c>
      <c r="B164" s="28">
        <f aca="true" t="shared" si="70" ref="B164:M164">ROUND(B153*B158,2)</f>
        <v>0</v>
      </c>
      <c r="C164" s="28">
        <f t="shared" si="70"/>
        <v>0</v>
      </c>
      <c r="D164" s="28">
        <f t="shared" si="70"/>
        <v>0</v>
      </c>
      <c r="E164" s="28">
        <f t="shared" si="70"/>
        <v>0</v>
      </c>
      <c r="F164" s="28">
        <f t="shared" si="70"/>
        <v>0</v>
      </c>
      <c r="G164" s="28">
        <f t="shared" si="70"/>
        <v>0</v>
      </c>
      <c r="H164" s="28">
        <f t="shared" si="70"/>
        <v>0</v>
      </c>
      <c r="I164" s="28">
        <f t="shared" si="70"/>
        <v>0</v>
      </c>
      <c r="J164" s="28">
        <f t="shared" si="70"/>
        <v>0</v>
      </c>
      <c r="K164" s="28">
        <f t="shared" si="70"/>
        <v>0</v>
      </c>
      <c r="L164" s="28">
        <f t="shared" si="70"/>
        <v>0</v>
      </c>
      <c r="M164" s="28">
        <f t="shared" si="70"/>
        <v>0</v>
      </c>
      <c r="N164" s="86">
        <f>SUM(B164:M164)</f>
        <v>0</v>
      </c>
    </row>
    <row r="165" spans="1:14" ht="13.5" hidden="1" thickBot="1">
      <c r="A165" s="29"/>
      <c r="B165" s="30">
        <f aca="true" t="shared" si="71" ref="B165:N165">+B149-B161-B162-B163-B164</f>
        <v>0</v>
      </c>
      <c r="C165" s="30">
        <f t="shared" si="71"/>
        <v>0</v>
      </c>
      <c r="D165" s="30">
        <f t="shared" si="71"/>
        <v>0</v>
      </c>
      <c r="E165" s="30">
        <f t="shared" si="71"/>
        <v>0</v>
      </c>
      <c r="F165" s="30">
        <f>+F149-F161-F162-F163-F164</f>
        <v>0</v>
      </c>
      <c r="G165" s="30">
        <f>+G149-G161-G162-G163-G164</f>
        <v>0</v>
      </c>
      <c r="H165" s="30">
        <f t="shared" si="71"/>
        <v>0</v>
      </c>
      <c r="I165" s="30">
        <f t="shared" si="71"/>
        <v>0</v>
      </c>
      <c r="J165" s="30">
        <f t="shared" si="71"/>
        <v>0</v>
      </c>
      <c r="K165" s="30">
        <f t="shared" si="71"/>
        <v>0</v>
      </c>
      <c r="L165" s="30">
        <f t="shared" si="71"/>
        <v>0</v>
      </c>
      <c r="M165" s="30">
        <f t="shared" si="71"/>
        <v>0</v>
      </c>
      <c r="N165" s="87">
        <f t="shared" si="71"/>
        <v>0</v>
      </c>
    </row>
    <row r="166" ht="12.75" hidden="1"/>
    <row r="167" spans="1:14" ht="12.75" hidden="1">
      <c r="A167" s="31">
        <v>37894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82">
        <f>SUM(B167:M167)</f>
        <v>0</v>
      </c>
    </row>
    <row r="168" spans="1:14" ht="12.75" hidden="1">
      <c r="A168" t="s">
        <v>99</v>
      </c>
      <c r="B168" s="13">
        <v>0</v>
      </c>
      <c r="C168" s="13">
        <v>0</v>
      </c>
      <c r="D168" s="14">
        <v>0</v>
      </c>
      <c r="E168" s="14">
        <v>0</v>
      </c>
      <c r="F168" s="14"/>
      <c r="G168" s="14"/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83"/>
    </row>
    <row r="169" spans="1:14" ht="12.75" hidden="1">
      <c r="A169" t="s">
        <v>100</v>
      </c>
      <c r="B169" s="12">
        <f aca="true" t="shared" si="72" ref="B169:M169">+B167+B168</f>
        <v>0</v>
      </c>
      <c r="C169" s="12">
        <f t="shared" si="72"/>
        <v>0</v>
      </c>
      <c r="D169" s="12">
        <f t="shared" si="72"/>
        <v>0</v>
      </c>
      <c r="E169" s="12">
        <f t="shared" si="72"/>
        <v>0</v>
      </c>
      <c r="F169" s="12">
        <f>+F167+F168</f>
        <v>0</v>
      </c>
      <c r="G169" s="12">
        <f>+G167+G168</f>
        <v>0</v>
      </c>
      <c r="H169" s="12">
        <f t="shared" si="72"/>
        <v>0</v>
      </c>
      <c r="I169" s="12">
        <f t="shared" si="72"/>
        <v>0</v>
      </c>
      <c r="J169" s="12">
        <f t="shared" si="72"/>
        <v>0</v>
      </c>
      <c r="K169" s="12">
        <f t="shared" si="72"/>
        <v>0</v>
      </c>
      <c r="L169" s="12">
        <f t="shared" si="72"/>
        <v>0</v>
      </c>
      <c r="M169" s="12">
        <f t="shared" si="72"/>
        <v>0</v>
      </c>
      <c r="N169" s="82"/>
    </row>
    <row r="170" ht="12.75" hidden="1"/>
    <row r="171" spans="1:13" ht="12.75" hidden="1">
      <c r="A171" t="s">
        <v>101</v>
      </c>
      <c r="B171" s="12">
        <f aca="true" t="shared" si="73" ref="B171:M171">+B169/B177</f>
        <v>0</v>
      </c>
      <c r="C171" s="12">
        <f t="shared" si="73"/>
        <v>0</v>
      </c>
      <c r="D171" s="12">
        <f t="shared" si="73"/>
        <v>0</v>
      </c>
      <c r="E171" s="12">
        <f t="shared" si="73"/>
        <v>0</v>
      </c>
      <c r="F171" s="12">
        <f t="shared" si="73"/>
        <v>0</v>
      </c>
      <c r="G171" s="12">
        <f t="shared" si="73"/>
        <v>0</v>
      </c>
      <c r="H171" s="12">
        <f t="shared" si="73"/>
        <v>0</v>
      </c>
      <c r="I171" s="12">
        <f t="shared" si="73"/>
        <v>0</v>
      </c>
      <c r="J171" s="12">
        <f t="shared" si="73"/>
        <v>0</v>
      </c>
      <c r="K171" s="12">
        <f t="shared" si="73"/>
        <v>0</v>
      </c>
      <c r="L171" s="12">
        <f t="shared" si="73"/>
        <v>0</v>
      </c>
      <c r="M171" s="12">
        <f t="shared" si="73"/>
        <v>0</v>
      </c>
    </row>
    <row r="172" spans="2:13" ht="12.75" hidden="1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1:13" ht="12.75" hidden="1">
      <c r="A173" t="s">
        <v>102</v>
      </c>
      <c r="B173">
        <f aca="true" t="shared" si="74" ref="B173:M173">B177-SUM(B174:B176)</f>
        <v>0.008468558494684131</v>
      </c>
      <c r="C173">
        <f t="shared" si="74"/>
        <v>9.55964309155355</v>
      </c>
      <c r="D173" s="15">
        <f t="shared" si="74"/>
        <v>0.0037992771375589987</v>
      </c>
      <c r="E173">
        <f t="shared" si="74"/>
        <v>21.08708218640508</v>
      </c>
      <c r="F173">
        <f t="shared" si="74"/>
        <v>0.0037992771375589987</v>
      </c>
      <c r="G173">
        <f t="shared" si="74"/>
        <v>21.08708218640508</v>
      </c>
      <c r="H173">
        <f t="shared" si="74"/>
        <v>1.6737319332604152</v>
      </c>
      <c r="I173">
        <f t="shared" si="74"/>
        <v>265.2229534799843</v>
      </c>
      <c r="J173">
        <f t="shared" si="74"/>
        <v>0.9054152316260093</v>
      </c>
      <c r="K173">
        <f t="shared" si="74"/>
        <v>0.2587681456863579</v>
      </c>
      <c r="L173">
        <f t="shared" si="74"/>
        <v>0.8361010451854844</v>
      </c>
      <c r="M173">
        <f t="shared" si="74"/>
        <v>0.25699301114125417</v>
      </c>
    </row>
    <row r="174" spans="1:13" ht="12.75" hidden="1">
      <c r="A174" t="s">
        <v>103</v>
      </c>
      <c r="B174">
        <v>0.0003616079243880993</v>
      </c>
      <c r="C174" s="16">
        <v>0.3927085937841714</v>
      </c>
      <c r="D174" s="15">
        <v>0.00018811407935885114</v>
      </c>
      <c r="E174" s="16">
        <v>0.8004968407358231</v>
      </c>
      <c r="F174">
        <v>0.00018811407935885114</v>
      </c>
      <c r="G174">
        <v>0.8004968407358231</v>
      </c>
      <c r="H174">
        <v>0.07217116545078593</v>
      </c>
      <c r="I174" s="16">
        <v>10.445955188550439</v>
      </c>
      <c r="J174">
        <v>0.05924696846950266</v>
      </c>
      <c r="K174" s="16">
        <v>0.008611186234852675</v>
      </c>
      <c r="L174" s="17">
        <v>0.035065344322060835</v>
      </c>
      <c r="M174" s="16">
        <v>0.011070398370620899</v>
      </c>
    </row>
    <row r="175" spans="1:13" ht="12.75" hidden="1">
      <c r="A175" t="s">
        <v>104</v>
      </c>
      <c r="B175">
        <v>0.001204240715064637</v>
      </c>
      <c r="C175" s="16">
        <v>1.3078133688329163</v>
      </c>
      <c r="D175" s="15">
        <v>0.0006264647928392694</v>
      </c>
      <c r="E175" s="16">
        <v>2.66584558268717</v>
      </c>
      <c r="F175">
        <v>0.0006264647928392694</v>
      </c>
      <c r="G175">
        <v>2.66584558268717</v>
      </c>
      <c r="H175">
        <v>0.24034721041186058</v>
      </c>
      <c r="I175" s="16">
        <v>34.78752454631531</v>
      </c>
      <c r="J175">
        <v>0.19730654906376266</v>
      </c>
      <c r="K175" s="16">
        <v>0.02867730591513283</v>
      </c>
      <c r="L175">
        <v>0.11677596776077721</v>
      </c>
      <c r="M175" s="16">
        <v>0.03686706941626318</v>
      </c>
    </row>
    <row r="176" spans="1:13" ht="12.75" hidden="1">
      <c r="A176" t="s">
        <v>105</v>
      </c>
      <c r="B176">
        <v>0.00016559286586313236</v>
      </c>
      <c r="C176" s="16">
        <v>0.17983494582936133</v>
      </c>
      <c r="D176" s="18">
        <v>8.614399024288101E-05</v>
      </c>
      <c r="E176" s="16">
        <v>0.3665753901719277</v>
      </c>
      <c r="F176" s="34">
        <v>8.614399024288101E-05</v>
      </c>
      <c r="G176">
        <v>0.3665753901719277</v>
      </c>
      <c r="H176">
        <v>0.033049690876938216</v>
      </c>
      <c r="I176" s="16">
        <v>4.783566785149945</v>
      </c>
      <c r="J176">
        <v>0.027131250840725405</v>
      </c>
      <c r="K176" s="16">
        <v>0.003943362163656555</v>
      </c>
      <c r="L176">
        <v>0.01605764273167756</v>
      </c>
      <c r="M176" s="16">
        <v>0.005069521071861766</v>
      </c>
    </row>
    <row r="177" spans="1:13" ht="12.75" hidden="1">
      <c r="A177" s="19" t="s">
        <v>106</v>
      </c>
      <c r="B177" s="19">
        <v>0.0102</v>
      </c>
      <c r="C177" s="20">
        <v>11.44</v>
      </c>
      <c r="D177" s="19">
        <v>0.0047</v>
      </c>
      <c r="E177" s="21">
        <v>24.92</v>
      </c>
      <c r="F177" s="19">
        <v>0.0047</v>
      </c>
      <c r="G177" s="19">
        <v>24.92</v>
      </c>
      <c r="H177" s="19">
        <v>2.0193</v>
      </c>
      <c r="I177" s="21">
        <v>315.24</v>
      </c>
      <c r="J177" s="19">
        <v>1.1891</v>
      </c>
      <c r="K177" s="21">
        <v>0.3</v>
      </c>
      <c r="L177" s="19">
        <v>1.004</v>
      </c>
      <c r="M177" s="21">
        <v>0.31</v>
      </c>
    </row>
    <row r="178" spans="3:13" ht="12.75" hidden="1">
      <c r="C178" s="16"/>
      <c r="D178" s="18"/>
      <c r="E178" s="16"/>
      <c r="I178" s="16"/>
      <c r="K178" s="16"/>
      <c r="M178" s="16"/>
    </row>
    <row r="179" spans="1:14" ht="12.75" hidden="1">
      <c r="A179" s="22" t="s">
        <v>102</v>
      </c>
      <c r="B179" s="23">
        <f>ROUND(B171*B173,2)</f>
        <v>0</v>
      </c>
      <c r="C179" s="23">
        <f aca="true" t="shared" si="75" ref="C179:M179">ROUND(C171*C173,2)</f>
        <v>0</v>
      </c>
      <c r="D179" s="23">
        <f t="shared" si="75"/>
        <v>0</v>
      </c>
      <c r="E179" s="23">
        <f t="shared" si="75"/>
        <v>0</v>
      </c>
      <c r="F179" s="23">
        <f t="shared" si="75"/>
        <v>0</v>
      </c>
      <c r="G179" s="23">
        <f t="shared" si="75"/>
        <v>0</v>
      </c>
      <c r="H179" s="23">
        <f t="shared" si="75"/>
        <v>0</v>
      </c>
      <c r="I179" s="23">
        <f t="shared" si="75"/>
        <v>0</v>
      </c>
      <c r="J179" s="23">
        <f t="shared" si="75"/>
        <v>0</v>
      </c>
      <c r="K179" s="23">
        <f t="shared" si="75"/>
        <v>0</v>
      </c>
      <c r="L179" s="23">
        <f t="shared" si="75"/>
        <v>0</v>
      </c>
      <c r="M179" s="23">
        <f t="shared" si="75"/>
        <v>0</v>
      </c>
      <c r="N179" s="84">
        <f>SUM(B179:M179)</f>
        <v>0</v>
      </c>
    </row>
    <row r="180" spans="1:14" ht="12.75" hidden="1">
      <c r="A180" s="25" t="s">
        <v>103</v>
      </c>
      <c r="B180" s="26">
        <f aca="true" t="shared" si="76" ref="B180:M180">ROUND(B171*B174,2)</f>
        <v>0</v>
      </c>
      <c r="C180" s="26">
        <f t="shared" si="76"/>
        <v>0</v>
      </c>
      <c r="D180" s="26">
        <f t="shared" si="76"/>
        <v>0</v>
      </c>
      <c r="E180" s="26">
        <f t="shared" si="76"/>
        <v>0</v>
      </c>
      <c r="F180" s="26">
        <f t="shared" si="76"/>
        <v>0</v>
      </c>
      <c r="G180" s="26">
        <f t="shared" si="76"/>
        <v>0</v>
      </c>
      <c r="H180" s="26">
        <f t="shared" si="76"/>
        <v>0</v>
      </c>
      <c r="I180" s="26">
        <f t="shared" si="76"/>
        <v>0</v>
      </c>
      <c r="J180" s="26">
        <f t="shared" si="76"/>
        <v>0</v>
      </c>
      <c r="K180" s="26">
        <f t="shared" si="76"/>
        <v>0</v>
      </c>
      <c r="L180" s="26">
        <f t="shared" si="76"/>
        <v>0</v>
      </c>
      <c r="M180" s="26">
        <f t="shared" si="76"/>
        <v>0</v>
      </c>
      <c r="N180" s="85">
        <f>SUM(B180:M180)</f>
        <v>0</v>
      </c>
    </row>
    <row r="181" spans="1:14" ht="12.75" hidden="1">
      <c r="A181" s="25" t="s">
        <v>104</v>
      </c>
      <c r="B181" s="26">
        <f aca="true" t="shared" si="77" ref="B181:M181">ROUND(B171*B175,2)</f>
        <v>0</v>
      </c>
      <c r="C181" s="26">
        <f t="shared" si="77"/>
        <v>0</v>
      </c>
      <c r="D181" s="26">
        <f t="shared" si="77"/>
        <v>0</v>
      </c>
      <c r="E181" s="26">
        <f t="shared" si="77"/>
        <v>0</v>
      </c>
      <c r="F181" s="26">
        <f t="shared" si="77"/>
        <v>0</v>
      </c>
      <c r="G181" s="26">
        <f t="shared" si="77"/>
        <v>0</v>
      </c>
      <c r="H181" s="26">
        <f t="shared" si="77"/>
        <v>0</v>
      </c>
      <c r="I181" s="26">
        <f t="shared" si="77"/>
        <v>0</v>
      </c>
      <c r="J181" s="26">
        <f t="shared" si="77"/>
        <v>0</v>
      </c>
      <c r="K181" s="26">
        <f t="shared" si="77"/>
        <v>0</v>
      </c>
      <c r="L181" s="26">
        <f t="shared" si="77"/>
        <v>0</v>
      </c>
      <c r="M181" s="26">
        <f t="shared" si="77"/>
        <v>0</v>
      </c>
      <c r="N181" s="85">
        <f>SUM(B181:M181)</f>
        <v>0</v>
      </c>
    </row>
    <row r="182" spans="1:14" ht="12.75" hidden="1">
      <c r="A182" s="27" t="s">
        <v>105</v>
      </c>
      <c r="B182" s="28">
        <f aca="true" t="shared" si="78" ref="B182:M182">ROUND(B171*B176,2)</f>
        <v>0</v>
      </c>
      <c r="C182" s="28">
        <f t="shared" si="78"/>
        <v>0</v>
      </c>
      <c r="D182" s="28">
        <f t="shared" si="78"/>
        <v>0</v>
      </c>
      <c r="E182" s="28">
        <f t="shared" si="78"/>
        <v>0</v>
      </c>
      <c r="F182" s="28">
        <f t="shared" si="78"/>
        <v>0</v>
      </c>
      <c r="G182" s="28">
        <f t="shared" si="78"/>
        <v>0</v>
      </c>
      <c r="H182" s="28">
        <f t="shared" si="78"/>
        <v>0</v>
      </c>
      <c r="I182" s="28">
        <f t="shared" si="78"/>
        <v>0</v>
      </c>
      <c r="J182" s="28">
        <f t="shared" si="78"/>
        <v>0</v>
      </c>
      <c r="K182" s="28">
        <f t="shared" si="78"/>
        <v>0</v>
      </c>
      <c r="L182" s="28">
        <f t="shared" si="78"/>
        <v>0</v>
      </c>
      <c r="M182" s="28">
        <f t="shared" si="78"/>
        <v>0</v>
      </c>
      <c r="N182" s="86">
        <f>SUM(B182:M182)</f>
        <v>0</v>
      </c>
    </row>
    <row r="183" spans="1:14" ht="13.5" hidden="1" thickBot="1">
      <c r="A183" s="29"/>
      <c r="B183" s="30">
        <f aca="true" t="shared" si="79" ref="B183:N183">+B167-B179-B180-B181-B182</f>
        <v>0</v>
      </c>
      <c r="C183" s="30">
        <f t="shared" si="79"/>
        <v>0</v>
      </c>
      <c r="D183" s="30">
        <f t="shared" si="79"/>
        <v>0</v>
      </c>
      <c r="E183" s="30">
        <f t="shared" si="79"/>
        <v>0</v>
      </c>
      <c r="F183" s="30">
        <f>+F167-F179-F180-F181-F182</f>
        <v>0</v>
      </c>
      <c r="G183" s="30">
        <f>+G167-G179-G180-G181-G182</f>
        <v>0</v>
      </c>
      <c r="H183" s="30">
        <f t="shared" si="79"/>
        <v>0</v>
      </c>
      <c r="I183" s="30">
        <f t="shared" si="79"/>
        <v>0</v>
      </c>
      <c r="J183" s="30">
        <f t="shared" si="79"/>
        <v>0</v>
      </c>
      <c r="K183" s="30">
        <f t="shared" si="79"/>
        <v>0</v>
      </c>
      <c r="L183" s="30">
        <f t="shared" si="79"/>
        <v>0</v>
      </c>
      <c r="M183" s="30">
        <f t="shared" si="79"/>
        <v>0</v>
      </c>
      <c r="N183" s="87">
        <f t="shared" si="79"/>
        <v>0</v>
      </c>
    </row>
    <row r="184" ht="12.75" hidden="1"/>
    <row r="185" spans="1:14" ht="12.75" hidden="1">
      <c r="A185" s="31">
        <v>37925</v>
      </c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82">
        <f>SUM(B185:M185)</f>
        <v>0</v>
      </c>
    </row>
    <row r="186" spans="1:14" ht="12.75" hidden="1">
      <c r="A186" t="s">
        <v>99</v>
      </c>
      <c r="B186" s="13">
        <v>0</v>
      </c>
      <c r="C186" s="13">
        <v>0</v>
      </c>
      <c r="D186" s="14">
        <v>0</v>
      </c>
      <c r="E186" s="14">
        <v>0</v>
      </c>
      <c r="F186" s="14"/>
      <c r="G186" s="14"/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83"/>
    </row>
    <row r="187" spans="1:14" ht="12.75" hidden="1">
      <c r="A187" t="s">
        <v>100</v>
      </c>
      <c r="B187" s="12">
        <f aca="true" t="shared" si="80" ref="B187:M187">+B185+B186</f>
        <v>0</v>
      </c>
      <c r="C187" s="12">
        <f t="shared" si="80"/>
        <v>0</v>
      </c>
      <c r="D187" s="12">
        <f t="shared" si="80"/>
        <v>0</v>
      </c>
      <c r="E187" s="12">
        <f t="shared" si="80"/>
        <v>0</v>
      </c>
      <c r="F187" s="12">
        <f>+F185+F186</f>
        <v>0</v>
      </c>
      <c r="G187" s="12">
        <f>+G185+G186</f>
        <v>0</v>
      </c>
      <c r="H187" s="12">
        <f t="shared" si="80"/>
        <v>0</v>
      </c>
      <c r="I187" s="12">
        <f t="shared" si="80"/>
        <v>0</v>
      </c>
      <c r="J187" s="12">
        <f t="shared" si="80"/>
        <v>0</v>
      </c>
      <c r="K187" s="12">
        <f t="shared" si="80"/>
        <v>0</v>
      </c>
      <c r="L187" s="12">
        <f t="shared" si="80"/>
        <v>0</v>
      </c>
      <c r="M187" s="12">
        <f t="shared" si="80"/>
        <v>0</v>
      </c>
      <c r="N187" s="82"/>
    </row>
    <row r="188" ht="12.75" hidden="1"/>
    <row r="189" spans="1:13" ht="12.75" hidden="1">
      <c r="A189" t="s">
        <v>101</v>
      </c>
      <c r="B189" s="12">
        <f aca="true" t="shared" si="81" ref="B189:M189">+B187/B195</f>
        <v>0</v>
      </c>
      <c r="C189" s="12">
        <f t="shared" si="81"/>
        <v>0</v>
      </c>
      <c r="D189" s="12">
        <f t="shared" si="81"/>
        <v>0</v>
      </c>
      <c r="E189" s="12">
        <f t="shared" si="81"/>
        <v>0</v>
      </c>
      <c r="F189" s="12">
        <f t="shared" si="81"/>
        <v>0</v>
      </c>
      <c r="G189" s="12">
        <f t="shared" si="81"/>
        <v>0</v>
      </c>
      <c r="H189" s="12">
        <f t="shared" si="81"/>
        <v>0</v>
      </c>
      <c r="I189" s="12">
        <f t="shared" si="81"/>
        <v>0</v>
      </c>
      <c r="J189" s="12">
        <f t="shared" si="81"/>
        <v>0</v>
      </c>
      <c r="K189" s="12">
        <f t="shared" si="81"/>
        <v>0</v>
      </c>
      <c r="L189" s="12">
        <f t="shared" si="81"/>
        <v>0</v>
      </c>
      <c r="M189" s="12">
        <f t="shared" si="81"/>
        <v>0</v>
      </c>
    </row>
    <row r="190" spans="2:13" ht="12.75" hidden="1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1:13" ht="12.75" hidden="1">
      <c r="A191" t="s">
        <v>102</v>
      </c>
      <c r="B191">
        <f aca="true" t="shared" si="82" ref="B191:M191">B195-SUM(B192:B194)</f>
        <v>0.008468558494684131</v>
      </c>
      <c r="C191">
        <f t="shared" si="82"/>
        <v>9.55964309155355</v>
      </c>
      <c r="D191" s="15">
        <f t="shared" si="82"/>
        <v>0.0037992771375589987</v>
      </c>
      <c r="E191">
        <f t="shared" si="82"/>
        <v>21.08708218640508</v>
      </c>
      <c r="F191">
        <f t="shared" si="82"/>
        <v>0.0037992771375589987</v>
      </c>
      <c r="G191">
        <f t="shared" si="82"/>
        <v>21.08708218640508</v>
      </c>
      <c r="H191">
        <f t="shared" si="82"/>
        <v>1.6737319332604152</v>
      </c>
      <c r="I191">
        <f t="shared" si="82"/>
        <v>265.2229534799843</v>
      </c>
      <c r="J191">
        <f t="shared" si="82"/>
        <v>0.9054152316260093</v>
      </c>
      <c r="K191">
        <f t="shared" si="82"/>
        <v>0.2587681456863579</v>
      </c>
      <c r="L191">
        <f t="shared" si="82"/>
        <v>0.8361010451854844</v>
      </c>
      <c r="M191">
        <f t="shared" si="82"/>
        <v>0.25699301114125417</v>
      </c>
    </row>
    <row r="192" spans="1:13" ht="12.75" hidden="1">
      <c r="A192" t="s">
        <v>103</v>
      </c>
      <c r="B192">
        <v>0.0003616079243880993</v>
      </c>
      <c r="C192" s="16">
        <v>0.3927085937841714</v>
      </c>
      <c r="D192" s="15">
        <v>0.00018811407935885114</v>
      </c>
      <c r="E192" s="16">
        <v>0.8004968407358231</v>
      </c>
      <c r="F192">
        <v>0.00018811407935885114</v>
      </c>
      <c r="G192">
        <v>0.8004968407358231</v>
      </c>
      <c r="H192">
        <v>0.07217116545078593</v>
      </c>
      <c r="I192" s="16">
        <v>10.445955188550439</v>
      </c>
      <c r="J192">
        <v>0.05924696846950266</v>
      </c>
      <c r="K192" s="16">
        <v>0.008611186234852675</v>
      </c>
      <c r="L192" s="17">
        <v>0.035065344322060835</v>
      </c>
      <c r="M192" s="16">
        <v>0.011070398370620899</v>
      </c>
    </row>
    <row r="193" spans="1:13" ht="12.75" hidden="1">
      <c r="A193" t="s">
        <v>104</v>
      </c>
      <c r="B193">
        <v>0.001204240715064637</v>
      </c>
      <c r="C193" s="16">
        <v>1.3078133688329163</v>
      </c>
      <c r="D193" s="15">
        <v>0.0006264647928392694</v>
      </c>
      <c r="E193" s="16">
        <v>2.66584558268717</v>
      </c>
      <c r="F193">
        <v>0.0006264647928392694</v>
      </c>
      <c r="G193">
        <v>2.66584558268717</v>
      </c>
      <c r="H193">
        <v>0.24034721041186058</v>
      </c>
      <c r="I193" s="16">
        <v>34.78752454631531</v>
      </c>
      <c r="J193">
        <v>0.19730654906376266</v>
      </c>
      <c r="K193" s="16">
        <v>0.02867730591513283</v>
      </c>
      <c r="L193">
        <v>0.11677596776077721</v>
      </c>
      <c r="M193" s="16">
        <v>0.03686706941626318</v>
      </c>
    </row>
    <row r="194" spans="1:13" ht="12.75" hidden="1">
      <c r="A194" t="s">
        <v>105</v>
      </c>
      <c r="B194">
        <v>0.00016559286586313236</v>
      </c>
      <c r="C194" s="16">
        <v>0.17983494582936133</v>
      </c>
      <c r="D194" s="18">
        <v>8.614399024288101E-05</v>
      </c>
      <c r="E194" s="16">
        <v>0.3665753901719277</v>
      </c>
      <c r="F194" s="34">
        <v>8.614399024288101E-05</v>
      </c>
      <c r="G194">
        <v>0.3665753901719277</v>
      </c>
      <c r="H194">
        <v>0.033049690876938216</v>
      </c>
      <c r="I194" s="16">
        <v>4.783566785149945</v>
      </c>
      <c r="J194">
        <v>0.027131250840725405</v>
      </c>
      <c r="K194" s="16">
        <v>0.003943362163656555</v>
      </c>
      <c r="L194">
        <v>0.01605764273167756</v>
      </c>
      <c r="M194" s="16">
        <v>0.005069521071861766</v>
      </c>
    </row>
    <row r="195" spans="1:13" ht="12.75" hidden="1">
      <c r="A195" s="19" t="s">
        <v>106</v>
      </c>
      <c r="B195" s="19">
        <v>0.0102</v>
      </c>
      <c r="C195" s="20">
        <v>11.44</v>
      </c>
      <c r="D195" s="19">
        <v>0.0047</v>
      </c>
      <c r="E195" s="21">
        <v>24.92</v>
      </c>
      <c r="F195" s="19">
        <v>0.0047</v>
      </c>
      <c r="G195" s="19">
        <v>24.92</v>
      </c>
      <c r="H195" s="19">
        <v>2.0193</v>
      </c>
      <c r="I195" s="21">
        <v>315.24</v>
      </c>
      <c r="J195" s="19">
        <v>1.1891</v>
      </c>
      <c r="K195" s="21">
        <v>0.3</v>
      </c>
      <c r="L195" s="19">
        <v>1.004</v>
      </c>
      <c r="M195" s="21">
        <v>0.31</v>
      </c>
    </row>
    <row r="196" spans="3:13" ht="12.75" hidden="1">
      <c r="C196" s="16"/>
      <c r="D196" s="18"/>
      <c r="E196" s="16"/>
      <c r="I196" s="16"/>
      <c r="K196" s="16"/>
      <c r="M196" s="16"/>
    </row>
    <row r="197" spans="1:14" ht="12.75" hidden="1">
      <c r="A197" s="22" t="s">
        <v>102</v>
      </c>
      <c r="B197" s="23">
        <f>ROUND(B189*B191,2)</f>
        <v>0</v>
      </c>
      <c r="C197" s="23">
        <f aca="true" t="shared" si="83" ref="C197:M197">ROUND(C189*C191,2)</f>
        <v>0</v>
      </c>
      <c r="D197" s="23">
        <f t="shared" si="83"/>
        <v>0</v>
      </c>
      <c r="E197" s="23">
        <f t="shared" si="83"/>
        <v>0</v>
      </c>
      <c r="F197" s="23">
        <f t="shared" si="83"/>
        <v>0</v>
      </c>
      <c r="G197" s="23">
        <f t="shared" si="83"/>
        <v>0</v>
      </c>
      <c r="H197" s="23">
        <f t="shared" si="83"/>
        <v>0</v>
      </c>
      <c r="I197" s="23">
        <f t="shared" si="83"/>
        <v>0</v>
      </c>
      <c r="J197" s="23">
        <f t="shared" si="83"/>
        <v>0</v>
      </c>
      <c r="K197" s="23">
        <f t="shared" si="83"/>
        <v>0</v>
      </c>
      <c r="L197" s="23">
        <f t="shared" si="83"/>
        <v>0</v>
      </c>
      <c r="M197" s="23">
        <f t="shared" si="83"/>
        <v>0</v>
      </c>
      <c r="N197" s="84">
        <f>SUM(B197:M197)</f>
        <v>0</v>
      </c>
    </row>
    <row r="198" spans="1:14" ht="12.75" hidden="1">
      <c r="A198" s="25" t="s">
        <v>103</v>
      </c>
      <c r="B198" s="26">
        <f aca="true" t="shared" si="84" ref="B198:M198">ROUND(B189*B192,2)</f>
        <v>0</v>
      </c>
      <c r="C198" s="26">
        <f t="shared" si="84"/>
        <v>0</v>
      </c>
      <c r="D198" s="26">
        <f t="shared" si="84"/>
        <v>0</v>
      </c>
      <c r="E198" s="26">
        <f t="shared" si="84"/>
        <v>0</v>
      </c>
      <c r="F198" s="26">
        <f t="shared" si="84"/>
        <v>0</v>
      </c>
      <c r="G198" s="26">
        <f t="shared" si="84"/>
        <v>0</v>
      </c>
      <c r="H198" s="26">
        <f t="shared" si="84"/>
        <v>0</v>
      </c>
      <c r="I198" s="26">
        <f t="shared" si="84"/>
        <v>0</v>
      </c>
      <c r="J198" s="26">
        <f t="shared" si="84"/>
        <v>0</v>
      </c>
      <c r="K198" s="26">
        <f t="shared" si="84"/>
        <v>0</v>
      </c>
      <c r="L198" s="26">
        <f t="shared" si="84"/>
        <v>0</v>
      </c>
      <c r="M198" s="26">
        <f t="shared" si="84"/>
        <v>0</v>
      </c>
      <c r="N198" s="85">
        <f>SUM(B198:M198)</f>
        <v>0</v>
      </c>
    </row>
    <row r="199" spans="1:14" ht="12.75" hidden="1">
      <c r="A199" s="25" t="s">
        <v>104</v>
      </c>
      <c r="B199" s="26">
        <f aca="true" t="shared" si="85" ref="B199:M199">ROUND(B189*B193,2)</f>
        <v>0</v>
      </c>
      <c r="C199" s="26">
        <f t="shared" si="85"/>
        <v>0</v>
      </c>
      <c r="D199" s="26">
        <f t="shared" si="85"/>
        <v>0</v>
      </c>
      <c r="E199" s="26">
        <f t="shared" si="85"/>
        <v>0</v>
      </c>
      <c r="F199" s="26">
        <f t="shared" si="85"/>
        <v>0</v>
      </c>
      <c r="G199" s="26">
        <f t="shared" si="85"/>
        <v>0</v>
      </c>
      <c r="H199" s="26">
        <f t="shared" si="85"/>
        <v>0</v>
      </c>
      <c r="I199" s="26">
        <f t="shared" si="85"/>
        <v>0</v>
      </c>
      <c r="J199" s="26">
        <f t="shared" si="85"/>
        <v>0</v>
      </c>
      <c r="K199" s="26">
        <f t="shared" si="85"/>
        <v>0</v>
      </c>
      <c r="L199" s="26">
        <f t="shared" si="85"/>
        <v>0</v>
      </c>
      <c r="M199" s="26">
        <f t="shared" si="85"/>
        <v>0</v>
      </c>
      <c r="N199" s="85">
        <f>SUM(B199:M199)</f>
        <v>0</v>
      </c>
    </row>
    <row r="200" spans="1:14" ht="12.75" hidden="1">
      <c r="A200" s="27" t="s">
        <v>105</v>
      </c>
      <c r="B200" s="28">
        <f aca="true" t="shared" si="86" ref="B200:M200">ROUND(B189*B194,2)</f>
        <v>0</v>
      </c>
      <c r="C200" s="28">
        <f t="shared" si="86"/>
        <v>0</v>
      </c>
      <c r="D200" s="28">
        <f t="shared" si="86"/>
        <v>0</v>
      </c>
      <c r="E200" s="28">
        <f t="shared" si="86"/>
        <v>0</v>
      </c>
      <c r="F200" s="28">
        <f t="shared" si="86"/>
        <v>0</v>
      </c>
      <c r="G200" s="28">
        <f t="shared" si="86"/>
        <v>0</v>
      </c>
      <c r="H200" s="28">
        <f t="shared" si="86"/>
        <v>0</v>
      </c>
      <c r="I200" s="28">
        <f t="shared" si="86"/>
        <v>0</v>
      </c>
      <c r="J200" s="28">
        <f t="shared" si="86"/>
        <v>0</v>
      </c>
      <c r="K200" s="28">
        <f t="shared" si="86"/>
        <v>0</v>
      </c>
      <c r="L200" s="28">
        <f t="shared" si="86"/>
        <v>0</v>
      </c>
      <c r="M200" s="28">
        <f t="shared" si="86"/>
        <v>0</v>
      </c>
      <c r="N200" s="86">
        <f>SUM(B200:M200)</f>
        <v>0</v>
      </c>
    </row>
    <row r="201" spans="1:14" ht="13.5" hidden="1" thickBot="1">
      <c r="A201" s="29"/>
      <c r="B201" s="30">
        <f aca="true" t="shared" si="87" ref="B201:N201">+B185-B197-B198-B199-B200</f>
        <v>0</v>
      </c>
      <c r="C201" s="30">
        <f t="shared" si="87"/>
        <v>0</v>
      </c>
      <c r="D201" s="30">
        <f t="shared" si="87"/>
        <v>0</v>
      </c>
      <c r="E201" s="30">
        <f t="shared" si="87"/>
        <v>0</v>
      </c>
      <c r="F201" s="30">
        <f>+F185-F197-F198-F199-F200</f>
        <v>0</v>
      </c>
      <c r="G201" s="30">
        <f>+G185-G197-G198-G199-G200</f>
        <v>0</v>
      </c>
      <c r="H201" s="30">
        <f t="shared" si="87"/>
        <v>0</v>
      </c>
      <c r="I201" s="30">
        <f t="shared" si="87"/>
        <v>0</v>
      </c>
      <c r="J201" s="30">
        <f t="shared" si="87"/>
        <v>0</v>
      </c>
      <c r="K201" s="30">
        <f t="shared" si="87"/>
        <v>0</v>
      </c>
      <c r="L201" s="30">
        <f t="shared" si="87"/>
        <v>0</v>
      </c>
      <c r="M201" s="30">
        <f t="shared" si="87"/>
        <v>0</v>
      </c>
      <c r="N201" s="87">
        <f t="shared" si="87"/>
        <v>0</v>
      </c>
    </row>
    <row r="202" ht="12.75" hidden="1"/>
    <row r="203" spans="1:14" ht="12.75" hidden="1">
      <c r="A203" s="31">
        <v>37955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82">
        <f>SUM(B203:M203)</f>
        <v>0</v>
      </c>
    </row>
    <row r="204" spans="1:14" ht="12.75" hidden="1">
      <c r="A204" t="s">
        <v>99</v>
      </c>
      <c r="B204" s="13">
        <v>0</v>
      </c>
      <c r="C204" s="13">
        <v>0</v>
      </c>
      <c r="D204" s="14">
        <v>0</v>
      </c>
      <c r="E204" s="14">
        <v>0</v>
      </c>
      <c r="F204" s="14"/>
      <c r="G204" s="14"/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83"/>
    </row>
    <row r="205" spans="1:14" ht="12.75" hidden="1">
      <c r="A205" t="s">
        <v>100</v>
      </c>
      <c r="B205" s="12">
        <f aca="true" t="shared" si="88" ref="B205:M205">+B203+B204</f>
        <v>0</v>
      </c>
      <c r="C205" s="12">
        <f t="shared" si="88"/>
        <v>0</v>
      </c>
      <c r="D205" s="12">
        <f t="shared" si="88"/>
        <v>0</v>
      </c>
      <c r="E205" s="12">
        <f t="shared" si="88"/>
        <v>0</v>
      </c>
      <c r="F205" s="12">
        <f>+F203+F204</f>
        <v>0</v>
      </c>
      <c r="G205" s="12">
        <f>+G203+G204</f>
        <v>0</v>
      </c>
      <c r="H205" s="12">
        <f t="shared" si="88"/>
        <v>0</v>
      </c>
      <c r="I205" s="12">
        <f t="shared" si="88"/>
        <v>0</v>
      </c>
      <c r="J205" s="12">
        <f t="shared" si="88"/>
        <v>0</v>
      </c>
      <c r="K205" s="12">
        <f t="shared" si="88"/>
        <v>0</v>
      </c>
      <c r="L205" s="12">
        <f t="shared" si="88"/>
        <v>0</v>
      </c>
      <c r="M205" s="12">
        <f t="shared" si="88"/>
        <v>0</v>
      </c>
      <c r="N205" s="82"/>
    </row>
    <row r="206" ht="12.75" hidden="1"/>
    <row r="207" spans="1:13" ht="12.75" hidden="1">
      <c r="A207" t="s">
        <v>101</v>
      </c>
      <c r="B207" s="12">
        <f aca="true" t="shared" si="89" ref="B207:M207">+B205/B213</f>
        <v>0</v>
      </c>
      <c r="C207" s="12">
        <f t="shared" si="89"/>
        <v>0</v>
      </c>
      <c r="D207" s="12">
        <f t="shared" si="89"/>
        <v>0</v>
      </c>
      <c r="E207" s="12">
        <f t="shared" si="89"/>
        <v>0</v>
      </c>
      <c r="F207" s="12">
        <f t="shared" si="89"/>
        <v>0</v>
      </c>
      <c r="G207" s="12">
        <f t="shared" si="89"/>
        <v>0</v>
      </c>
      <c r="H207" s="12">
        <f t="shared" si="89"/>
        <v>0</v>
      </c>
      <c r="I207" s="12">
        <f t="shared" si="89"/>
        <v>0</v>
      </c>
      <c r="J207" s="12">
        <f t="shared" si="89"/>
        <v>0</v>
      </c>
      <c r="K207" s="12">
        <f t="shared" si="89"/>
        <v>0</v>
      </c>
      <c r="L207" s="12">
        <f t="shared" si="89"/>
        <v>0</v>
      </c>
      <c r="M207" s="12">
        <f t="shared" si="89"/>
        <v>0</v>
      </c>
    </row>
    <row r="208" spans="2:13" ht="12.75" hidden="1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1:13" ht="12.75" hidden="1">
      <c r="A209" t="s">
        <v>102</v>
      </c>
      <c r="B209">
        <f aca="true" t="shared" si="90" ref="B209:M209">B213-SUM(B210:B212)</f>
        <v>0.008468558494684131</v>
      </c>
      <c r="C209">
        <f t="shared" si="90"/>
        <v>9.55964309155355</v>
      </c>
      <c r="D209" s="15">
        <f t="shared" si="90"/>
        <v>0.0037992771375589987</v>
      </c>
      <c r="E209">
        <f t="shared" si="90"/>
        <v>21.08708218640508</v>
      </c>
      <c r="F209">
        <f t="shared" si="90"/>
        <v>0.0037992771375589987</v>
      </c>
      <c r="G209">
        <f t="shared" si="90"/>
        <v>21.08708218640508</v>
      </c>
      <c r="H209">
        <f t="shared" si="90"/>
        <v>1.6737319332604152</v>
      </c>
      <c r="I209">
        <f t="shared" si="90"/>
        <v>265.2229534799843</v>
      </c>
      <c r="J209">
        <f t="shared" si="90"/>
        <v>0.9054152316260093</v>
      </c>
      <c r="K209">
        <f t="shared" si="90"/>
        <v>0.2587681456863579</v>
      </c>
      <c r="L209">
        <f t="shared" si="90"/>
        <v>0.8361010451854844</v>
      </c>
      <c r="M209">
        <f t="shared" si="90"/>
        <v>0.25699301114125417</v>
      </c>
    </row>
    <row r="210" spans="1:13" ht="12.75" hidden="1">
      <c r="A210" t="s">
        <v>103</v>
      </c>
      <c r="B210">
        <v>0.0003616079243880993</v>
      </c>
      <c r="C210" s="16">
        <v>0.3927085937841714</v>
      </c>
      <c r="D210" s="15">
        <v>0.00018811407935885114</v>
      </c>
      <c r="E210" s="16">
        <v>0.8004968407358231</v>
      </c>
      <c r="F210">
        <v>0.00018811407935885114</v>
      </c>
      <c r="G210">
        <v>0.8004968407358231</v>
      </c>
      <c r="H210">
        <v>0.07217116545078593</v>
      </c>
      <c r="I210" s="16">
        <v>10.445955188550439</v>
      </c>
      <c r="J210">
        <v>0.05924696846950266</v>
      </c>
      <c r="K210" s="16">
        <v>0.008611186234852675</v>
      </c>
      <c r="L210" s="17">
        <v>0.035065344322060835</v>
      </c>
      <c r="M210" s="16">
        <v>0.011070398370620899</v>
      </c>
    </row>
    <row r="211" spans="1:13" ht="12.75" hidden="1">
      <c r="A211" t="s">
        <v>104</v>
      </c>
      <c r="B211">
        <v>0.001204240715064637</v>
      </c>
      <c r="C211" s="16">
        <v>1.3078133688329163</v>
      </c>
      <c r="D211" s="15">
        <v>0.0006264647928392694</v>
      </c>
      <c r="E211" s="16">
        <v>2.66584558268717</v>
      </c>
      <c r="F211">
        <v>0.0006264647928392694</v>
      </c>
      <c r="G211">
        <v>2.66584558268717</v>
      </c>
      <c r="H211">
        <v>0.24034721041186058</v>
      </c>
      <c r="I211" s="16">
        <v>34.78752454631531</v>
      </c>
      <c r="J211">
        <v>0.19730654906376266</v>
      </c>
      <c r="K211" s="16">
        <v>0.02867730591513283</v>
      </c>
      <c r="L211">
        <v>0.11677596776077721</v>
      </c>
      <c r="M211" s="16">
        <v>0.03686706941626318</v>
      </c>
    </row>
    <row r="212" spans="1:13" ht="12.75" hidden="1">
      <c r="A212" t="s">
        <v>105</v>
      </c>
      <c r="B212">
        <v>0.00016559286586313236</v>
      </c>
      <c r="C212" s="16">
        <v>0.17983494582936133</v>
      </c>
      <c r="D212" s="18">
        <v>8.614399024288101E-05</v>
      </c>
      <c r="E212" s="16">
        <v>0.3665753901719277</v>
      </c>
      <c r="F212" s="34">
        <v>8.614399024288101E-05</v>
      </c>
      <c r="G212">
        <v>0.3665753901719277</v>
      </c>
      <c r="H212">
        <v>0.033049690876938216</v>
      </c>
      <c r="I212" s="16">
        <v>4.783566785149945</v>
      </c>
      <c r="J212">
        <v>0.027131250840725405</v>
      </c>
      <c r="K212" s="16">
        <v>0.003943362163656555</v>
      </c>
      <c r="L212">
        <v>0.01605764273167756</v>
      </c>
      <c r="M212" s="16">
        <v>0.005069521071861766</v>
      </c>
    </row>
    <row r="213" spans="1:13" ht="12.75" hidden="1">
      <c r="A213" s="19" t="s">
        <v>106</v>
      </c>
      <c r="B213" s="19">
        <v>0.0102</v>
      </c>
      <c r="C213" s="20">
        <v>11.44</v>
      </c>
      <c r="D213" s="19">
        <v>0.0047</v>
      </c>
      <c r="E213" s="21">
        <v>24.92</v>
      </c>
      <c r="F213" s="19">
        <v>0.0047</v>
      </c>
      <c r="G213" s="19">
        <v>24.92</v>
      </c>
      <c r="H213" s="19">
        <v>2.0193</v>
      </c>
      <c r="I213" s="21">
        <v>315.24</v>
      </c>
      <c r="J213" s="19">
        <v>1.1891</v>
      </c>
      <c r="K213" s="21">
        <v>0.3</v>
      </c>
      <c r="L213" s="19">
        <v>1.004</v>
      </c>
      <c r="M213" s="21">
        <v>0.31</v>
      </c>
    </row>
    <row r="214" spans="3:13" ht="12.75" hidden="1">
      <c r="C214" s="16"/>
      <c r="D214" s="18"/>
      <c r="E214" s="16"/>
      <c r="I214" s="16"/>
      <c r="K214" s="16"/>
      <c r="M214" s="16"/>
    </row>
    <row r="215" spans="1:14" ht="12.75" hidden="1">
      <c r="A215" s="22" t="s">
        <v>102</v>
      </c>
      <c r="B215" s="23">
        <f>ROUND(B207*B209,2)</f>
        <v>0</v>
      </c>
      <c r="C215" s="23">
        <f aca="true" t="shared" si="91" ref="C215:M215">ROUND(C207*C209,2)</f>
        <v>0</v>
      </c>
      <c r="D215" s="23">
        <f t="shared" si="91"/>
        <v>0</v>
      </c>
      <c r="E215" s="23">
        <f t="shared" si="91"/>
        <v>0</v>
      </c>
      <c r="F215" s="23">
        <f t="shared" si="91"/>
        <v>0</v>
      </c>
      <c r="G215" s="23">
        <f t="shared" si="91"/>
        <v>0</v>
      </c>
      <c r="H215" s="23">
        <f t="shared" si="91"/>
        <v>0</v>
      </c>
      <c r="I215" s="23">
        <f t="shared" si="91"/>
        <v>0</v>
      </c>
      <c r="J215" s="23">
        <f t="shared" si="91"/>
        <v>0</v>
      </c>
      <c r="K215" s="23">
        <f t="shared" si="91"/>
        <v>0</v>
      </c>
      <c r="L215" s="23">
        <f t="shared" si="91"/>
        <v>0</v>
      </c>
      <c r="M215" s="23">
        <f t="shared" si="91"/>
        <v>0</v>
      </c>
      <c r="N215" s="84">
        <f>SUM(B215:M215)</f>
        <v>0</v>
      </c>
    </row>
    <row r="216" spans="1:14" ht="12.75" hidden="1">
      <c r="A216" s="25" t="s">
        <v>103</v>
      </c>
      <c r="B216" s="26">
        <f aca="true" t="shared" si="92" ref="B216:M216">ROUND(B207*B210,2)</f>
        <v>0</v>
      </c>
      <c r="C216" s="26">
        <f t="shared" si="92"/>
        <v>0</v>
      </c>
      <c r="D216" s="26">
        <f t="shared" si="92"/>
        <v>0</v>
      </c>
      <c r="E216" s="26">
        <f t="shared" si="92"/>
        <v>0</v>
      </c>
      <c r="F216" s="26">
        <f t="shared" si="92"/>
        <v>0</v>
      </c>
      <c r="G216" s="26">
        <f t="shared" si="92"/>
        <v>0</v>
      </c>
      <c r="H216" s="26">
        <f t="shared" si="92"/>
        <v>0</v>
      </c>
      <c r="I216" s="26">
        <f t="shared" si="92"/>
        <v>0</v>
      </c>
      <c r="J216" s="26">
        <f t="shared" si="92"/>
        <v>0</v>
      </c>
      <c r="K216" s="26">
        <f t="shared" si="92"/>
        <v>0</v>
      </c>
      <c r="L216" s="26">
        <f t="shared" si="92"/>
        <v>0</v>
      </c>
      <c r="M216" s="26">
        <f t="shared" si="92"/>
        <v>0</v>
      </c>
      <c r="N216" s="85">
        <f>SUM(B216:M216)</f>
        <v>0</v>
      </c>
    </row>
    <row r="217" spans="1:14" ht="12.75" hidden="1">
      <c r="A217" s="25" t="s">
        <v>104</v>
      </c>
      <c r="B217" s="26">
        <f aca="true" t="shared" si="93" ref="B217:M217">ROUND(B207*B211,2)</f>
        <v>0</v>
      </c>
      <c r="C217" s="26">
        <f t="shared" si="93"/>
        <v>0</v>
      </c>
      <c r="D217" s="26">
        <f t="shared" si="93"/>
        <v>0</v>
      </c>
      <c r="E217" s="26">
        <f t="shared" si="93"/>
        <v>0</v>
      </c>
      <c r="F217" s="26">
        <f t="shared" si="93"/>
        <v>0</v>
      </c>
      <c r="G217" s="26">
        <f t="shared" si="93"/>
        <v>0</v>
      </c>
      <c r="H217" s="26">
        <f t="shared" si="93"/>
        <v>0</v>
      </c>
      <c r="I217" s="26">
        <f t="shared" si="93"/>
        <v>0</v>
      </c>
      <c r="J217" s="26">
        <f t="shared" si="93"/>
        <v>0</v>
      </c>
      <c r="K217" s="26">
        <f t="shared" si="93"/>
        <v>0</v>
      </c>
      <c r="L217" s="26">
        <f t="shared" si="93"/>
        <v>0</v>
      </c>
      <c r="M217" s="26">
        <f t="shared" si="93"/>
        <v>0</v>
      </c>
      <c r="N217" s="85">
        <f>SUM(B217:M217)</f>
        <v>0</v>
      </c>
    </row>
    <row r="218" spans="1:14" ht="12.75" hidden="1">
      <c r="A218" s="27" t="s">
        <v>105</v>
      </c>
      <c r="B218" s="28">
        <f aca="true" t="shared" si="94" ref="B218:M218">ROUND(B207*B212,2)</f>
        <v>0</v>
      </c>
      <c r="C218" s="28">
        <f t="shared" si="94"/>
        <v>0</v>
      </c>
      <c r="D218" s="28">
        <f t="shared" si="94"/>
        <v>0</v>
      </c>
      <c r="E218" s="28">
        <f t="shared" si="94"/>
        <v>0</v>
      </c>
      <c r="F218" s="28">
        <f t="shared" si="94"/>
        <v>0</v>
      </c>
      <c r="G218" s="28">
        <f t="shared" si="94"/>
        <v>0</v>
      </c>
      <c r="H218" s="28">
        <f t="shared" si="94"/>
        <v>0</v>
      </c>
      <c r="I218" s="28">
        <f t="shared" si="94"/>
        <v>0</v>
      </c>
      <c r="J218" s="28">
        <f t="shared" si="94"/>
        <v>0</v>
      </c>
      <c r="K218" s="28">
        <f t="shared" si="94"/>
        <v>0</v>
      </c>
      <c r="L218" s="28">
        <f t="shared" si="94"/>
        <v>0</v>
      </c>
      <c r="M218" s="28">
        <f t="shared" si="94"/>
        <v>0</v>
      </c>
      <c r="N218" s="86">
        <f>SUM(B218:M218)</f>
        <v>0</v>
      </c>
    </row>
    <row r="219" spans="1:14" ht="13.5" hidden="1" thickBot="1">
      <c r="A219" s="29"/>
      <c r="B219" s="30">
        <f aca="true" t="shared" si="95" ref="B219:N219">+B203-B215-B216-B217-B218</f>
        <v>0</v>
      </c>
      <c r="C219" s="30">
        <f t="shared" si="95"/>
        <v>0</v>
      </c>
      <c r="D219" s="30">
        <f t="shared" si="95"/>
        <v>0</v>
      </c>
      <c r="E219" s="30">
        <f t="shared" si="95"/>
        <v>0</v>
      </c>
      <c r="F219" s="30">
        <f>+F203-F215-F216-F217-F218</f>
        <v>0</v>
      </c>
      <c r="G219" s="30">
        <f>+G203-G215-G216-G217-G218</f>
        <v>0</v>
      </c>
      <c r="H219" s="30">
        <f t="shared" si="95"/>
        <v>0</v>
      </c>
      <c r="I219" s="30">
        <f t="shared" si="95"/>
        <v>0</v>
      </c>
      <c r="J219" s="30">
        <f t="shared" si="95"/>
        <v>0</v>
      </c>
      <c r="K219" s="30">
        <f t="shared" si="95"/>
        <v>0</v>
      </c>
      <c r="L219" s="30">
        <f t="shared" si="95"/>
        <v>0</v>
      </c>
      <c r="M219" s="30">
        <f t="shared" si="95"/>
        <v>0</v>
      </c>
      <c r="N219" s="87">
        <f t="shared" si="95"/>
        <v>0</v>
      </c>
    </row>
    <row r="220" ht="12.75" hidden="1"/>
    <row r="221" spans="1:14" ht="12.75" hidden="1">
      <c r="A221" s="31">
        <v>37986</v>
      </c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82">
        <f>SUM(B221:M221)</f>
        <v>0</v>
      </c>
    </row>
    <row r="222" spans="1:14" ht="12.75" hidden="1">
      <c r="A222" t="s">
        <v>99</v>
      </c>
      <c r="B222" s="13">
        <v>0</v>
      </c>
      <c r="C222" s="13">
        <v>0</v>
      </c>
      <c r="D222" s="14">
        <v>0</v>
      </c>
      <c r="E222" s="14">
        <v>0</v>
      </c>
      <c r="F222" s="14"/>
      <c r="G222" s="14"/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83"/>
    </row>
    <row r="223" spans="1:14" ht="12.75" hidden="1">
      <c r="A223" t="s">
        <v>100</v>
      </c>
      <c r="B223" s="12">
        <f aca="true" t="shared" si="96" ref="B223:M223">+B221+B222</f>
        <v>0</v>
      </c>
      <c r="C223" s="12">
        <f t="shared" si="96"/>
        <v>0</v>
      </c>
      <c r="D223" s="12">
        <f t="shared" si="96"/>
        <v>0</v>
      </c>
      <c r="E223" s="12">
        <f t="shared" si="96"/>
        <v>0</v>
      </c>
      <c r="F223" s="12">
        <f>+F221+F222</f>
        <v>0</v>
      </c>
      <c r="G223" s="12">
        <f>+G221+G222</f>
        <v>0</v>
      </c>
      <c r="H223" s="12">
        <f t="shared" si="96"/>
        <v>0</v>
      </c>
      <c r="I223" s="12">
        <f t="shared" si="96"/>
        <v>0</v>
      </c>
      <c r="J223" s="12">
        <f t="shared" si="96"/>
        <v>0</v>
      </c>
      <c r="K223" s="12">
        <f t="shared" si="96"/>
        <v>0</v>
      </c>
      <c r="L223" s="12">
        <f t="shared" si="96"/>
        <v>0</v>
      </c>
      <c r="M223" s="12">
        <f t="shared" si="96"/>
        <v>0</v>
      </c>
      <c r="N223" s="82"/>
    </row>
    <row r="224" ht="12.75" hidden="1"/>
    <row r="225" spans="1:13" ht="12.75" hidden="1">
      <c r="A225" t="s">
        <v>101</v>
      </c>
      <c r="B225" s="12">
        <f aca="true" t="shared" si="97" ref="B225:M225">+B223/B231</f>
        <v>0</v>
      </c>
      <c r="C225" s="12">
        <f t="shared" si="97"/>
        <v>0</v>
      </c>
      <c r="D225" s="12">
        <f t="shared" si="97"/>
        <v>0</v>
      </c>
      <c r="E225" s="12">
        <f t="shared" si="97"/>
        <v>0</v>
      </c>
      <c r="F225" s="12">
        <f t="shared" si="97"/>
        <v>0</v>
      </c>
      <c r="G225" s="12">
        <f t="shared" si="97"/>
        <v>0</v>
      </c>
      <c r="H225" s="12">
        <f t="shared" si="97"/>
        <v>0</v>
      </c>
      <c r="I225" s="12">
        <f t="shared" si="97"/>
        <v>0</v>
      </c>
      <c r="J225" s="12">
        <f t="shared" si="97"/>
        <v>0</v>
      </c>
      <c r="K225" s="12">
        <f t="shared" si="97"/>
        <v>0</v>
      </c>
      <c r="L225" s="12">
        <f t="shared" si="97"/>
        <v>0</v>
      </c>
      <c r="M225" s="12">
        <f t="shared" si="97"/>
        <v>0</v>
      </c>
    </row>
    <row r="226" spans="2:13" ht="12.75" hidden="1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1:13" ht="12.75" hidden="1">
      <c r="A227" t="s">
        <v>102</v>
      </c>
      <c r="B227">
        <f aca="true" t="shared" si="98" ref="B227:M227">B231-SUM(B228:B230)</f>
        <v>0.008468558494684131</v>
      </c>
      <c r="C227">
        <f t="shared" si="98"/>
        <v>9.55964309155355</v>
      </c>
      <c r="D227" s="15">
        <f t="shared" si="98"/>
        <v>0.0037992771375589987</v>
      </c>
      <c r="E227">
        <f t="shared" si="98"/>
        <v>21.08708218640508</v>
      </c>
      <c r="F227">
        <f t="shared" si="98"/>
        <v>0.0037992771375589987</v>
      </c>
      <c r="G227">
        <f t="shared" si="98"/>
        <v>21.08708218640508</v>
      </c>
      <c r="H227">
        <f t="shared" si="98"/>
        <v>1.6737319332604152</v>
      </c>
      <c r="I227">
        <f t="shared" si="98"/>
        <v>265.2229534799843</v>
      </c>
      <c r="J227">
        <f t="shared" si="98"/>
        <v>0.9054152316260093</v>
      </c>
      <c r="K227">
        <f t="shared" si="98"/>
        <v>0.2587681456863579</v>
      </c>
      <c r="L227">
        <f t="shared" si="98"/>
        <v>0.8361010451854844</v>
      </c>
      <c r="M227">
        <f t="shared" si="98"/>
        <v>0.25699301114125417</v>
      </c>
    </row>
    <row r="228" spans="1:13" ht="12.75" hidden="1">
      <c r="A228" t="s">
        <v>103</v>
      </c>
      <c r="B228">
        <v>0.0003616079243880993</v>
      </c>
      <c r="C228" s="16">
        <v>0.3927085937841714</v>
      </c>
      <c r="D228" s="15">
        <v>0.00018811407935885114</v>
      </c>
      <c r="E228" s="16">
        <v>0.8004968407358231</v>
      </c>
      <c r="F228">
        <v>0.00018811407935885114</v>
      </c>
      <c r="G228">
        <v>0.8004968407358231</v>
      </c>
      <c r="H228">
        <v>0.07217116545078593</v>
      </c>
      <c r="I228" s="16">
        <v>10.445955188550439</v>
      </c>
      <c r="J228">
        <v>0.05924696846950266</v>
      </c>
      <c r="K228" s="16">
        <v>0.008611186234852675</v>
      </c>
      <c r="L228" s="17">
        <v>0.035065344322060835</v>
      </c>
      <c r="M228" s="16">
        <v>0.011070398370620899</v>
      </c>
    </row>
    <row r="229" spans="1:13" ht="12.75" hidden="1">
      <c r="A229" t="s">
        <v>104</v>
      </c>
      <c r="B229">
        <v>0.001204240715064637</v>
      </c>
      <c r="C229" s="16">
        <v>1.3078133688329163</v>
      </c>
      <c r="D229" s="15">
        <v>0.0006264647928392694</v>
      </c>
      <c r="E229" s="16">
        <v>2.66584558268717</v>
      </c>
      <c r="F229">
        <v>0.0006264647928392694</v>
      </c>
      <c r="G229">
        <v>2.66584558268717</v>
      </c>
      <c r="H229">
        <v>0.24034721041186058</v>
      </c>
      <c r="I229" s="16">
        <v>34.78752454631531</v>
      </c>
      <c r="J229">
        <v>0.19730654906376266</v>
      </c>
      <c r="K229" s="16">
        <v>0.02867730591513283</v>
      </c>
      <c r="L229">
        <v>0.11677596776077721</v>
      </c>
      <c r="M229" s="16">
        <v>0.03686706941626318</v>
      </c>
    </row>
    <row r="230" spans="1:13" ht="12.75" hidden="1">
      <c r="A230" t="s">
        <v>105</v>
      </c>
      <c r="B230">
        <v>0.00016559286586313236</v>
      </c>
      <c r="C230" s="16">
        <v>0.17983494582936133</v>
      </c>
      <c r="D230" s="18">
        <v>8.614399024288101E-05</v>
      </c>
      <c r="E230" s="16">
        <v>0.3665753901719277</v>
      </c>
      <c r="F230" s="34">
        <v>8.614399024288101E-05</v>
      </c>
      <c r="G230">
        <v>0.3665753901719277</v>
      </c>
      <c r="H230">
        <v>0.033049690876938216</v>
      </c>
      <c r="I230" s="16">
        <v>4.783566785149945</v>
      </c>
      <c r="J230">
        <v>0.027131250840725405</v>
      </c>
      <c r="K230" s="16">
        <v>0.003943362163656555</v>
      </c>
      <c r="L230">
        <v>0.01605764273167756</v>
      </c>
      <c r="M230" s="16">
        <v>0.005069521071861766</v>
      </c>
    </row>
    <row r="231" spans="1:13" ht="12.75" hidden="1">
      <c r="A231" s="19" t="s">
        <v>106</v>
      </c>
      <c r="B231" s="19">
        <v>0.0102</v>
      </c>
      <c r="C231" s="20">
        <v>11.44</v>
      </c>
      <c r="D231" s="19">
        <v>0.0047</v>
      </c>
      <c r="E231" s="21">
        <v>24.92</v>
      </c>
      <c r="F231" s="19">
        <v>0.0047</v>
      </c>
      <c r="G231" s="19">
        <v>24.92</v>
      </c>
      <c r="H231" s="19">
        <v>2.0193</v>
      </c>
      <c r="I231" s="21">
        <v>315.24</v>
      </c>
      <c r="J231" s="19">
        <v>1.1891</v>
      </c>
      <c r="K231" s="21">
        <v>0.3</v>
      </c>
      <c r="L231" s="19">
        <v>1.004</v>
      </c>
      <c r="M231" s="21">
        <v>0.31</v>
      </c>
    </row>
    <row r="232" spans="3:13" ht="12.75" hidden="1">
      <c r="C232" s="16"/>
      <c r="D232" s="18"/>
      <c r="E232" s="16"/>
      <c r="I232" s="16"/>
      <c r="K232" s="16"/>
      <c r="M232" s="16"/>
    </row>
    <row r="233" spans="1:14" ht="12.75" hidden="1">
      <c r="A233" s="22" t="s">
        <v>102</v>
      </c>
      <c r="B233" s="23">
        <f>ROUND(B225*B227,2)</f>
        <v>0</v>
      </c>
      <c r="C233" s="23">
        <f aca="true" t="shared" si="99" ref="C233:M233">ROUND(C225*C227,2)</f>
        <v>0</v>
      </c>
      <c r="D233" s="23">
        <f t="shared" si="99"/>
        <v>0</v>
      </c>
      <c r="E233" s="23">
        <f t="shared" si="99"/>
        <v>0</v>
      </c>
      <c r="F233" s="23">
        <f t="shared" si="99"/>
        <v>0</v>
      </c>
      <c r="G233" s="23">
        <f t="shared" si="99"/>
        <v>0</v>
      </c>
      <c r="H233" s="23">
        <f t="shared" si="99"/>
        <v>0</v>
      </c>
      <c r="I233" s="23">
        <f t="shared" si="99"/>
        <v>0</v>
      </c>
      <c r="J233" s="23">
        <f t="shared" si="99"/>
        <v>0</v>
      </c>
      <c r="K233" s="23">
        <f t="shared" si="99"/>
        <v>0</v>
      </c>
      <c r="L233" s="23">
        <f t="shared" si="99"/>
        <v>0</v>
      </c>
      <c r="M233" s="23">
        <f t="shared" si="99"/>
        <v>0</v>
      </c>
      <c r="N233" s="84">
        <f>SUM(B233:M233)</f>
        <v>0</v>
      </c>
    </row>
    <row r="234" spans="1:14" ht="12.75" hidden="1">
      <c r="A234" s="25" t="s">
        <v>103</v>
      </c>
      <c r="B234" s="26">
        <f aca="true" t="shared" si="100" ref="B234:M234">ROUND(B225*B228,2)</f>
        <v>0</v>
      </c>
      <c r="C234" s="26">
        <f t="shared" si="100"/>
        <v>0</v>
      </c>
      <c r="D234" s="26">
        <f t="shared" si="100"/>
        <v>0</v>
      </c>
      <c r="E234" s="26">
        <f t="shared" si="100"/>
        <v>0</v>
      </c>
      <c r="F234" s="26">
        <f t="shared" si="100"/>
        <v>0</v>
      </c>
      <c r="G234" s="26">
        <f t="shared" si="100"/>
        <v>0</v>
      </c>
      <c r="H234" s="26">
        <f t="shared" si="100"/>
        <v>0</v>
      </c>
      <c r="I234" s="26">
        <f t="shared" si="100"/>
        <v>0</v>
      </c>
      <c r="J234" s="26">
        <f t="shared" si="100"/>
        <v>0</v>
      </c>
      <c r="K234" s="26">
        <f t="shared" si="100"/>
        <v>0</v>
      </c>
      <c r="L234" s="26">
        <f t="shared" si="100"/>
        <v>0</v>
      </c>
      <c r="M234" s="26">
        <f t="shared" si="100"/>
        <v>0</v>
      </c>
      <c r="N234" s="85">
        <f>SUM(B234:M234)</f>
        <v>0</v>
      </c>
    </row>
    <row r="235" spans="1:14" ht="12.75" hidden="1">
      <c r="A235" s="25" t="s">
        <v>104</v>
      </c>
      <c r="B235" s="26">
        <f aca="true" t="shared" si="101" ref="B235:M235">ROUND(B225*B229,2)</f>
        <v>0</v>
      </c>
      <c r="C235" s="26">
        <f t="shared" si="101"/>
        <v>0</v>
      </c>
      <c r="D235" s="26">
        <f t="shared" si="101"/>
        <v>0</v>
      </c>
      <c r="E235" s="26">
        <f t="shared" si="101"/>
        <v>0</v>
      </c>
      <c r="F235" s="26">
        <f t="shared" si="101"/>
        <v>0</v>
      </c>
      <c r="G235" s="26">
        <f t="shared" si="101"/>
        <v>0</v>
      </c>
      <c r="H235" s="26">
        <f t="shared" si="101"/>
        <v>0</v>
      </c>
      <c r="I235" s="26">
        <f t="shared" si="101"/>
        <v>0</v>
      </c>
      <c r="J235" s="26">
        <f t="shared" si="101"/>
        <v>0</v>
      </c>
      <c r="K235" s="26">
        <f t="shared" si="101"/>
        <v>0</v>
      </c>
      <c r="L235" s="26">
        <f t="shared" si="101"/>
        <v>0</v>
      </c>
      <c r="M235" s="26">
        <f t="shared" si="101"/>
        <v>0</v>
      </c>
      <c r="N235" s="85">
        <f>SUM(B235:M235)</f>
        <v>0</v>
      </c>
    </row>
    <row r="236" spans="1:14" ht="12.75" hidden="1">
      <c r="A236" s="27" t="s">
        <v>105</v>
      </c>
      <c r="B236" s="28">
        <f aca="true" t="shared" si="102" ref="B236:M236">ROUND(B225*B230,2)</f>
        <v>0</v>
      </c>
      <c r="C236" s="28">
        <f t="shared" si="102"/>
        <v>0</v>
      </c>
      <c r="D236" s="28">
        <f t="shared" si="102"/>
        <v>0</v>
      </c>
      <c r="E236" s="28">
        <f t="shared" si="102"/>
        <v>0</v>
      </c>
      <c r="F236" s="28">
        <f t="shared" si="102"/>
        <v>0</v>
      </c>
      <c r="G236" s="28">
        <f t="shared" si="102"/>
        <v>0</v>
      </c>
      <c r="H236" s="28">
        <f t="shared" si="102"/>
        <v>0</v>
      </c>
      <c r="I236" s="28">
        <f t="shared" si="102"/>
        <v>0</v>
      </c>
      <c r="J236" s="28">
        <f t="shared" si="102"/>
        <v>0</v>
      </c>
      <c r="K236" s="28">
        <f t="shared" si="102"/>
        <v>0</v>
      </c>
      <c r="L236" s="28">
        <f t="shared" si="102"/>
        <v>0</v>
      </c>
      <c r="M236" s="28">
        <f t="shared" si="102"/>
        <v>0</v>
      </c>
      <c r="N236" s="86">
        <f>SUM(B236:M236)</f>
        <v>0</v>
      </c>
    </row>
    <row r="237" spans="1:14" ht="13.5" hidden="1" thickBot="1">
      <c r="A237" s="29"/>
      <c r="B237" s="30">
        <f aca="true" t="shared" si="103" ref="B237:N237">+B221-B233-B234-B235-B236</f>
        <v>0</v>
      </c>
      <c r="C237" s="30">
        <f t="shared" si="103"/>
        <v>0</v>
      </c>
      <c r="D237" s="30">
        <f t="shared" si="103"/>
        <v>0</v>
      </c>
      <c r="E237" s="30">
        <f t="shared" si="103"/>
        <v>0</v>
      </c>
      <c r="F237" s="30">
        <f>+F221-F233-F234-F235-F236</f>
        <v>0</v>
      </c>
      <c r="G237" s="30">
        <f>+G221-G233-G234-G235-G236</f>
        <v>0</v>
      </c>
      <c r="H237" s="30">
        <f t="shared" si="103"/>
        <v>0</v>
      </c>
      <c r="I237" s="30">
        <f t="shared" si="103"/>
        <v>0</v>
      </c>
      <c r="J237" s="30">
        <f t="shared" si="103"/>
        <v>0</v>
      </c>
      <c r="K237" s="30">
        <f t="shared" si="103"/>
        <v>0</v>
      </c>
      <c r="L237" s="30">
        <f t="shared" si="103"/>
        <v>0</v>
      </c>
      <c r="M237" s="30">
        <f t="shared" si="103"/>
        <v>0</v>
      </c>
      <c r="N237" s="87">
        <f t="shared" si="103"/>
        <v>0</v>
      </c>
    </row>
    <row r="239" ht="12.75">
      <c r="A239" s="10" t="s">
        <v>107</v>
      </c>
    </row>
    <row r="240" spans="1:14" ht="12.75">
      <c r="A240" s="8" t="s">
        <v>98</v>
      </c>
      <c r="B240" s="11">
        <f>+B5-B59-B77-B95-B113-B131-B149-B167-B185-B203-B221-B41-B23</f>
        <v>0</v>
      </c>
      <c r="C240" s="11">
        <f aca="true" t="shared" si="104" ref="C240:M240">+C5-C59-C77-C95-C113-C131-C149-C167-C185-C203-C221-C41-C23</f>
        <v>0.004999999946448952</v>
      </c>
      <c r="D240" s="11">
        <f t="shared" si="104"/>
        <v>0</v>
      </c>
      <c r="E240" s="11">
        <f t="shared" si="104"/>
        <v>0.004999999997380655</v>
      </c>
      <c r="F240" s="11">
        <f>+F5-F59-F77-F95-F113-F131-F149-F167-F185-F203-F221-F41-F23</f>
        <v>0</v>
      </c>
      <c r="G240" s="11">
        <f>+G5-G59-G77-G95-G113-G131-G149-G167-G185-G203-G221-G41-G23</f>
        <v>0</v>
      </c>
      <c r="H240" s="11">
        <f t="shared" si="104"/>
        <v>0</v>
      </c>
      <c r="I240" s="11">
        <f t="shared" si="104"/>
        <v>0.004999999990104698</v>
      </c>
      <c r="J240" s="11">
        <f t="shared" si="104"/>
        <v>0</v>
      </c>
      <c r="K240" s="11">
        <f t="shared" si="104"/>
        <v>0</v>
      </c>
      <c r="L240" s="11">
        <f t="shared" si="104"/>
        <v>0</v>
      </c>
      <c r="M240" s="11">
        <f t="shared" si="104"/>
        <v>0</v>
      </c>
      <c r="N240" s="88">
        <f>+N5-N59-N77-N95-N113-N131-N149-N167-N185-N203-N221-N41-N23</f>
        <v>0.01499999943189323</v>
      </c>
    </row>
    <row r="241" spans="1:14" ht="12.75">
      <c r="A241" t="s">
        <v>99</v>
      </c>
      <c r="B241" s="13">
        <v>0</v>
      </c>
      <c r="C241" s="13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83"/>
    </row>
    <row r="242" spans="1:14" ht="12.75">
      <c r="A242" t="s">
        <v>100</v>
      </c>
      <c r="B242" s="12">
        <f aca="true" t="shared" si="105" ref="B242:M242">+B240+B241</f>
        <v>0</v>
      </c>
      <c r="C242" s="12">
        <f t="shared" si="105"/>
        <v>0.004999999946448952</v>
      </c>
      <c r="D242" s="12">
        <f t="shared" si="105"/>
        <v>0</v>
      </c>
      <c r="E242" s="12">
        <f t="shared" si="105"/>
        <v>0.004999999997380655</v>
      </c>
      <c r="F242" s="12">
        <f>+F240+F241</f>
        <v>0</v>
      </c>
      <c r="G242" s="12">
        <f>+G240+G241</f>
        <v>0</v>
      </c>
      <c r="H242" s="12">
        <f t="shared" si="105"/>
        <v>0</v>
      </c>
      <c r="I242" s="12">
        <f t="shared" si="105"/>
        <v>0.004999999990104698</v>
      </c>
      <c r="J242" s="12">
        <f t="shared" si="105"/>
        <v>0</v>
      </c>
      <c r="K242" s="12">
        <f t="shared" si="105"/>
        <v>0</v>
      </c>
      <c r="L242" s="12">
        <f t="shared" si="105"/>
        <v>0</v>
      </c>
      <c r="M242" s="12">
        <f t="shared" si="105"/>
        <v>0</v>
      </c>
      <c r="N242" s="82"/>
    </row>
    <row r="244" spans="1:13" ht="12.75">
      <c r="A244" t="s">
        <v>101</v>
      </c>
      <c r="B244" s="12">
        <f aca="true" t="shared" si="106" ref="B244:M244">+B242/B250</f>
        <v>0</v>
      </c>
      <c r="C244" s="12">
        <f t="shared" si="106"/>
        <v>0.0004370629323819014</v>
      </c>
      <c r="D244" s="12">
        <f t="shared" si="106"/>
        <v>0</v>
      </c>
      <c r="E244" s="12">
        <f t="shared" si="106"/>
        <v>0.0002006420544695287</v>
      </c>
      <c r="F244" s="12">
        <f>+F242/F250</f>
        <v>0</v>
      </c>
      <c r="G244" s="12">
        <f>+G242/G250</f>
        <v>0</v>
      </c>
      <c r="H244" s="12">
        <f t="shared" si="106"/>
        <v>0</v>
      </c>
      <c r="I244" s="12">
        <f t="shared" si="106"/>
        <v>1.586093132249936E-05</v>
      </c>
      <c r="J244" s="12">
        <f t="shared" si="106"/>
        <v>0</v>
      </c>
      <c r="K244" s="12">
        <f t="shared" si="106"/>
        <v>0</v>
      </c>
      <c r="L244" s="12">
        <f t="shared" si="106"/>
        <v>0</v>
      </c>
      <c r="M244" s="12">
        <f t="shared" si="106"/>
        <v>0</v>
      </c>
    </row>
    <row r="245" spans="2:13" ht="12.7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1:13" ht="12.75">
      <c r="A246" t="s">
        <v>102</v>
      </c>
      <c r="B246">
        <f aca="true" t="shared" si="107" ref="B246:M246">B250-SUM(B247:B249)</f>
        <v>0.008468558494684131</v>
      </c>
      <c r="C246">
        <f t="shared" si="107"/>
        <v>9.55964309155355</v>
      </c>
      <c r="D246" s="15">
        <f t="shared" si="107"/>
        <v>0.0037992771375589987</v>
      </c>
      <c r="E246">
        <f t="shared" si="107"/>
        <v>21.08708218640508</v>
      </c>
      <c r="F246" s="15">
        <f>F250-SUM(F247:F249)</f>
        <v>0.0037992771375589987</v>
      </c>
      <c r="G246">
        <f>G250-SUM(G247:G249)</f>
        <v>21.08708218640508</v>
      </c>
      <c r="H246">
        <f t="shared" si="107"/>
        <v>1.6737319332604152</v>
      </c>
      <c r="I246">
        <f t="shared" si="107"/>
        <v>265.2229534799843</v>
      </c>
      <c r="J246">
        <f t="shared" si="107"/>
        <v>0.9054152316260093</v>
      </c>
      <c r="K246">
        <f t="shared" si="107"/>
        <v>0.2587681456863579</v>
      </c>
      <c r="L246">
        <f t="shared" si="107"/>
        <v>0.8361010451854844</v>
      </c>
      <c r="M246">
        <f t="shared" si="107"/>
        <v>0.25699301114125417</v>
      </c>
    </row>
    <row r="247" spans="1:13" ht="12.75">
      <c r="A247" t="s">
        <v>103</v>
      </c>
      <c r="B247">
        <v>0.0003616079243880993</v>
      </c>
      <c r="C247" s="16">
        <v>0.3927085937841714</v>
      </c>
      <c r="D247" s="15">
        <v>0.00018811407935885114</v>
      </c>
      <c r="E247" s="16">
        <v>0.8004968407358231</v>
      </c>
      <c r="F247" s="15">
        <v>0.00018811407935885114</v>
      </c>
      <c r="G247" s="16">
        <v>0.8004968407358231</v>
      </c>
      <c r="H247">
        <v>0.07217116545078593</v>
      </c>
      <c r="I247" s="16">
        <v>10.445955188550439</v>
      </c>
      <c r="J247">
        <v>0.05924696846950266</v>
      </c>
      <c r="K247" s="16">
        <v>0.008611186234852675</v>
      </c>
      <c r="L247" s="17">
        <v>0.035065344322060835</v>
      </c>
      <c r="M247" s="16">
        <v>0.011070398370620899</v>
      </c>
    </row>
    <row r="248" spans="1:13" ht="12.75">
      <c r="A248" t="s">
        <v>104</v>
      </c>
      <c r="B248">
        <v>0.001204240715064637</v>
      </c>
      <c r="C248" s="16">
        <v>1.3078133688329163</v>
      </c>
      <c r="D248" s="15">
        <v>0.0006264647928392694</v>
      </c>
      <c r="E248" s="16">
        <v>2.66584558268717</v>
      </c>
      <c r="F248" s="15">
        <v>0.0006264647928392694</v>
      </c>
      <c r="G248" s="16">
        <v>2.66584558268717</v>
      </c>
      <c r="H248">
        <v>0.24034721041186058</v>
      </c>
      <c r="I248" s="16">
        <v>34.78752454631531</v>
      </c>
      <c r="J248">
        <v>0.19730654906376266</v>
      </c>
      <c r="K248" s="16">
        <v>0.02867730591513283</v>
      </c>
      <c r="L248">
        <v>0.11677596776077721</v>
      </c>
      <c r="M248" s="16">
        <v>0.03686706941626318</v>
      </c>
    </row>
    <row r="249" spans="1:13" ht="12.75">
      <c r="A249" t="s">
        <v>105</v>
      </c>
      <c r="B249">
        <v>0.00016559286586313236</v>
      </c>
      <c r="C249" s="16">
        <v>0.17983494582936133</v>
      </c>
      <c r="D249" s="18">
        <v>8.614399024288101E-05</v>
      </c>
      <c r="E249" s="16">
        <v>0.3665753901719277</v>
      </c>
      <c r="F249" s="18">
        <v>8.614399024288101E-05</v>
      </c>
      <c r="G249" s="16">
        <v>0.3665753901719277</v>
      </c>
      <c r="H249">
        <v>0.033049690876938216</v>
      </c>
      <c r="I249" s="16">
        <v>4.783566785149945</v>
      </c>
      <c r="J249">
        <v>0.027131250840725405</v>
      </c>
      <c r="K249" s="16">
        <v>0.003943362163656555</v>
      </c>
      <c r="L249">
        <v>0.01605764273167756</v>
      </c>
      <c r="M249" s="16">
        <v>0.005069521071861766</v>
      </c>
    </row>
    <row r="250" spans="1:13" ht="12.75">
      <c r="A250" s="19" t="s">
        <v>106</v>
      </c>
      <c r="B250" s="19">
        <v>0.0102</v>
      </c>
      <c r="C250" s="20">
        <v>11.44</v>
      </c>
      <c r="D250" s="19">
        <v>0.0047</v>
      </c>
      <c r="E250" s="21">
        <v>24.92</v>
      </c>
      <c r="F250" s="19">
        <v>0.0047</v>
      </c>
      <c r="G250" s="21">
        <v>24.92</v>
      </c>
      <c r="H250" s="19">
        <v>2.0193</v>
      </c>
      <c r="I250" s="21">
        <v>315.24</v>
      </c>
      <c r="J250" s="19">
        <v>1.1891</v>
      </c>
      <c r="K250" s="21">
        <v>0.3</v>
      </c>
      <c r="L250" s="19">
        <v>1.004</v>
      </c>
      <c r="M250" s="21">
        <v>0.31</v>
      </c>
    </row>
    <row r="251" spans="3:13" ht="12.75">
      <c r="C251" s="16"/>
      <c r="D251" s="18"/>
      <c r="E251" s="16"/>
      <c r="F251" s="18"/>
      <c r="G251" s="16"/>
      <c r="I251" s="16"/>
      <c r="K251" s="16"/>
      <c r="M251" s="16"/>
    </row>
    <row r="252" spans="1:14" ht="12.75">
      <c r="A252" s="22" t="s">
        <v>102</v>
      </c>
      <c r="B252" s="11">
        <f aca="true" t="shared" si="108" ref="B252:M255">+B17-B71-B89-B107-B125-B143-B161-B179-B197-B215-B233-B53-B35</f>
        <v>0</v>
      </c>
      <c r="C252" s="11">
        <f t="shared" si="108"/>
        <v>0</v>
      </c>
      <c r="D252" s="11">
        <f t="shared" si="108"/>
        <v>0.010000000005675247</v>
      </c>
      <c r="E252" s="11">
        <f t="shared" si="108"/>
        <v>0</v>
      </c>
      <c r="F252" s="11">
        <f aca="true" t="shared" si="109" ref="F252:G255">+F17-F71-F89-F107-F125-F143-F161-F179-F197-F215-F233-F53-F35</f>
        <v>0</v>
      </c>
      <c r="G252" s="11">
        <f t="shared" si="109"/>
        <v>0</v>
      </c>
      <c r="H252" s="11">
        <f t="shared" si="108"/>
        <v>0</v>
      </c>
      <c r="I252" s="11">
        <f t="shared" si="108"/>
        <v>0</v>
      </c>
      <c r="J252" s="11">
        <f t="shared" si="108"/>
        <v>0</v>
      </c>
      <c r="K252" s="11">
        <f t="shared" si="108"/>
        <v>0</v>
      </c>
      <c r="L252" s="11">
        <f t="shared" si="108"/>
        <v>-0.009999999999962483</v>
      </c>
      <c r="M252" s="11">
        <f t="shared" si="108"/>
        <v>-0.009999999999934062</v>
      </c>
      <c r="N252" s="88">
        <f>+N17-N71-N89-N107-N125-N143-N161-N179-N197-N215-N233-N53-N35</f>
        <v>-0.009999999892897904</v>
      </c>
    </row>
    <row r="253" spans="1:14" ht="12.75">
      <c r="A253" s="25" t="s">
        <v>103</v>
      </c>
      <c r="B253" s="11">
        <f t="shared" si="108"/>
        <v>0.010000000000218279</v>
      </c>
      <c r="C253" s="11">
        <f t="shared" si="108"/>
        <v>0</v>
      </c>
      <c r="D253" s="11">
        <f t="shared" si="108"/>
        <v>0</v>
      </c>
      <c r="E253" s="11">
        <f t="shared" si="108"/>
        <v>0.010000000000218279</v>
      </c>
      <c r="F253" s="11">
        <f t="shared" si="109"/>
        <v>0.010000000000019327</v>
      </c>
      <c r="G253" s="11">
        <f t="shared" si="109"/>
        <v>0</v>
      </c>
      <c r="H253" s="11">
        <f t="shared" si="108"/>
        <v>0</v>
      </c>
      <c r="I253" s="11">
        <f t="shared" si="108"/>
        <v>0</v>
      </c>
      <c r="J253" s="11">
        <f t="shared" si="108"/>
        <v>0</v>
      </c>
      <c r="K253" s="11">
        <f t="shared" si="108"/>
        <v>0.010000000000005116</v>
      </c>
      <c r="L253" s="11">
        <f t="shared" si="108"/>
        <v>-0.00999999999999801</v>
      </c>
      <c r="M253" s="11">
        <f t="shared" si="108"/>
        <v>0</v>
      </c>
      <c r="N253" s="88">
        <f>+N18-N72-N90-N108-N126-N144-N162-N180-N198-N216-N234-N54-N36</f>
        <v>0.02999999998428393</v>
      </c>
    </row>
    <row r="254" spans="1:14" ht="12.75">
      <c r="A254" s="25" t="s">
        <v>104</v>
      </c>
      <c r="B254" s="11">
        <f t="shared" si="108"/>
        <v>0</v>
      </c>
      <c r="C254" s="11">
        <f t="shared" si="108"/>
        <v>0</v>
      </c>
      <c r="D254" s="11">
        <f t="shared" si="108"/>
        <v>-0.010000000000218279</v>
      </c>
      <c r="E254" s="11">
        <f t="shared" si="108"/>
        <v>0</v>
      </c>
      <c r="F254" s="11">
        <f t="shared" si="109"/>
        <v>-0.009999999999934062</v>
      </c>
      <c r="G254" s="11">
        <f t="shared" si="109"/>
        <v>0</v>
      </c>
      <c r="H254" s="11">
        <f t="shared" si="108"/>
        <v>0.00999999999839929</v>
      </c>
      <c r="I254" s="11">
        <f t="shared" si="108"/>
        <v>0</v>
      </c>
      <c r="J254" s="11">
        <f t="shared" si="108"/>
        <v>0</v>
      </c>
      <c r="K254" s="11">
        <f t="shared" si="108"/>
        <v>0.010000000000019327</v>
      </c>
      <c r="L254" s="11">
        <f t="shared" si="108"/>
        <v>0</v>
      </c>
      <c r="M254" s="11">
        <f t="shared" si="108"/>
        <v>0</v>
      </c>
      <c r="N254" s="88">
        <f>+N19-N73-N91-N109-N127-N145-N163-N181-N199-N217-N235-N55-N37</f>
        <v>0</v>
      </c>
    </row>
    <row r="255" spans="1:14" ht="12.75">
      <c r="A255" s="27" t="s">
        <v>105</v>
      </c>
      <c r="B255" s="11">
        <f t="shared" si="108"/>
        <v>-0.010000000000218279</v>
      </c>
      <c r="C255" s="11">
        <f t="shared" si="108"/>
        <v>0</v>
      </c>
      <c r="D255" s="11">
        <f t="shared" si="108"/>
        <v>0.010000000000104592</v>
      </c>
      <c r="E255" s="11">
        <f t="shared" si="108"/>
        <v>0.009999999999990905</v>
      </c>
      <c r="F255" s="11">
        <f t="shared" si="109"/>
        <v>0.020000000000003126</v>
      </c>
      <c r="G255" s="11">
        <f t="shared" si="109"/>
        <v>0</v>
      </c>
      <c r="H255" s="11">
        <f t="shared" si="108"/>
        <v>0</v>
      </c>
      <c r="I255" s="11">
        <f t="shared" si="108"/>
        <v>0</v>
      </c>
      <c r="J255" s="11">
        <f t="shared" si="108"/>
        <v>0</v>
      </c>
      <c r="K255" s="11">
        <f t="shared" si="108"/>
        <v>0</v>
      </c>
      <c r="L255" s="11">
        <f t="shared" si="108"/>
        <v>0.009999999999999787</v>
      </c>
      <c r="M255" s="11">
        <f t="shared" si="108"/>
        <v>0</v>
      </c>
      <c r="N255" s="88">
        <f>+N20-N74-N92-N110-N128-N146-N164-N182-N200-N218-N236-N56-N38</f>
        <v>0.04000000001906301</v>
      </c>
    </row>
    <row r="256" spans="1:14" ht="13.5" thickBot="1">
      <c r="A256" s="29"/>
      <c r="B256" s="30">
        <f aca="true" t="shared" si="110" ref="B256:N256">+B240-B252-B253-B254-B255</f>
        <v>0</v>
      </c>
      <c r="C256" s="30">
        <f t="shared" si="110"/>
        <v>0.004999999946448952</v>
      </c>
      <c r="D256" s="30">
        <f t="shared" si="110"/>
        <v>-0.01000000000556156</v>
      </c>
      <c r="E256" s="30">
        <f t="shared" si="110"/>
        <v>-0.015000000002828529</v>
      </c>
      <c r="F256" s="30">
        <f>+F240-F252-F253-F254-F255</f>
        <v>-0.02000000000008839</v>
      </c>
      <c r="G256" s="30">
        <f>+G240-G252-G253-G254-G255</f>
        <v>0</v>
      </c>
      <c r="H256" s="30">
        <f t="shared" si="110"/>
        <v>-0.00999999999839929</v>
      </c>
      <c r="I256" s="30">
        <f t="shared" si="110"/>
        <v>0.004999999990104698</v>
      </c>
      <c r="J256" s="30">
        <f t="shared" si="110"/>
        <v>0</v>
      </c>
      <c r="K256" s="30">
        <f t="shared" si="110"/>
        <v>-0.020000000000024443</v>
      </c>
      <c r="L256" s="30">
        <f t="shared" si="110"/>
        <v>0.009999999999960707</v>
      </c>
      <c r="M256" s="30">
        <f t="shared" si="110"/>
        <v>0.009999999999934062</v>
      </c>
      <c r="N256" s="87">
        <f t="shared" si="110"/>
        <v>-0.04500000067855581</v>
      </c>
    </row>
  </sheetData>
  <sheetProtection/>
  <printOptions/>
  <pageMargins left="0.25" right="0.25" top="0.5" bottom="0.5" header="0.5" footer="0.5"/>
  <pageSetup fitToHeight="3" fitToWidth="1" horizontalDpi="600" verticalDpi="600" orientation="landscape" paperSize="5" scale="87" r:id="rId1"/>
  <headerFooter alignWithMargins="0">
    <oddFooter>&amp;L&amp;D&amp;C&amp;F&amp;R&amp;A</oddFooter>
  </headerFooter>
  <rowBreaks count="6" manualBreakCount="6">
    <brk id="40" max="255" man="1"/>
    <brk id="76" max="255" man="1"/>
    <brk id="112" max="255" man="1"/>
    <brk id="148" max="255" man="1"/>
    <brk id="184" max="255" man="1"/>
    <brk id="2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4">
      <selection activeCell="K28" sqref="K28"/>
    </sheetView>
  </sheetViews>
  <sheetFormatPr defaultColWidth="9.33203125" defaultRowHeight="12.75"/>
  <cols>
    <col min="3" max="3" width="2.66015625" style="0" customWidth="1"/>
    <col min="5" max="5" width="6.16015625" style="0" customWidth="1"/>
    <col min="7" max="7" width="5.5" style="0" customWidth="1"/>
    <col min="8" max="8" width="3.33203125" style="0" customWidth="1"/>
    <col min="10" max="10" width="4.66015625" style="0" customWidth="1"/>
    <col min="11" max="11" width="14.16015625" style="0" bestFit="1" customWidth="1"/>
    <col min="12" max="12" width="3" style="0" customWidth="1"/>
    <col min="14" max="14" width="29" style="0" bestFit="1" customWidth="1"/>
  </cols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t="s">
        <v>11</v>
      </c>
      <c r="M1" t="s">
        <v>12</v>
      </c>
      <c r="N1" t="s">
        <v>13</v>
      </c>
    </row>
    <row r="2" spans="1:14" ht="12.75">
      <c r="A2">
        <v>200310</v>
      </c>
      <c r="B2" t="s">
        <v>83</v>
      </c>
      <c r="D2" t="s">
        <v>24</v>
      </c>
      <c r="E2">
        <v>100</v>
      </c>
      <c r="F2" t="s">
        <v>25</v>
      </c>
      <c r="G2" t="s">
        <v>15</v>
      </c>
      <c r="H2">
        <v>0</v>
      </c>
      <c r="J2">
        <v>0</v>
      </c>
      <c r="K2" s="36">
        <v>-231.18</v>
      </c>
      <c r="L2">
        <v>0</v>
      </c>
      <c r="M2" t="s">
        <v>26</v>
      </c>
      <c r="N2" t="s">
        <v>19</v>
      </c>
    </row>
    <row r="3" spans="1:14" ht="12.75">
      <c r="A3">
        <v>200311</v>
      </c>
      <c r="B3" t="s">
        <v>83</v>
      </c>
      <c r="D3" t="s">
        <v>24</v>
      </c>
      <c r="E3">
        <v>100</v>
      </c>
      <c r="F3" t="s">
        <v>25</v>
      </c>
      <c r="G3" t="s">
        <v>15</v>
      </c>
      <c r="H3">
        <v>0</v>
      </c>
      <c r="J3">
        <v>0</v>
      </c>
      <c r="K3" s="36">
        <v>-315.24</v>
      </c>
      <c r="L3">
        <v>0</v>
      </c>
      <c r="M3" t="s">
        <v>26</v>
      </c>
      <c r="N3" t="s">
        <v>19</v>
      </c>
    </row>
    <row r="4" spans="1:14" ht="12.75">
      <c r="A4">
        <v>200312</v>
      </c>
      <c r="B4" t="s">
        <v>83</v>
      </c>
      <c r="D4" t="s">
        <v>24</v>
      </c>
      <c r="E4">
        <v>100</v>
      </c>
      <c r="F4" t="s">
        <v>25</v>
      </c>
      <c r="G4" t="s">
        <v>15</v>
      </c>
      <c r="H4">
        <v>0</v>
      </c>
      <c r="J4">
        <v>0</v>
      </c>
      <c r="K4" s="36">
        <v>-315.24</v>
      </c>
      <c r="L4">
        <v>0</v>
      </c>
      <c r="M4" t="s">
        <v>26</v>
      </c>
      <c r="N4" t="s">
        <v>19</v>
      </c>
    </row>
    <row r="5" spans="1:14" ht="12.75">
      <c r="A5">
        <v>200401</v>
      </c>
      <c r="B5" t="s">
        <v>83</v>
      </c>
      <c r="D5" t="s">
        <v>33</v>
      </c>
      <c r="E5">
        <v>100</v>
      </c>
      <c r="F5" t="s">
        <v>25</v>
      </c>
      <c r="G5" t="s">
        <v>15</v>
      </c>
      <c r="H5">
        <v>0</v>
      </c>
      <c r="J5">
        <v>0</v>
      </c>
      <c r="K5" s="36">
        <v>10718.16</v>
      </c>
      <c r="L5">
        <v>0</v>
      </c>
      <c r="M5" t="s">
        <v>34</v>
      </c>
      <c r="N5" t="s">
        <v>19</v>
      </c>
    </row>
    <row r="6" spans="1:14" ht="12.75">
      <c r="A6">
        <v>200401</v>
      </c>
      <c r="B6" t="s">
        <v>83</v>
      </c>
      <c r="D6" t="s">
        <v>24</v>
      </c>
      <c r="E6">
        <v>100</v>
      </c>
      <c r="F6" t="s">
        <v>25</v>
      </c>
      <c r="G6" t="s">
        <v>15</v>
      </c>
      <c r="H6">
        <v>0</v>
      </c>
      <c r="J6">
        <v>0</v>
      </c>
      <c r="K6" s="36">
        <v>114232.46</v>
      </c>
      <c r="L6">
        <v>0</v>
      </c>
      <c r="M6" t="s">
        <v>26</v>
      </c>
      <c r="N6" t="s">
        <v>19</v>
      </c>
    </row>
    <row r="7" spans="1:14" ht="12.75">
      <c r="A7">
        <v>200401</v>
      </c>
      <c r="B7" t="s">
        <v>83</v>
      </c>
      <c r="D7" t="s">
        <v>24</v>
      </c>
      <c r="E7">
        <v>100</v>
      </c>
      <c r="F7" t="s">
        <v>25</v>
      </c>
      <c r="G7" t="s">
        <v>15</v>
      </c>
      <c r="H7">
        <v>0</v>
      </c>
      <c r="I7" t="s">
        <v>28</v>
      </c>
      <c r="J7">
        <v>0</v>
      </c>
      <c r="K7" s="36">
        <v>315.24</v>
      </c>
      <c r="L7">
        <v>0</v>
      </c>
      <c r="M7" t="s">
        <v>26</v>
      </c>
      <c r="N7" t="s">
        <v>19</v>
      </c>
    </row>
    <row r="8" spans="1:14" ht="12.75">
      <c r="A8">
        <v>200402</v>
      </c>
      <c r="B8" t="s">
        <v>83</v>
      </c>
      <c r="D8" t="s">
        <v>33</v>
      </c>
      <c r="E8">
        <v>100</v>
      </c>
      <c r="F8" t="s">
        <v>25</v>
      </c>
      <c r="G8" t="s">
        <v>15</v>
      </c>
      <c r="H8">
        <v>0</v>
      </c>
      <c r="J8">
        <v>0</v>
      </c>
      <c r="K8" s="36">
        <v>10718.16</v>
      </c>
      <c r="L8">
        <v>0</v>
      </c>
      <c r="M8" t="s">
        <v>34</v>
      </c>
      <c r="N8" t="s">
        <v>19</v>
      </c>
    </row>
    <row r="9" spans="1:14" ht="12.75">
      <c r="A9">
        <v>200402</v>
      </c>
      <c r="B9" t="s">
        <v>83</v>
      </c>
      <c r="D9" t="s">
        <v>24</v>
      </c>
      <c r="E9">
        <v>100</v>
      </c>
      <c r="F9" t="s">
        <v>25</v>
      </c>
      <c r="G9" t="s">
        <v>15</v>
      </c>
      <c r="H9">
        <v>0</v>
      </c>
      <c r="J9">
        <v>0</v>
      </c>
      <c r="K9" s="36">
        <v>114631.77</v>
      </c>
      <c r="L9">
        <v>0</v>
      </c>
      <c r="M9" t="s">
        <v>26</v>
      </c>
      <c r="N9" t="s">
        <v>19</v>
      </c>
    </row>
    <row r="10" spans="1:14" ht="12.75">
      <c r="A10">
        <v>200403</v>
      </c>
      <c r="B10" t="s">
        <v>83</v>
      </c>
      <c r="D10" t="s">
        <v>33</v>
      </c>
      <c r="E10">
        <v>100</v>
      </c>
      <c r="F10" t="s">
        <v>25</v>
      </c>
      <c r="G10" t="s">
        <v>15</v>
      </c>
      <c r="H10">
        <v>0</v>
      </c>
      <c r="J10">
        <v>0</v>
      </c>
      <c r="K10" s="36">
        <v>12924.84</v>
      </c>
      <c r="L10">
        <v>0</v>
      </c>
      <c r="M10" t="s">
        <v>34</v>
      </c>
      <c r="N10" t="s">
        <v>19</v>
      </c>
    </row>
    <row r="11" spans="1:14" ht="12.75">
      <c r="A11">
        <v>200403</v>
      </c>
      <c r="B11" t="s">
        <v>83</v>
      </c>
      <c r="D11" t="s">
        <v>24</v>
      </c>
      <c r="E11">
        <v>100</v>
      </c>
      <c r="F11" t="s">
        <v>25</v>
      </c>
      <c r="G11" t="s">
        <v>15</v>
      </c>
      <c r="H11">
        <v>0</v>
      </c>
      <c r="J11">
        <v>0</v>
      </c>
      <c r="K11" s="36">
        <v>112572.2</v>
      </c>
      <c r="L11">
        <v>0</v>
      </c>
      <c r="M11" t="s">
        <v>26</v>
      </c>
      <c r="N11" t="s">
        <v>19</v>
      </c>
    </row>
    <row r="12" spans="1:14" ht="12.75">
      <c r="A12">
        <v>200404</v>
      </c>
      <c r="B12" t="s">
        <v>83</v>
      </c>
      <c r="D12" t="s">
        <v>33</v>
      </c>
      <c r="E12">
        <v>100</v>
      </c>
      <c r="F12" t="s">
        <v>25</v>
      </c>
      <c r="G12" t="s">
        <v>15</v>
      </c>
      <c r="H12">
        <v>0</v>
      </c>
      <c r="I12" t="s">
        <v>85</v>
      </c>
      <c r="J12">
        <v>0</v>
      </c>
      <c r="K12" s="36">
        <f>12924.84/2</f>
        <v>6462.42</v>
      </c>
      <c r="L12">
        <v>0</v>
      </c>
      <c r="M12" t="s">
        <v>34</v>
      </c>
      <c r="N12" t="s">
        <v>19</v>
      </c>
    </row>
    <row r="13" spans="1:14" ht="12.75">
      <c r="A13">
        <v>200404</v>
      </c>
      <c r="B13" t="s">
        <v>83</v>
      </c>
      <c r="D13" t="s">
        <v>24</v>
      </c>
      <c r="E13">
        <v>100</v>
      </c>
      <c r="F13" t="s">
        <v>25</v>
      </c>
      <c r="G13" t="s">
        <v>15</v>
      </c>
      <c r="H13">
        <v>0</v>
      </c>
      <c r="I13" t="s">
        <v>85</v>
      </c>
      <c r="J13">
        <v>0</v>
      </c>
      <c r="K13" s="36">
        <f>108747.31/2</f>
        <v>54373.655</v>
      </c>
      <c r="L13">
        <v>0</v>
      </c>
      <c r="M13" t="s">
        <v>26</v>
      </c>
      <c r="N13" t="s">
        <v>19</v>
      </c>
    </row>
    <row r="14" ht="12.75">
      <c r="K14" s="37">
        <f>SUM(K2:K13)</f>
        <v>436087.245</v>
      </c>
    </row>
    <row r="15" ht="12.75">
      <c r="K15" s="1"/>
    </row>
    <row r="16" spans="1:14" ht="12.75">
      <c r="A16">
        <v>200310</v>
      </c>
      <c r="B16" t="s">
        <v>84</v>
      </c>
      <c r="D16" t="s">
        <v>16</v>
      </c>
      <c r="E16">
        <v>100</v>
      </c>
      <c r="F16" t="s">
        <v>17</v>
      </c>
      <c r="G16" t="s">
        <v>15</v>
      </c>
      <c r="H16">
        <v>0</v>
      </c>
      <c r="J16">
        <v>0</v>
      </c>
      <c r="K16" s="36">
        <v>18.27</v>
      </c>
      <c r="L16">
        <v>0</v>
      </c>
      <c r="M16" t="s">
        <v>18</v>
      </c>
      <c r="N16" t="s">
        <v>19</v>
      </c>
    </row>
    <row r="17" spans="1:14" ht="12.75">
      <c r="A17">
        <v>200311</v>
      </c>
      <c r="B17" t="s">
        <v>84</v>
      </c>
      <c r="D17" t="s">
        <v>16</v>
      </c>
      <c r="E17">
        <v>100</v>
      </c>
      <c r="F17" t="s">
        <v>17</v>
      </c>
      <c r="G17" t="s">
        <v>15</v>
      </c>
      <c r="H17">
        <v>0</v>
      </c>
      <c r="J17">
        <v>0</v>
      </c>
      <c r="K17" s="36">
        <v>24.92</v>
      </c>
      <c r="L17">
        <v>0</v>
      </c>
      <c r="M17" t="s">
        <v>18</v>
      </c>
      <c r="N17" t="s">
        <v>19</v>
      </c>
    </row>
    <row r="18" spans="1:14" ht="12.75">
      <c r="A18">
        <v>200312</v>
      </c>
      <c r="B18" t="s">
        <v>84</v>
      </c>
      <c r="D18" t="s">
        <v>16</v>
      </c>
      <c r="E18">
        <v>100</v>
      </c>
      <c r="F18" t="s">
        <v>17</v>
      </c>
      <c r="G18" t="s">
        <v>15</v>
      </c>
      <c r="H18">
        <v>0</v>
      </c>
      <c r="J18">
        <v>0</v>
      </c>
      <c r="K18" s="36">
        <v>9.14</v>
      </c>
      <c r="L18">
        <v>0</v>
      </c>
      <c r="M18" t="s">
        <v>18</v>
      </c>
      <c r="N18" t="s">
        <v>19</v>
      </c>
    </row>
    <row r="19" spans="1:14" ht="12.75">
      <c r="A19">
        <v>200401</v>
      </c>
      <c r="B19" t="s">
        <v>84</v>
      </c>
      <c r="D19" t="s">
        <v>30</v>
      </c>
      <c r="E19">
        <v>100</v>
      </c>
      <c r="F19" t="s">
        <v>31</v>
      </c>
      <c r="G19" t="s">
        <v>15</v>
      </c>
      <c r="H19">
        <v>0</v>
      </c>
      <c r="J19">
        <v>0</v>
      </c>
      <c r="K19" s="89">
        <v>12584.6</v>
      </c>
      <c r="L19">
        <v>0</v>
      </c>
      <c r="M19" t="s">
        <v>32</v>
      </c>
      <c r="N19" t="s">
        <v>19</v>
      </c>
    </row>
    <row r="20" spans="1:14" ht="12.75">
      <c r="A20">
        <v>200401</v>
      </c>
      <c r="B20" t="s">
        <v>84</v>
      </c>
      <c r="D20" t="s">
        <v>16</v>
      </c>
      <c r="E20">
        <v>100</v>
      </c>
      <c r="F20" t="s">
        <v>17</v>
      </c>
      <c r="G20" t="s">
        <v>15</v>
      </c>
      <c r="H20">
        <v>0</v>
      </c>
      <c r="J20">
        <v>0</v>
      </c>
      <c r="K20" s="36">
        <v>60489.95</v>
      </c>
      <c r="L20">
        <v>0</v>
      </c>
      <c r="M20" t="s">
        <v>18</v>
      </c>
      <c r="N20" t="s">
        <v>19</v>
      </c>
    </row>
    <row r="21" spans="1:14" ht="12.75">
      <c r="A21">
        <v>200402</v>
      </c>
      <c r="B21" t="s">
        <v>84</v>
      </c>
      <c r="D21" t="s">
        <v>30</v>
      </c>
      <c r="E21">
        <v>100</v>
      </c>
      <c r="F21" t="s">
        <v>31</v>
      </c>
      <c r="G21" t="s">
        <v>15</v>
      </c>
      <c r="H21">
        <v>0</v>
      </c>
      <c r="J21">
        <v>0</v>
      </c>
      <c r="K21" s="89">
        <v>12564.66</v>
      </c>
      <c r="L21">
        <v>0</v>
      </c>
      <c r="M21" t="s">
        <v>32</v>
      </c>
      <c r="N21" t="s">
        <v>19</v>
      </c>
    </row>
    <row r="22" spans="1:14" ht="12.75">
      <c r="A22">
        <v>200402</v>
      </c>
      <c r="B22" t="s">
        <v>84</v>
      </c>
      <c r="D22" t="s">
        <v>16</v>
      </c>
      <c r="E22">
        <v>100</v>
      </c>
      <c r="F22" t="s">
        <v>17</v>
      </c>
      <c r="G22" t="s">
        <v>15</v>
      </c>
      <c r="H22">
        <v>0</v>
      </c>
      <c r="J22">
        <v>0</v>
      </c>
      <c r="K22" s="36">
        <v>60524.02</v>
      </c>
      <c r="L22">
        <v>0</v>
      </c>
      <c r="M22" t="s">
        <v>18</v>
      </c>
      <c r="N22" t="s">
        <v>19</v>
      </c>
    </row>
    <row r="23" spans="1:14" ht="12.75">
      <c r="A23">
        <v>200402</v>
      </c>
      <c r="B23" t="s">
        <v>84</v>
      </c>
      <c r="D23" t="s">
        <v>16</v>
      </c>
      <c r="E23">
        <v>100</v>
      </c>
      <c r="F23" t="s">
        <v>17</v>
      </c>
      <c r="G23" t="s">
        <v>15</v>
      </c>
      <c r="H23">
        <v>0</v>
      </c>
      <c r="I23" t="s">
        <v>28</v>
      </c>
      <c r="J23">
        <v>0</v>
      </c>
      <c r="K23" s="36">
        <v>24.92</v>
      </c>
      <c r="L23">
        <v>0</v>
      </c>
      <c r="M23" t="s">
        <v>18</v>
      </c>
      <c r="N23" t="s">
        <v>19</v>
      </c>
    </row>
    <row r="24" spans="1:14" ht="12.75">
      <c r="A24">
        <v>200402</v>
      </c>
      <c r="B24" t="s">
        <v>84</v>
      </c>
      <c r="D24" t="s">
        <v>16</v>
      </c>
      <c r="E24">
        <v>100</v>
      </c>
      <c r="F24" t="s">
        <v>17</v>
      </c>
      <c r="G24" t="s">
        <v>15</v>
      </c>
      <c r="H24">
        <v>0</v>
      </c>
      <c r="I24" t="s">
        <v>29</v>
      </c>
      <c r="J24">
        <v>0</v>
      </c>
      <c r="K24" s="36">
        <v>49.84</v>
      </c>
      <c r="L24">
        <v>0</v>
      </c>
      <c r="M24" t="s">
        <v>18</v>
      </c>
      <c r="N24" t="s">
        <v>19</v>
      </c>
    </row>
    <row r="25" spans="1:14" ht="12.75">
      <c r="A25">
        <v>200403</v>
      </c>
      <c r="B25" t="s">
        <v>84</v>
      </c>
      <c r="D25" t="s">
        <v>30</v>
      </c>
      <c r="E25">
        <v>100</v>
      </c>
      <c r="F25" t="s">
        <v>31</v>
      </c>
      <c r="G25" t="s">
        <v>15</v>
      </c>
      <c r="H25">
        <v>0</v>
      </c>
      <c r="J25">
        <v>0</v>
      </c>
      <c r="K25" s="89">
        <v>12602.87</v>
      </c>
      <c r="L25">
        <v>0</v>
      </c>
      <c r="M25" t="s">
        <v>32</v>
      </c>
      <c r="N25" t="s">
        <v>19</v>
      </c>
    </row>
    <row r="26" spans="1:14" ht="12.75">
      <c r="A26">
        <v>200403</v>
      </c>
      <c r="B26" t="s">
        <v>84</v>
      </c>
      <c r="D26" t="s">
        <v>16</v>
      </c>
      <c r="E26">
        <v>100</v>
      </c>
      <c r="F26" t="s">
        <v>17</v>
      </c>
      <c r="G26" t="s">
        <v>15</v>
      </c>
      <c r="H26">
        <v>0</v>
      </c>
      <c r="J26">
        <v>0</v>
      </c>
      <c r="K26" s="36">
        <v>60950.19</v>
      </c>
      <c r="L26">
        <v>0</v>
      </c>
      <c r="M26" t="s">
        <v>18</v>
      </c>
      <c r="N26" t="s">
        <v>19</v>
      </c>
    </row>
    <row r="27" spans="1:14" ht="12.75">
      <c r="A27">
        <v>200404</v>
      </c>
      <c r="B27" t="s">
        <v>84</v>
      </c>
      <c r="D27" t="s">
        <v>30</v>
      </c>
      <c r="E27">
        <v>100</v>
      </c>
      <c r="F27" t="s">
        <v>31</v>
      </c>
      <c r="G27" t="s">
        <v>15</v>
      </c>
      <c r="H27">
        <v>0</v>
      </c>
      <c r="I27" t="s">
        <v>85</v>
      </c>
      <c r="J27">
        <v>0</v>
      </c>
      <c r="K27" s="89">
        <f>12586.26/2</f>
        <v>6293.13</v>
      </c>
      <c r="L27">
        <v>0</v>
      </c>
      <c r="M27" t="s">
        <v>32</v>
      </c>
      <c r="N27" t="s">
        <v>19</v>
      </c>
    </row>
    <row r="28" spans="1:14" ht="12.75">
      <c r="A28">
        <v>200404</v>
      </c>
      <c r="B28" t="s">
        <v>84</v>
      </c>
      <c r="D28" t="s">
        <v>16</v>
      </c>
      <c r="E28">
        <v>100</v>
      </c>
      <c r="F28" t="s">
        <v>17</v>
      </c>
      <c r="G28" t="s">
        <v>15</v>
      </c>
      <c r="H28">
        <v>0</v>
      </c>
      <c r="I28" t="s">
        <v>85</v>
      </c>
      <c r="J28">
        <v>0</v>
      </c>
      <c r="K28" s="36">
        <f>60808.07/2</f>
        <v>30404.035</v>
      </c>
      <c r="L28">
        <v>0</v>
      </c>
      <c r="M28" t="s">
        <v>18</v>
      </c>
      <c r="N28" t="s">
        <v>19</v>
      </c>
    </row>
    <row r="29" spans="1:14" ht="12.75">
      <c r="A29">
        <v>200404</v>
      </c>
      <c r="B29" t="s">
        <v>84</v>
      </c>
      <c r="D29" t="s">
        <v>16</v>
      </c>
      <c r="E29">
        <v>100</v>
      </c>
      <c r="F29" t="s">
        <v>17</v>
      </c>
      <c r="G29" t="s">
        <v>15</v>
      </c>
      <c r="H29">
        <v>0</v>
      </c>
      <c r="I29" t="s">
        <v>85</v>
      </c>
      <c r="J29">
        <v>0</v>
      </c>
      <c r="K29" s="36">
        <f>49.84/2</f>
        <v>24.92</v>
      </c>
      <c r="L29">
        <v>0</v>
      </c>
      <c r="M29" t="s">
        <v>18</v>
      </c>
      <c r="N29" t="s">
        <v>19</v>
      </c>
    </row>
    <row r="30" ht="12.75">
      <c r="K30" s="37">
        <f>SUM(K16:K29)</f>
        <v>256565.46500000003</v>
      </c>
    </row>
    <row r="31" ht="12.75">
      <c r="K31" s="1"/>
    </row>
    <row r="32" spans="1:14" ht="12.75">
      <c r="A32">
        <v>200401</v>
      </c>
      <c r="B32" t="s">
        <v>81</v>
      </c>
      <c r="D32" t="s">
        <v>59</v>
      </c>
      <c r="E32">
        <v>100</v>
      </c>
      <c r="F32" t="s">
        <v>60</v>
      </c>
      <c r="G32" t="s">
        <v>15</v>
      </c>
      <c r="H32">
        <v>0</v>
      </c>
      <c r="J32">
        <v>0</v>
      </c>
      <c r="K32" s="36">
        <v>161.68</v>
      </c>
      <c r="L32">
        <v>0</v>
      </c>
      <c r="M32" t="s">
        <v>61</v>
      </c>
      <c r="N32" t="s">
        <v>19</v>
      </c>
    </row>
    <row r="33" spans="1:14" ht="12.75">
      <c r="A33">
        <v>200401</v>
      </c>
      <c r="B33" t="s">
        <v>81</v>
      </c>
      <c r="D33" t="s">
        <v>62</v>
      </c>
      <c r="E33">
        <v>100</v>
      </c>
      <c r="F33" t="s">
        <v>60</v>
      </c>
      <c r="G33" t="s">
        <v>15</v>
      </c>
      <c r="H33">
        <v>0</v>
      </c>
      <c r="J33">
        <v>0</v>
      </c>
      <c r="K33" s="36">
        <v>359499.84</v>
      </c>
      <c r="L33">
        <v>0</v>
      </c>
      <c r="M33" t="s">
        <v>63</v>
      </c>
      <c r="N33" t="s">
        <v>19</v>
      </c>
    </row>
    <row r="34" spans="1:14" ht="12.75">
      <c r="A34">
        <v>200401</v>
      </c>
      <c r="B34" t="s">
        <v>81</v>
      </c>
      <c r="D34" t="s">
        <v>62</v>
      </c>
      <c r="E34">
        <v>100</v>
      </c>
      <c r="F34" t="s">
        <v>60</v>
      </c>
      <c r="G34" t="s">
        <v>15</v>
      </c>
      <c r="H34">
        <v>0</v>
      </c>
      <c r="I34" t="s">
        <v>29</v>
      </c>
      <c r="J34">
        <v>0</v>
      </c>
      <c r="K34" s="36">
        <v>4.64</v>
      </c>
      <c r="L34">
        <v>0</v>
      </c>
      <c r="M34" t="s">
        <v>63</v>
      </c>
      <c r="N34" t="s">
        <v>19</v>
      </c>
    </row>
    <row r="35" spans="1:14" ht="12.75">
      <c r="A35">
        <v>200402</v>
      </c>
      <c r="B35" t="s">
        <v>81</v>
      </c>
      <c r="D35" t="s">
        <v>59</v>
      </c>
      <c r="E35">
        <v>100</v>
      </c>
      <c r="F35" t="s">
        <v>60</v>
      </c>
      <c r="G35" t="s">
        <v>15</v>
      </c>
      <c r="H35">
        <v>0</v>
      </c>
      <c r="J35">
        <v>0</v>
      </c>
      <c r="K35" s="36">
        <v>160.16</v>
      </c>
      <c r="L35">
        <v>0</v>
      </c>
      <c r="M35" t="s">
        <v>61</v>
      </c>
      <c r="N35" t="s">
        <v>19</v>
      </c>
    </row>
    <row r="36" spans="1:14" ht="12.75">
      <c r="A36">
        <v>200402</v>
      </c>
      <c r="B36" t="s">
        <v>81</v>
      </c>
      <c r="D36" t="s">
        <v>62</v>
      </c>
      <c r="E36">
        <v>100</v>
      </c>
      <c r="F36" t="s">
        <v>60</v>
      </c>
      <c r="G36" t="s">
        <v>15</v>
      </c>
      <c r="H36">
        <v>0</v>
      </c>
      <c r="J36">
        <v>0</v>
      </c>
      <c r="K36" s="36">
        <v>359579.45</v>
      </c>
      <c r="L36">
        <v>0</v>
      </c>
      <c r="M36" t="s">
        <v>63</v>
      </c>
      <c r="N36" t="s">
        <v>19</v>
      </c>
    </row>
    <row r="37" spans="1:14" ht="12.75">
      <c r="A37">
        <v>200402</v>
      </c>
      <c r="B37" t="s">
        <v>81</v>
      </c>
      <c r="D37" t="s">
        <v>62</v>
      </c>
      <c r="E37">
        <v>100</v>
      </c>
      <c r="F37" t="s">
        <v>60</v>
      </c>
      <c r="G37" t="s">
        <v>15</v>
      </c>
      <c r="H37">
        <v>0</v>
      </c>
      <c r="I37" t="s">
        <v>29</v>
      </c>
      <c r="J37">
        <v>0</v>
      </c>
      <c r="K37" s="36">
        <v>102.96</v>
      </c>
      <c r="L37">
        <v>0</v>
      </c>
      <c r="M37" t="s">
        <v>63</v>
      </c>
      <c r="N37" t="s">
        <v>19</v>
      </c>
    </row>
    <row r="38" spans="1:14" ht="12.75">
      <c r="A38">
        <v>200403</v>
      </c>
      <c r="B38" t="s">
        <v>81</v>
      </c>
      <c r="D38" t="s">
        <v>59</v>
      </c>
      <c r="E38">
        <v>100</v>
      </c>
      <c r="F38" t="s">
        <v>60</v>
      </c>
      <c r="G38" t="s">
        <v>15</v>
      </c>
      <c r="H38">
        <v>0</v>
      </c>
      <c r="J38">
        <v>0</v>
      </c>
      <c r="K38" s="36">
        <v>160.16</v>
      </c>
      <c r="L38">
        <v>0</v>
      </c>
      <c r="M38" t="s">
        <v>61</v>
      </c>
      <c r="N38" t="s">
        <v>19</v>
      </c>
    </row>
    <row r="39" spans="1:14" ht="12.75">
      <c r="A39">
        <v>200403</v>
      </c>
      <c r="B39" t="s">
        <v>81</v>
      </c>
      <c r="D39" t="s">
        <v>62</v>
      </c>
      <c r="E39">
        <v>100</v>
      </c>
      <c r="F39" t="s">
        <v>60</v>
      </c>
      <c r="G39" t="s">
        <v>15</v>
      </c>
      <c r="H39">
        <v>0</v>
      </c>
      <c r="J39">
        <v>0</v>
      </c>
      <c r="K39" s="36">
        <v>361713.9</v>
      </c>
      <c r="L39">
        <v>0</v>
      </c>
      <c r="M39" t="s">
        <v>63</v>
      </c>
      <c r="N39" t="s">
        <v>19</v>
      </c>
    </row>
    <row r="40" spans="1:14" ht="12.75">
      <c r="A40">
        <v>200403</v>
      </c>
      <c r="B40" t="s">
        <v>81</v>
      </c>
      <c r="D40" t="s">
        <v>62</v>
      </c>
      <c r="E40">
        <v>100</v>
      </c>
      <c r="F40" t="s">
        <v>60</v>
      </c>
      <c r="G40" t="s">
        <v>15</v>
      </c>
      <c r="H40">
        <v>0</v>
      </c>
      <c r="I40" t="s">
        <v>29</v>
      </c>
      <c r="J40">
        <v>0</v>
      </c>
      <c r="K40" s="36">
        <v>11.44</v>
      </c>
      <c r="L40">
        <v>0</v>
      </c>
      <c r="M40" t="s">
        <v>63</v>
      </c>
      <c r="N40" t="s">
        <v>19</v>
      </c>
    </row>
    <row r="41" spans="1:14" ht="12.75">
      <c r="A41">
        <v>200404</v>
      </c>
      <c r="B41" t="s">
        <v>81</v>
      </c>
      <c r="D41" t="s">
        <v>59</v>
      </c>
      <c r="E41">
        <v>100</v>
      </c>
      <c r="F41" t="s">
        <v>60</v>
      </c>
      <c r="G41" t="s">
        <v>15</v>
      </c>
      <c r="H41">
        <v>0</v>
      </c>
      <c r="I41" t="s">
        <v>85</v>
      </c>
      <c r="J41">
        <v>0</v>
      </c>
      <c r="K41" s="36">
        <f>160.16/2</f>
        <v>80.08</v>
      </c>
      <c r="L41">
        <v>0</v>
      </c>
      <c r="M41" t="s">
        <v>61</v>
      </c>
      <c r="N41" t="s">
        <v>19</v>
      </c>
    </row>
    <row r="42" spans="1:14" ht="12.75">
      <c r="A42">
        <v>200404</v>
      </c>
      <c r="B42" t="s">
        <v>81</v>
      </c>
      <c r="D42" t="s">
        <v>62</v>
      </c>
      <c r="E42">
        <v>100</v>
      </c>
      <c r="F42" t="s">
        <v>60</v>
      </c>
      <c r="G42" t="s">
        <v>15</v>
      </c>
      <c r="H42">
        <v>0</v>
      </c>
      <c r="I42" t="s">
        <v>85</v>
      </c>
      <c r="J42">
        <v>0</v>
      </c>
      <c r="K42" s="36">
        <f>360044.93/2</f>
        <v>180022.465</v>
      </c>
      <c r="L42">
        <v>0</v>
      </c>
      <c r="M42" t="s">
        <v>63</v>
      </c>
      <c r="N42" t="s">
        <v>19</v>
      </c>
    </row>
    <row r="43" spans="1:14" ht="12.75">
      <c r="A43">
        <v>200404</v>
      </c>
      <c r="B43" t="s">
        <v>81</v>
      </c>
      <c r="D43" t="s">
        <v>62</v>
      </c>
      <c r="E43">
        <v>100</v>
      </c>
      <c r="F43" t="s">
        <v>60</v>
      </c>
      <c r="G43" t="s">
        <v>15</v>
      </c>
      <c r="H43">
        <v>0</v>
      </c>
      <c r="I43" t="s">
        <v>85</v>
      </c>
      <c r="J43">
        <v>0</v>
      </c>
      <c r="K43" s="36">
        <f>11.44/2</f>
        <v>5.72</v>
      </c>
      <c r="L43">
        <v>0</v>
      </c>
      <c r="M43" t="s">
        <v>63</v>
      </c>
      <c r="N43" t="s">
        <v>19</v>
      </c>
    </row>
    <row r="44" ht="12.75">
      <c r="K44" s="37">
        <f>SUM(K32:K43)</f>
        <v>1261502.495</v>
      </c>
    </row>
    <row r="45" ht="12.75">
      <c r="K45" s="1"/>
    </row>
    <row r="46" spans="1:14" ht="12.75">
      <c r="A46">
        <v>200401</v>
      </c>
      <c r="B46" t="s">
        <v>82</v>
      </c>
      <c r="D46" t="s">
        <v>35</v>
      </c>
      <c r="E46">
        <v>100</v>
      </c>
      <c r="F46" t="s">
        <v>36</v>
      </c>
      <c r="G46" t="s">
        <v>15</v>
      </c>
      <c r="H46">
        <v>0</v>
      </c>
      <c r="J46">
        <v>0</v>
      </c>
      <c r="K46" s="36">
        <v>2543.7</v>
      </c>
      <c r="L46">
        <v>0</v>
      </c>
      <c r="M46" t="s">
        <v>37</v>
      </c>
      <c r="N46" t="s">
        <v>19</v>
      </c>
    </row>
    <row r="47" spans="1:14" ht="12.75">
      <c r="A47">
        <v>200402</v>
      </c>
      <c r="B47" t="s">
        <v>82</v>
      </c>
      <c r="D47" t="s">
        <v>35</v>
      </c>
      <c r="E47">
        <v>100</v>
      </c>
      <c r="F47" t="s">
        <v>36</v>
      </c>
      <c r="G47" t="s">
        <v>15</v>
      </c>
      <c r="H47">
        <v>0</v>
      </c>
      <c r="J47">
        <v>0</v>
      </c>
      <c r="K47" s="36">
        <v>2548.8</v>
      </c>
      <c r="L47">
        <v>0</v>
      </c>
      <c r="M47" t="s">
        <v>37</v>
      </c>
      <c r="N47" t="s">
        <v>19</v>
      </c>
    </row>
    <row r="48" spans="1:14" ht="12.75">
      <c r="A48">
        <v>200403</v>
      </c>
      <c r="B48" t="s">
        <v>82</v>
      </c>
      <c r="D48" t="s">
        <v>35</v>
      </c>
      <c r="E48">
        <v>100</v>
      </c>
      <c r="F48" t="s">
        <v>36</v>
      </c>
      <c r="G48" t="s">
        <v>15</v>
      </c>
      <c r="H48">
        <v>0</v>
      </c>
      <c r="J48">
        <v>0</v>
      </c>
      <c r="K48" s="36">
        <v>2548.8</v>
      </c>
      <c r="L48">
        <v>0</v>
      </c>
      <c r="M48" t="s">
        <v>37</v>
      </c>
      <c r="N48" t="s">
        <v>19</v>
      </c>
    </row>
    <row r="49" spans="1:14" ht="12.75">
      <c r="A49">
        <v>200404</v>
      </c>
      <c r="B49" t="s">
        <v>82</v>
      </c>
      <c r="D49" t="s">
        <v>35</v>
      </c>
      <c r="E49">
        <v>100</v>
      </c>
      <c r="F49" t="s">
        <v>36</v>
      </c>
      <c r="G49" t="s">
        <v>15</v>
      </c>
      <c r="H49">
        <v>0</v>
      </c>
      <c r="I49" t="s">
        <v>85</v>
      </c>
      <c r="J49">
        <v>0</v>
      </c>
      <c r="K49" s="36">
        <f>2519.7/2</f>
        <v>1259.85</v>
      </c>
      <c r="L49">
        <v>0</v>
      </c>
      <c r="M49" t="s">
        <v>37</v>
      </c>
      <c r="N49" t="s">
        <v>19</v>
      </c>
    </row>
    <row r="50" ht="12.75">
      <c r="K50" s="37">
        <f>SUM(K46:K49)</f>
        <v>8901.15</v>
      </c>
    </row>
    <row r="51" ht="12.75">
      <c r="K51" s="3"/>
    </row>
    <row r="52" spans="1:14" ht="12.75">
      <c r="A52">
        <v>200401</v>
      </c>
      <c r="B52" t="s">
        <v>86</v>
      </c>
      <c r="D52" t="s">
        <v>38</v>
      </c>
      <c r="E52">
        <v>103</v>
      </c>
      <c r="F52" t="s">
        <v>39</v>
      </c>
      <c r="G52" t="s">
        <v>40</v>
      </c>
      <c r="H52">
        <v>0</v>
      </c>
      <c r="J52">
        <v>0</v>
      </c>
      <c r="K52" s="36">
        <v>65.65</v>
      </c>
      <c r="L52">
        <v>0</v>
      </c>
      <c r="M52" t="s">
        <v>41</v>
      </c>
      <c r="N52" t="s">
        <v>42</v>
      </c>
    </row>
    <row r="53" spans="1:14" ht="12.75">
      <c r="A53">
        <v>200401</v>
      </c>
      <c r="B53" t="s">
        <v>86</v>
      </c>
      <c r="D53" t="s">
        <v>44</v>
      </c>
      <c r="E53">
        <v>103</v>
      </c>
      <c r="F53" t="s">
        <v>39</v>
      </c>
      <c r="G53" t="s">
        <v>40</v>
      </c>
      <c r="H53">
        <v>0</v>
      </c>
      <c r="J53">
        <v>0</v>
      </c>
      <c r="K53" s="36">
        <v>3.1</v>
      </c>
      <c r="L53">
        <v>0</v>
      </c>
      <c r="M53" t="s">
        <v>45</v>
      </c>
      <c r="N53" t="s">
        <v>42</v>
      </c>
    </row>
    <row r="54" spans="1:14" ht="12.75">
      <c r="A54">
        <v>200401</v>
      </c>
      <c r="B54" t="s">
        <v>86</v>
      </c>
      <c r="D54" t="s">
        <v>47</v>
      </c>
      <c r="E54">
        <v>103</v>
      </c>
      <c r="F54" t="s">
        <v>39</v>
      </c>
      <c r="G54" t="s">
        <v>40</v>
      </c>
      <c r="H54">
        <v>0</v>
      </c>
      <c r="J54">
        <v>0</v>
      </c>
      <c r="K54" s="36">
        <v>3.41</v>
      </c>
      <c r="L54">
        <v>0</v>
      </c>
      <c r="M54" t="s">
        <v>48</v>
      </c>
      <c r="N54" t="s">
        <v>42</v>
      </c>
    </row>
    <row r="55" spans="1:14" ht="12.75">
      <c r="A55">
        <v>200401</v>
      </c>
      <c r="B55" t="s">
        <v>86</v>
      </c>
      <c r="D55" t="s">
        <v>50</v>
      </c>
      <c r="E55">
        <v>103</v>
      </c>
      <c r="F55" t="s">
        <v>39</v>
      </c>
      <c r="G55" t="s">
        <v>40</v>
      </c>
      <c r="H55">
        <v>0</v>
      </c>
      <c r="J55">
        <v>0</v>
      </c>
      <c r="K55" s="36">
        <v>30.11</v>
      </c>
      <c r="L55">
        <v>0</v>
      </c>
      <c r="M55" t="s">
        <v>51</v>
      </c>
      <c r="N55" t="s">
        <v>42</v>
      </c>
    </row>
    <row r="56" spans="1:14" ht="12.75">
      <c r="A56">
        <v>200401</v>
      </c>
      <c r="B56" t="s">
        <v>86</v>
      </c>
      <c r="D56" t="s">
        <v>53</v>
      </c>
      <c r="E56">
        <v>103</v>
      </c>
      <c r="F56" t="s">
        <v>39</v>
      </c>
      <c r="G56" t="s">
        <v>40</v>
      </c>
      <c r="H56">
        <v>0</v>
      </c>
      <c r="J56">
        <v>0</v>
      </c>
      <c r="K56" s="36">
        <v>44.95</v>
      </c>
      <c r="L56">
        <v>0</v>
      </c>
      <c r="M56" t="s">
        <v>54</v>
      </c>
      <c r="N56" t="s">
        <v>42</v>
      </c>
    </row>
    <row r="57" spans="1:14" ht="12.75">
      <c r="A57">
        <v>200401</v>
      </c>
      <c r="B57" t="s">
        <v>86</v>
      </c>
      <c r="D57" t="s">
        <v>55</v>
      </c>
      <c r="E57">
        <v>103</v>
      </c>
      <c r="F57" t="s">
        <v>39</v>
      </c>
      <c r="G57" t="s">
        <v>40</v>
      </c>
      <c r="H57">
        <v>0</v>
      </c>
      <c r="J57">
        <v>0</v>
      </c>
      <c r="K57" s="36">
        <v>91.33</v>
      </c>
      <c r="L57">
        <v>0</v>
      </c>
      <c r="M57" t="s">
        <v>56</v>
      </c>
      <c r="N57" t="s">
        <v>42</v>
      </c>
    </row>
    <row r="58" spans="1:14" ht="12.75">
      <c r="A58">
        <v>200401</v>
      </c>
      <c r="B58" t="s">
        <v>86</v>
      </c>
      <c r="D58" t="s">
        <v>57</v>
      </c>
      <c r="E58">
        <v>103</v>
      </c>
      <c r="F58" t="s">
        <v>39</v>
      </c>
      <c r="G58" t="s">
        <v>40</v>
      </c>
      <c r="H58">
        <v>0</v>
      </c>
      <c r="J58">
        <v>0</v>
      </c>
      <c r="K58" s="36">
        <v>1.24</v>
      </c>
      <c r="L58">
        <v>0</v>
      </c>
      <c r="M58" t="s">
        <v>58</v>
      </c>
      <c r="N58" t="s">
        <v>42</v>
      </c>
    </row>
    <row r="59" ht="12.75">
      <c r="K59" s="36"/>
    </row>
    <row r="60" spans="1:14" ht="12.75">
      <c r="A60">
        <v>200402</v>
      </c>
      <c r="B60" t="s">
        <v>86</v>
      </c>
      <c r="D60" t="s">
        <v>53</v>
      </c>
      <c r="E60">
        <v>103</v>
      </c>
      <c r="F60" t="s">
        <v>39</v>
      </c>
      <c r="G60" t="s">
        <v>40</v>
      </c>
      <c r="H60">
        <v>0</v>
      </c>
      <c r="J60">
        <v>0</v>
      </c>
      <c r="K60" s="36">
        <v>0.31</v>
      </c>
      <c r="L60">
        <v>0</v>
      </c>
      <c r="M60" t="s">
        <v>54</v>
      </c>
      <c r="N60" t="s">
        <v>42</v>
      </c>
    </row>
    <row r="61" spans="1:14" ht="12.75">
      <c r="A61">
        <v>200402</v>
      </c>
      <c r="B61" t="s">
        <v>86</v>
      </c>
      <c r="D61" t="s">
        <v>55</v>
      </c>
      <c r="E61">
        <v>103</v>
      </c>
      <c r="F61" t="s">
        <v>39</v>
      </c>
      <c r="G61" t="s">
        <v>40</v>
      </c>
      <c r="H61">
        <v>0</v>
      </c>
      <c r="J61">
        <v>0</v>
      </c>
      <c r="K61" s="36">
        <v>2.79</v>
      </c>
      <c r="L61">
        <v>0</v>
      </c>
      <c r="M61" t="s">
        <v>56</v>
      </c>
      <c r="N61" t="s">
        <v>42</v>
      </c>
    </row>
    <row r="62" spans="1:14" ht="12.75">
      <c r="A62">
        <v>200402</v>
      </c>
      <c r="B62" t="s">
        <v>86</v>
      </c>
      <c r="D62" t="s">
        <v>65</v>
      </c>
      <c r="E62">
        <v>103</v>
      </c>
      <c r="F62" t="s">
        <v>39</v>
      </c>
      <c r="G62" t="s">
        <v>40</v>
      </c>
      <c r="H62">
        <v>0</v>
      </c>
      <c r="J62">
        <v>0</v>
      </c>
      <c r="K62" s="36">
        <v>65.41</v>
      </c>
      <c r="L62">
        <v>0</v>
      </c>
      <c r="M62" t="s">
        <v>66</v>
      </c>
      <c r="N62" t="s">
        <v>42</v>
      </c>
    </row>
    <row r="63" spans="1:14" ht="12.75">
      <c r="A63">
        <v>200402</v>
      </c>
      <c r="B63" t="s">
        <v>86</v>
      </c>
      <c r="D63" t="s">
        <v>69</v>
      </c>
      <c r="E63">
        <v>103</v>
      </c>
      <c r="F63" t="s">
        <v>39</v>
      </c>
      <c r="G63" t="s">
        <v>40</v>
      </c>
      <c r="H63">
        <v>0</v>
      </c>
      <c r="J63">
        <v>0</v>
      </c>
      <c r="K63" s="36">
        <v>3.1</v>
      </c>
      <c r="L63">
        <v>0</v>
      </c>
      <c r="M63" t="s">
        <v>70</v>
      </c>
      <c r="N63" t="s">
        <v>42</v>
      </c>
    </row>
    <row r="64" spans="1:14" ht="12.75">
      <c r="A64">
        <v>200402</v>
      </c>
      <c r="B64" t="s">
        <v>86</v>
      </c>
      <c r="D64" t="s">
        <v>71</v>
      </c>
      <c r="E64">
        <v>103</v>
      </c>
      <c r="F64" t="s">
        <v>39</v>
      </c>
      <c r="G64" t="s">
        <v>40</v>
      </c>
      <c r="H64">
        <v>0</v>
      </c>
      <c r="J64">
        <v>0</v>
      </c>
      <c r="K64" s="36">
        <v>3.41</v>
      </c>
      <c r="L64">
        <v>0</v>
      </c>
      <c r="M64" t="s">
        <v>72</v>
      </c>
      <c r="N64" t="s">
        <v>42</v>
      </c>
    </row>
    <row r="65" spans="1:14" ht="12.75">
      <c r="A65">
        <v>200402</v>
      </c>
      <c r="B65" t="s">
        <v>86</v>
      </c>
      <c r="D65" t="s">
        <v>73</v>
      </c>
      <c r="E65">
        <v>103</v>
      </c>
      <c r="F65" t="s">
        <v>39</v>
      </c>
      <c r="G65" t="s">
        <v>40</v>
      </c>
      <c r="H65">
        <v>0</v>
      </c>
      <c r="J65">
        <v>0</v>
      </c>
      <c r="K65" s="36">
        <v>30.07</v>
      </c>
      <c r="L65">
        <v>0</v>
      </c>
      <c r="M65" t="s">
        <v>74</v>
      </c>
      <c r="N65" t="s">
        <v>42</v>
      </c>
    </row>
    <row r="66" spans="1:14" ht="12.75">
      <c r="A66">
        <v>200402</v>
      </c>
      <c r="B66" t="s">
        <v>86</v>
      </c>
      <c r="D66" t="s">
        <v>75</v>
      </c>
      <c r="E66">
        <v>103</v>
      </c>
      <c r="F66" t="s">
        <v>39</v>
      </c>
      <c r="G66" t="s">
        <v>40</v>
      </c>
      <c r="H66">
        <v>0</v>
      </c>
      <c r="J66">
        <v>0</v>
      </c>
      <c r="K66" s="36">
        <v>87.55</v>
      </c>
      <c r="L66">
        <v>0</v>
      </c>
      <c r="M66" t="s">
        <v>76</v>
      </c>
      <c r="N66" t="s">
        <v>42</v>
      </c>
    </row>
    <row r="67" spans="1:14" ht="12.75">
      <c r="A67">
        <v>200402</v>
      </c>
      <c r="B67" t="s">
        <v>86</v>
      </c>
      <c r="D67" t="s">
        <v>77</v>
      </c>
      <c r="E67">
        <v>103</v>
      </c>
      <c r="F67" t="s">
        <v>39</v>
      </c>
      <c r="G67" t="s">
        <v>40</v>
      </c>
      <c r="H67">
        <v>0</v>
      </c>
      <c r="J67">
        <v>0</v>
      </c>
      <c r="K67" s="36">
        <v>45.38</v>
      </c>
      <c r="L67">
        <v>0</v>
      </c>
      <c r="M67" t="s">
        <v>78</v>
      </c>
      <c r="N67" t="s">
        <v>42</v>
      </c>
    </row>
    <row r="68" spans="1:14" ht="12.75">
      <c r="A68">
        <v>200402</v>
      </c>
      <c r="B68" t="s">
        <v>86</v>
      </c>
      <c r="D68" t="s">
        <v>79</v>
      </c>
      <c r="E68">
        <v>103</v>
      </c>
      <c r="F68" t="s">
        <v>39</v>
      </c>
      <c r="G68" t="s">
        <v>40</v>
      </c>
      <c r="H68">
        <v>0</v>
      </c>
      <c r="J68">
        <v>0</v>
      </c>
      <c r="K68" s="36">
        <v>1.24</v>
      </c>
      <c r="L68">
        <v>0</v>
      </c>
      <c r="M68" t="s">
        <v>80</v>
      </c>
      <c r="N68" t="s">
        <v>42</v>
      </c>
    </row>
    <row r="69" ht="12.75">
      <c r="K69" s="36"/>
    </row>
    <row r="70" spans="1:14" ht="12.75">
      <c r="A70">
        <v>200403</v>
      </c>
      <c r="B70" t="s">
        <v>86</v>
      </c>
      <c r="D70" t="s">
        <v>65</v>
      </c>
      <c r="E70">
        <v>103</v>
      </c>
      <c r="F70" t="s">
        <v>39</v>
      </c>
      <c r="G70" t="s">
        <v>40</v>
      </c>
      <c r="H70">
        <v>0</v>
      </c>
      <c r="J70">
        <v>0</v>
      </c>
      <c r="K70" s="36">
        <v>65.1</v>
      </c>
      <c r="L70">
        <v>0</v>
      </c>
      <c r="M70" t="s">
        <v>66</v>
      </c>
      <c r="N70" t="s">
        <v>42</v>
      </c>
    </row>
    <row r="71" spans="1:14" ht="12.75">
      <c r="A71">
        <v>200403</v>
      </c>
      <c r="B71" t="s">
        <v>86</v>
      </c>
      <c r="D71" t="s">
        <v>69</v>
      </c>
      <c r="E71">
        <v>103</v>
      </c>
      <c r="F71" t="s">
        <v>39</v>
      </c>
      <c r="G71" t="s">
        <v>40</v>
      </c>
      <c r="H71">
        <v>0</v>
      </c>
      <c r="J71">
        <v>0</v>
      </c>
      <c r="K71" s="36">
        <v>3.1</v>
      </c>
      <c r="L71">
        <v>0</v>
      </c>
      <c r="M71" t="s">
        <v>70</v>
      </c>
      <c r="N71" t="s">
        <v>42</v>
      </c>
    </row>
    <row r="72" spans="1:14" ht="12.75">
      <c r="A72">
        <v>200403</v>
      </c>
      <c r="B72" t="s">
        <v>86</v>
      </c>
      <c r="D72" t="s">
        <v>71</v>
      </c>
      <c r="E72">
        <v>103</v>
      </c>
      <c r="F72" t="s">
        <v>39</v>
      </c>
      <c r="G72" t="s">
        <v>40</v>
      </c>
      <c r="H72">
        <v>0</v>
      </c>
      <c r="J72">
        <v>0</v>
      </c>
      <c r="K72" s="36">
        <v>3.41</v>
      </c>
      <c r="L72">
        <v>0</v>
      </c>
      <c r="M72" t="s">
        <v>72</v>
      </c>
      <c r="N72" t="s">
        <v>42</v>
      </c>
    </row>
    <row r="73" spans="1:14" ht="12.75">
      <c r="A73">
        <v>200403</v>
      </c>
      <c r="B73" t="s">
        <v>86</v>
      </c>
      <c r="D73" t="s">
        <v>73</v>
      </c>
      <c r="E73">
        <v>103</v>
      </c>
      <c r="F73" t="s">
        <v>39</v>
      </c>
      <c r="G73" t="s">
        <v>40</v>
      </c>
      <c r="H73">
        <v>0</v>
      </c>
      <c r="J73">
        <v>0</v>
      </c>
      <c r="K73" s="36">
        <v>30.38</v>
      </c>
      <c r="L73">
        <v>0</v>
      </c>
      <c r="M73" t="s">
        <v>74</v>
      </c>
      <c r="N73" t="s">
        <v>42</v>
      </c>
    </row>
    <row r="74" spans="1:14" ht="12.75">
      <c r="A74">
        <v>200403</v>
      </c>
      <c r="B74" t="s">
        <v>86</v>
      </c>
      <c r="D74" t="s">
        <v>75</v>
      </c>
      <c r="E74">
        <v>103</v>
      </c>
      <c r="F74" t="s">
        <v>39</v>
      </c>
      <c r="G74" t="s">
        <v>40</v>
      </c>
      <c r="H74">
        <v>0</v>
      </c>
      <c r="J74">
        <v>0</v>
      </c>
      <c r="K74" s="36">
        <v>90.65</v>
      </c>
      <c r="L74">
        <v>0</v>
      </c>
      <c r="M74" t="s">
        <v>76</v>
      </c>
      <c r="N74" t="s">
        <v>42</v>
      </c>
    </row>
    <row r="75" spans="1:14" ht="12.75">
      <c r="A75">
        <v>200403</v>
      </c>
      <c r="B75" t="s">
        <v>86</v>
      </c>
      <c r="D75" t="s">
        <v>77</v>
      </c>
      <c r="E75">
        <v>103</v>
      </c>
      <c r="F75" t="s">
        <v>39</v>
      </c>
      <c r="G75" t="s">
        <v>40</v>
      </c>
      <c r="H75">
        <v>0</v>
      </c>
      <c r="J75">
        <v>0</v>
      </c>
      <c r="K75" s="36">
        <v>45.16</v>
      </c>
      <c r="L75">
        <v>0</v>
      </c>
      <c r="M75" t="s">
        <v>78</v>
      </c>
      <c r="N75" t="s">
        <v>42</v>
      </c>
    </row>
    <row r="76" spans="1:14" ht="12.75">
      <c r="A76">
        <v>200403</v>
      </c>
      <c r="B76" t="s">
        <v>86</v>
      </c>
      <c r="D76" t="s">
        <v>79</v>
      </c>
      <c r="E76">
        <v>103</v>
      </c>
      <c r="F76" t="s">
        <v>39</v>
      </c>
      <c r="G76" t="s">
        <v>40</v>
      </c>
      <c r="H76">
        <v>0</v>
      </c>
      <c r="J76">
        <v>0</v>
      </c>
      <c r="K76" s="36">
        <v>1.24</v>
      </c>
      <c r="L76">
        <v>0</v>
      </c>
      <c r="M76" t="s">
        <v>80</v>
      </c>
      <c r="N76" t="s">
        <v>42</v>
      </c>
    </row>
    <row r="77" ht="12.75">
      <c r="K77" s="36"/>
    </row>
    <row r="78" spans="1:14" ht="12.75">
      <c r="A78">
        <v>200404</v>
      </c>
      <c r="B78" t="s">
        <v>86</v>
      </c>
      <c r="D78" t="s">
        <v>65</v>
      </c>
      <c r="E78">
        <v>103</v>
      </c>
      <c r="F78" t="s">
        <v>39</v>
      </c>
      <c r="G78" t="s">
        <v>40</v>
      </c>
      <c r="H78">
        <v>0</v>
      </c>
      <c r="I78" t="s">
        <v>85</v>
      </c>
      <c r="J78">
        <v>0</v>
      </c>
      <c r="K78" s="36">
        <f>65.1/2</f>
        <v>32.55</v>
      </c>
      <c r="L78">
        <v>0</v>
      </c>
      <c r="M78" t="s">
        <v>66</v>
      </c>
      <c r="N78" t="s">
        <v>42</v>
      </c>
    </row>
    <row r="79" spans="1:14" ht="12.75">
      <c r="A79">
        <v>200404</v>
      </c>
      <c r="B79" t="s">
        <v>86</v>
      </c>
      <c r="D79" t="s">
        <v>69</v>
      </c>
      <c r="E79">
        <v>103</v>
      </c>
      <c r="F79" t="s">
        <v>39</v>
      </c>
      <c r="G79" t="s">
        <v>40</v>
      </c>
      <c r="H79">
        <v>0</v>
      </c>
      <c r="I79" t="s">
        <v>85</v>
      </c>
      <c r="J79">
        <v>0</v>
      </c>
      <c r="K79" s="36">
        <f>3.1/2</f>
        <v>1.55</v>
      </c>
      <c r="L79">
        <v>0</v>
      </c>
      <c r="M79" t="s">
        <v>70</v>
      </c>
      <c r="N79" t="s">
        <v>42</v>
      </c>
    </row>
    <row r="80" spans="1:14" ht="12.75">
      <c r="A80">
        <v>200404</v>
      </c>
      <c r="B80" t="s">
        <v>86</v>
      </c>
      <c r="D80" t="s">
        <v>71</v>
      </c>
      <c r="E80">
        <v>103</v>
      </c>
      <c r="F80" t="s">
        <v>39</v>
      </c>
      <c r="G80" t="s">
        <v>40</v>
      </c>
      <c r="H80">
        <v>0</v>
      </c>
      <c r="I80" t="s">
        <v>85</v>
      </c>
      <c r="J80">
        <v>0</v>
      </c>
      <c r="K80" s="36">
        <f>3.41/2</f>
        <v>1.705</v>
      </c>
      <c r="L80">
        <v>0</v>
      </c>
      <c r="M80" t="s">
        <v>72</v>
      </c>
      <c r="N80" t="s">
        <v>42</v>
      </c>
    </row>
    <row r="81" spans="1:14" ht="12.75">
      <c r="A81">
        <v>200404</v>
      </c>
      <c r="B81" t="s">
        <v>86</v>
      </c>
      <c r="D81" t="s">
        <v>73</v>
      </c>
      <c r="E81">
        <v>103</v>
      </c>
      <c r="F81" t="s">
        <v>39</v>
      </c>
      <c r="G81" t="s">
        <v>40</v>
      </c>
      <c r="H81">
        <v>0</v>
      </c>
      <c r="I81" t="s">
        <v>85</v>
      </c>
      <c r="J81">
        <v>0</v>
      </c>
      <c r="K81" s="36">
        <f>30.38/2</f>
        <v>15.19</v>
      </c>
      <c r="L81">
        <v>0</v>
      </c>
      <c r="M81" t="s">
        <v>74</v>
      </c>
      <c r="N81" t="s">
        <v>42</v>
      </c>
    </row>
    <row r="82" spans="1:14" ht="12.75">
      <c r="A82">
        <v>200404</v>
      </c>
      <c r="B82" t="s">
        <v>86</v>
      </c>
      <c r="D82" t="s">
        <v>75</v>
      </c>
      <c r="E82">
        <v>103</v>
      </c>
      <c r="F82" t="s">
        <v>39</v>
      </c>
      <c r="G82" t="s">
        <v>40</v>
      </c>
      <c r="H82">
        <v>0</v>
      </c>
      <c r="I82" t="s">
        <v>85</v>
      </c>
      <c r="J82">
        <v>0</v>
      </c>
      <c r="K82" s="36">
        <f>88.04/2</f>
        <v>44.02</v>
      </c>
      <c r="L82">
        <v>0</v>
      </c>
      <c r="M82" t="s">
        <v>76</v>
      </c>
      <c r="N82" t="s">
        <v>42</v>
      </c>
    </row>
    <row r="83" spans="1:14" ht="12.75">
      <c r="A83">
        <v>200404</v>
      </c>
      <c r="B83" t="s">
        <v>86</v>
      </c>
      <c r="D83" t="s">
        <v>75</v>
      </c>
      <c r="E83">
        <v>103</v>
      </c>
      <c r="F83" t="s">
        <v>39</v>
      </c>
      <c r="G83" t="s">
        <v>40</v>
      </c>
      <c r="H83">
        <v>0</v>
      </c>
      <c r="I83" t="s">
        <v>85</v>
      </c>
      <c r="J83">
        <v>0</v>
      </c>
      <c r="K83" s="36">
        <f>0.31/2</f>
        <v>0.155</v>
      </c>
      <c r="L83">
        <v>0</v>
      </c>
      <c r="M83" t="s">
        <v>76</v>
      </c>
      <c r="N83" t="s">
        <v>42</v>
      </c>
    </row>
    <row r="84" spans="1:14" ht="12.75">
      <c r="A84">
        <v>200404</v>
      </c>
      <c r="B84" t="s">
        <v>86</v>
      </c>
      <c r="D84" t="s">
        <v>77</v>
      </c>
      <c r="E84">
        <v>103</v>
      </c>
      <c r="F84" t="s">
        <v>39</v>
      </c>
      <c r="G84" t="s">
        <v>40</v>
      </c>
      <c r="H84">
        <v>0</v>
      </c>
      <c r="I84" t="s">
        <v>85</v>
      </c>
      <c r="J84">
        <v>0</v>
      </c>
      <c r="K84" s="36">
        <f>45.26/2</f>
        <v>22.63</v>
      </c>
      <c r="L84">
        <v>0</v>
      </c>
      <c r="M84" t="s">
        <v>78</v>
      </c>
      <c r="N84" t="s">
        <v>42</v>
      </c>
    </row>
    <row r="85" spans="1:14" ht="12.75">
      <c r="A85">
        <v>200404</v>
      </c>
      <c r="B85" t="s">
        <v>86</v>
      </c>
      <c r="D85" t="s">
        <v>79</v>
      </c>
      <c r="E85">
        <v>103</v>
      </c>
      <c r="F85" t="s">
        <v>39</v>
      </c>
      <c r="G85" t="s">
        <v>40</v>
      </c>
      <c r="H85">
        <v>0</v>
      </c>
      <c r="I85" t="s">
        <v>85</v>
      </c>
      <c r="J85">
        <v>0</v>
      </c>
      <c r="K85" s="36">
        <f>1.24/2</f>
        <v>0.62</v>
      </c>
      <c r="L85">
        <v>0</v>
      </c>
      <c r="M85" t="s">
        <v>80</v>
      </c>
      <c r="N85" t="s">
        <v>42</v>
      </c>
    </row>
    <row r="86" ht="12.75">
      <c r="K86" s="37">
        <f>SUM(K52:K85)</f>
        <v>836.51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&amp;L&amp;D&amp;C&amp;F&amp;R&amp;A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97"/>
  <sheetViews>
    <sheetView zoomScalePageLayoutView="0" workbookViewId="0" topLeftCell="A52">
      <selection activeCell="N43" sqref="N43"/>
    </sheetView>
  </sheetViews>
  <sheetFormatPr defaultColWidth="9.33203125" defaultRowHeight="12.75"/>
  <cols>
    <col min="2" max="2" width="3.5" style="0" customWidth="1"/>
    <col min="3" max="3" width="2.83203125" style="0" customWidth="1"/>
    <col min="10" max="10" width="12.5" style="0" bestFit="1" customWidth="1"/>
    <col min="11" max="11" width="14.16015625" style="0" bestFit="1" customWidth="1"/>
    <col min="14" max="14" width="17.83203125" style="0" bestFit="1" customWidth="1"/>
    <col min="15" max="15" width="10.5" style="0" bestFit="1" customWidth="1"/>
  </cols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4" t="s">
        <v>9</v>
      </c>
      <c r="K1" s="1" t="s">
        <v>10</v>
      </c>
      <c r="L1" s="4" t="s">
        <v>11</v>
      </c>
      <c r="M1" t="s">
        <v>12</v>
      </c>
      <c r="N1" t="s">
        <v>13</v>
      </c>
    </row>
    <row r="2" spans="1:14" ht="12.75">
      <c r="A2">
        <v>200401</v>
      </c>
      <c r="B2">
        <v>1</v>
      </c>
      <c r="D2" t="s">
        <v>38</v>
      </c>
      <c r="E2">
        <v>463</v>
      </c>
      <c r="F2" t="s">
        <v>43</v>
      </c>
      <c r="G2" t="s">
        <v>40</v>
      </c>
      <c r="H2">
        <v>0.0028</v>
      </c>
      <c r="J2">
        <v>0</v>
      </c>
      <c r="K2" s="39">
        <v>44.49</v>
      </c>
      <c r="L2">
        <v>0</v>
      </c>
      <c r="M2" t="s">
        <v>41</v>
      </c>
      <c r="N2" t="s">
        <v>87</v>
      </c>
    </row>
    <row r="3" spans="1:14" ht="12.75">
      <c r="A3">
        <v>200401</v>
      </c>
      <c r="B3">
        <v>1</v>
      </c>
      <c r="D3" t="s">
        <v>44</v>
      </c>
      <c r="E3">
        <v>463</v>
      </c>
      <c r="F3" t="s">
        <v>46</v>
      </c>
      <c r="G3" t="s">
        <v>40</v>
      </c>
      <c r="H3">
        <v>0.0028</v>
      </c>
      <c r="J3">
        <v>0</v>
      </c>
      <c r="K3" s="39">
        <v>4.6</v>
      </c>
      <c r="L3">
        <v>0</v>
      </c>
      <c r="M3" t="s">
        <v>45</v>
      </c>
      <c r="N3" t="s">
        <v>87</v>
      </c>
    </row>
    <row r="4" spans="1:14" ht="12.75">
      <c r="A4">
        <v>200401</v>
      </c>
      <c r="B4">
        <v>1</v>
      </c>
      <c r="D4" t="s">
        <v>47</v>
      </c>
      <c r="E4">
        <v>463</v>
      </c>
      <c r="F4" t="s">
        <v>49</v>
      </c>
      <c r="G4" t="s">
        <v>40</v>
      </c>
      <c r="H4">
        <v>0.0028</v>
      </c>
      <c r="J4">
        <v>0</v>
      </c>
      <c r="K4" s="39">
        <v>3.41</v>
      </c>
      <c r="L4">
        <v>0</v>
      </c>
      <c r="M4" t="s">
        <v>48</v>
      </c>
      <c r="N4" t="s">
        <v>87</v>
      </c>
    </row>
    <row r="5" spans="1:14" ht="12.75">
      <c r="A5">
        <v>200401</v>
      </c>
      <c r="B5">
        <v>1</v>
      </c>
      <c r="D5" t="s">
        <v>50</v>
      </c>
      <c r="E5">
        <v>463</v>
      </c>
      <c r="F5" t="s">
        <v>52</v>
      </c>
      <c r="G5" t="s">
        <v>40</v>
      </c>
      <c r="H5">
        <v>0.0028</v>
      </c>
      <c r="J5">
        <v>0</v>
      </c>
      <c r="K5" s="39">
        <v>12.63</v>
      </c>
      <c r="L5">
        <v>0</v>
      </c>
      <c r="M5" t="s">
        <v>51</v>
      </c>
      <c r="N5" t="s">
        <v>87</v>
      </c>
    </row>
    <row r="6" spans="1:14" ht="12.75">
      <c r="A6">
        <v>200401</v>
      </c>
      <c r="B6">
        <v>1</v>
      </c>
      <c r="D6" t="s">
        <v>53</v>
      </c>
      <c r="E6">
        <v>463</v>
      </c>
      <c r="F6" t="s">
        <v>52</v>
      </c>
      <c r="G6" t="s">
        <v>40</v>
      </c>
      <c r="H6">
        <v>0.0028</v>
      </c>
      <c r="J6">
        <v>0</v>
      </c>
      <c r="K6" s="39">
        <v>18.85</v>
      </c>
      <c r="L6">
        <v>0</v>
      </c>
      <c r="M6" t="s">
        <v>54</v>
      </c>
      <c r="N6" t="s">
        <v>87</v>
      </c>
    </row>
    <row r="7" spans="1:14" ht="12.75">
      <c r="A7">
        <v>200401</v>
      </c>
      <c r="B7">
        <v>1</v>
      </c>
      <c r="D7" t="s">
        <v>55</v>
      </c>
      <c r="E7">
        <v>463</v>
      </c>
      <c r="F7" t="s">
        <v>43</v>
      </c>
      <c r="G7" t="s">
        <v>40</v>
      </c>
      <c r="H7">
        <v>0.0028</v>
      </c>
      <c r="J7">
        <v>0</v>
      </c>
      <c r="K7" s="39">
        <v>61.88</v>
      </c>
      <c r="L7">
        <v>0</v>
      </c>
      <c r="M7" t="s">
        <v>56</v>
      </c>
      <c r="N7" t="s">
        <v>87</v>
      </c>
    </row>
    <row r="8" spans="1:14" ht="12.75">
      <c r="A8">
        <v>200401</v>
      </c>
      <c r="B8">
        <v>1</v>
      </c>
      <c r="D8" t="s">
        <v>57</v>
      </c>
      <c r="E8">
        <v>463</v>
      </c>
      <c r="F8" t="s">
        <v>52</v>
      </c>
      <c r="G8" t="s">
        <v>40</v>
      </c>
      <c r="H8">
        <v>0.0028</v>
      </c>
      <c r="J8">
        <v>0</v>
      </c>
      <c r="K8" s="39">
        <v>0.52</v>
      </c>
      <c r="L8">
        <v>0</v>
      </c>
      <c r="M8" t="s">
        <v>58</v>
      </c>
      <c r="N8" t="s">
        <v>87</v>
      </c>
    </row>
    <row r="9" ht="12.75">
      <c r="K9" s="39"/>
    </row>
    <row r="10" spans="1:14" ht="12.75">
      <c r="A10">
        <v>200402</v>
      </c>
      <c r="B10">
        <v>1</v>
      </c>
      <c r="D10" t="s">
        <v>65</v>
      </c>
      <c r="E10">
        <v>110</v>
      </c>
      <c r="F10" t="s">
        <v>67</v>
      </c>
      <c r="G10" t="s">
        <v>40</v>
      </c>
      <c r="H10">
        <v>0.0028</v>
      </c>
      <c r="J10" s="4">
        <v>14559</v>
      </c>
      <c r="K10" s="36">
        <v>40.09</v>
      </c>
      <c r="L10" s="4">
        <v>0</v>
      </c>
      <c r="M10" t="s">
        <v>66</v>
      </c>
      <c r="N10" t="s">
        <v>68</v>
      </c>
    </row>
    <row r="11" spans="1:14" ht="12.75">
      <c r="A11">
        <v>200402</v>
      </c>
      <c r="B11">
        <v>1</v>
      </c>
      <c r="D11" t="s">
        <v>69</v>
      </c>
      <c r="E11">
        <v>110</v>
      </c>
      <c r="F11" t="s">
        <v>67</v>
      </c>
      <c r="G11" t="s">
        <v>40</v>
      </c>
      <c r="H11">
        <v>0.0028</v>
      </c>
      <c r="J11" s="4">
        <v>1490</v>
      </c>
      <c r="K11" s="36">
        <v>4.2</v>
      </c>
      <c r="L11" s="4">
        <v>0</v>
      </c>
      <c r="M11" t="s">
        <v>70</v>
      </c>
      <c r="N11" t="s">
        <v>68</v>
      </c>
    </row>
    <row r="12" spans="1:14" ht="12.75">
      <c r="A12">
        <v>200402</v>
      </c>
      <c r="B12">
        <v>1</v>
      </c>
      <c r="D12" t="s">
        <v>71</v>
      </c>
      <c r="E12">
        <v>110</v>
      </c>
      <c r="F12" t="s">
        <v>67</v>
      </c>
      <c r="G12" t="s">
        <v>40</v>
      </c>
      <c r="H12">
        <v>0.0028</v>
      </c>
      <c r="J12" s="4">
        <v>1100</v>
      </c>
      <c r="K12" s="36">
        <v>3.08</v>
      </c>
      <c r="L12" s="4">
        <v>0</v>
      </c>
      <c r="M12" t="s">
        <v>72</v>
      </c>
      <c r="N12" t="s">
        <v>68</v>
      </c>
    </row>
    <row r="13" spans="1:14" ht="12.75">
      <c r="A13">
        <v>200402</v>
      </c>
      <c r="B13">
        <v>1</v>
      </c>
      <c r="D13" t="s">
        <v>73</v>
      </c>
      <c r="E13">
        <v>110</v>
      </c>
      <c r="F13" t="s">
        <v>67</v>
      </c>
      <c r="G13" t="s">
        <v>40</v>
      </c>
      <c r="H13">
        <v>0.0028</v>
      </c>
      <c r="J13" s="4">
        <v>4171</v>
      </c>
      <c r="K13" s="36">
        <v>11.64</v>
      </c>
      <c r="L13" s="4">
        <v>0</v>
      </c>
      <c r="M13" t="s">
        <v>74</v>
      </c>
      <c r="N13" t="s">
        <v>68</v>
      </c>
    </row>
    <row r="14" spans="1:14" ht="12.75">
      <c r="A14">
        <v>200402</v>
      </c>
      <c r="B14">
        <v>1</v>
      </c>
      <c r="D14" t="s">
        <v>75</v>
      </c>
      <c r="E14">
        <v>110</v>
      </c>
      <c r="F14" t="s">
        <v>67</v>
      </c>
      <c r="G14" t="s">
        <v>40</v>
      </c>
      <c r="H14">
        <v>0.0028</v>
      </c>
      <c r="J14" s="4">
        <v>19490.2</v>
      </c>
      <c r="K14" s="36">
        <v>53.68</v>
      </c>
      <c r="L14" s="4">
        <v>0</v>
      </c>
      <c r="M14" t="s">
        <v>76</v>
      </c>
      <c r="N14" t="s">
        <v>68</v>
      </c>
    </row>
    <row r="15" spans="1:14" ht="12.75">
      <c r="A15">
        <v>200402</v>
      </c>
      <c r="B15">
        <v>1</v>
      </c>
      <c r="D15" t="s">
        <v>77</v>
      </c>
      <c r="E15">
        <v>110</v>
      </c>
      <c r="F15" t="s">
        <v>67</v>
      </c>
      <c r="G15" t="s">
        <v>40</v>
      </c>
      <c r="H15">
        <v>0.0028</v>
      </c>
      <c r="J15" s="4">
        <v>6295.2</v>
      </c>
      <c r="K15" s="36">
        <v>17.57</v>
      </c>
      <c r="L15" s="4">
        <v>0</v>
      </c>
      <c r="M15" t="s">
        <v>78</v>
      </c>
      <c r="N15" t="s">
        <v>68</v>
      </c>
    </row>
    <row r="16" spans="1:14" ht="12.75">
      <c r="A16">
        <v>200402</v>
      </c>
      <c r="B16">
        <v>1</v>
      </c>
      <c r="D16" t="s">
        <v>79</v>
      </c>
      <c r="E16">
        <v>110</v>
      </c>
      <c r="F16" t="s">
        <v>67</v>
      </c>
      <c r="G16" t="s">
        <v>40</v>
      </c>
      <c r="H16">
        <v>0.0028</v>
      </c>
      <c r="J16" s="4">
        <v>172</v>
      </c>
      <c r="K16" s="36">
        <v>0.48</v>
      </c>
      <c r="L16" s="4">
        <v>0</v>
      </c>
      <c r="M16" t="s">
        <v>80</v>
      </c>
      <c r="N16" t="s">
        <v>68</v>
      </c>
    </row>
    <row r="17" spans="1:14" ht="12.75">
      <c r="A17">
        <v>200402</v>
      </c>
      <c r="B17">
        <v>1</v>
      </c>
      <c r="D17" t="s">
        <v>53</v>
      </c>
      <c r="E17">
        <v>463</v>
      </c>
      <c r="F17" t="s">
        <v>52</v>
      </c>
      <c r="G17" t="s">
        <v>40</v>
      </c>
      <c r="H17">
        <v>0.0028</v>
      </c>
      <c r="J17">
        <v>0</v>
      </c>
      <c r="K17" s="39">
        <v>0.13</v>
      </c>
      <c r="L17">
        <v>0</v>
      </c>
      <c r="M17" t="s">
        <v>54</v>
      </c>
      <c r="N17" t="s">
        <v>87</v>
      </c>
    </row>
    <row r="18" spans="1:14" ht="12.75">
      <c r="A18">
        <v>200402</v>
      </c>
      <c r="B18">
        <v>1</v>
      </c>
      <c r="D18" t="s">
        <v>55</v>
      </c>
      <c r="E18">
        <v>463</v>
      </c>
      <c r="F18" t="s">
        <v>43</v>
      </c>
      <c r="G18" t="s">
        <v>40</v>
      </c>
      <c r="H18">
        <v>0.0028</v>
      </c>
      <c r="J18">
        <v>0</v>
      </c>
      <c r="K18" s="39">
        <v>1.89</v>
      </c>
      <c r="L18">
        <v>0</v>
      </c>
      <c r="M18" t="s">
        <v>56</v>
      </c>
      <c r="N18" t="s">
        <v>87</v>
      </c>
    </row>
    <row r="19" ht="12.75">
      <c r="K19" s="39"/>
    </row>
    <row r="20" spans="1:14" ht="12.75">
      <c r="A20">
        <v>200403</v>
      </c>
      <c r="B20">
        <v>1</v>
      </c>
      <c r="D20" t="s">
        <v>65</v>
      </c>
      <c r="E20">
        <v>110</v>
      </c>
      <c r="F20" t="s">
        <v>67</v>
      </c>
      <c r="G20" t="s">
        <v>40</v>
      </c>
      <c r="H20">
        <v>0.0028</v>
      </c>
      <c r="J20" s="4">
        <v>14490</v>
      </c>
      <c r="K20" s="36">
        <v>39.9</v>
      </c>
      <c r="L20" s="4">
        <v>0</v>
      </c>
      <c r="M20" t="s">
        <v>66</v>
      </c>
      <c r="N20" t="s">
        <v>68</v>
      </c>
    </row>
    <row r="21" spans="1:14" ht="12.75">
      <c r="A21">
        <v>200403</v>
      </c>
      <c r="B21">
        <v>1</v>
      </c>
      <c r="D21" t="s">
        <v>69</v>
      </c>
      <c r="E21">
        <v>110</v>
      </c>
      <c r="F21" t="s">
        <v>67</v>
      </c>
      <c r="G21" t="s">
        <v>40</v>
      </c>
      <c r="H21">
        <v>0.0028</v>
      </c>
      <c r="J21" s="4">
        <v>1490</v>
      </c>
      <c r="K21" s="36">
        <v>4.2</v>
      </c>
      <c r="L21" s="4">
        <v>0</v>
      </c>
      <c r="M21" t="s">
        <v>70</v>
      </c>
      <c r="N21" t="s">
        <v>68</v>
      </c>
    </row>
    <row r="22" spans="1:14" ht="12.75">
      <c r="A22">
        <v>200403</v>
      </c>
      <c r="B22">
        <v>1</v>
      </c>
      <c r="D22" t="s">
        <v>71</v>
      </c>
      <c r="E22">
        <v>110</v>
      </c>
      <c r="F22" t="s">
        <v>67</v>
      </c>
      <c r="G22" t="s">
        <v>40</v>
      </c>
      <c r="H22">
        <v>0.0028</v>
      </c>
      <c r="J22" s="4">
        <v>1100</v>
      </c>
      <c r="K22" s="36">
        <v>3.08</v>
      </c>
      <c r="L22" s="4">
        <v>0</v>
      </c>
      <c r="M22" t="s">
        <v>72</v>
      </c>
      <c r="N22" t="s">
        <v>68</v>
      </c>
    </row>
    <row r="23" spans="1:14" ht="12.75">
      <c r="A23">
        <v>200403</v>
      </c>
      <c r="B23">
        <v>1</v>
      </c>
      <c r="D23" t="s">
        <v>73</v>
      </c>
      <c r="E23">
        <v>110</v>
      </c>
      <c r="F23" t="s">
        <v>67</v>
      </c>
      <c r="G23" t="s">
        <v>40</v>
      </c>
      <c r="H23">
        <v>0.0028</v>
      </c>
      <c r="J23" s="4">
        <v>4214</v>
      </c>
      <c r="K23" s="36">
        <v>11.76</v>
      </c>
      <c r="L23" s="4">
        <v>0</v>
      </c>
      <c r="M23" t="s">
        <v>74</v>
      </c>
      <c r="N23" t="s">
        <v>68</v>
      </c>
    </row>
    <row r="24" spans="1:14" ht="12.75">
      <c r="A24">
        <v>200403</v>
      </c>
      <c r="B24">
        <v>1</v>
      </c>
      <c r="D24" t="s">
        <v>75</v>
      </c>
      <c r="E24">
        <v>110</v>
      </c>
      <c r="F24" t="s">
        <v>67</v>
      </c>
      <c r="G24" t="s">
        <v>40</v>
      </c>
      <c r="H24">
        <v>0.0028</v>
      </c>
      <c r="J24" s="4">
        <v>20175.59</v>
      </c>
      <c r="K24" s="36">
        <v>55.56</v>
      </c>
      <c r="L24" s="4">
        <v>0</v>
      </c>
      <c r="M24" t="s">
        <v>76</v>
      </c>
      <c r="N24" t="s">
        <v>68</v>
      </c>
    </row>
    <row r="25" spans="1:14" ht="12.75">
      <c r="A25">
        <v>200403</v>
      </c>
      <c r="B25">
        <v>1</v>
      </c>
      <c r="D25" t="s">
        <v>77</v>
      </c>
      <c r="E25">
        <v>110</v>
      </c>
      <c r="F25" t="s">
        <v>67</v>
      </c>
      <c r="G25" t="s">
        <v>40</v>
      </c>
      <c r="H25">
        <v>0.0028</v>
      </c>
      <c r="J25" s="4">
        <v>6263.66</v>
      </c>
      <c r="K25" s="36">
        <v>17.48</v>
      </c>
      <c r="L25" s="4">
        <v>0</v>
      </c>
      <c r="M25" t="s">
        <v>78</v>
      </c>
      <c r="N25" t="s">
        <v>68</v>
      </c>
    </row>
    <row r="26" spans="1:14" ht="12.75">
      <c r="A26">
        <v>200403</v>
      </c>
      <c r="B26">
        <v>1</v>
      </c>
      <c r="D26" t="s">
        <v>79</v>
      </c>
      <c r="E26">
        <v>110</v>
      </c>
      <c r="F26" t="s">
        <v>67</v>
      </c>
      <c r="G26" t="s">
        <v>40</v>
      </c>
      <c r="H26">
        <v>0.0028</v>
      </c>
      <c r="J26" s="4">
        <v>172</v>
      </c>
      <c r="K26" s="36">
        <v>0.48</v>
      </c>
      <c r="L26" s="4">
        <v>0</v>
      </c>
      <c r="M26" t="s">
        <v>80</v>
      </c>
      <c r="N26" t="s">
        <v>68</v>
      </c>
    </row>
    <row r="27" spans="10:12" ht="12.75">
      <c r="J27" s="4"/>
      <c r="K27" s="36"/>
      <c r="L27" s="4"/>
    </row>
    <row r="28" spans="1:14" ht="12.75">
      <c r="A28">
        <v>200404</v>
      </c>
      <c r="B28">
        <v>1</v>
      </c>
      <c r="D28" t="s">
        <v>65</v>
      </c>
      <c r="E28">
        <v>110</v>
      </c>
      <c r="F28" t="s">
        <v>67</v>
      </c>
      <c r="G28" t="s">
        <v>40</v>
      </c>
      <c r="H28">
        <v>0.0028</v>
      </c>
      <c r="J28" s="4">
        <v>13487</v>
      </c>
      <c r="K28" s="36">
        <v>37.39</v>
      </c>
      <c r="L28" s="4">
        <v>0</v>
      </c>
      <c r="M28" t="s">
        <v>66</v>
      </c>
      <c r="N28" t="s">
        <v>68</v>
      </c>
    </row>
    <row r="29" spans="1:14" ht="12.75">
      <c r="A29">
        <v>200404</v>
      </c>
      <c r="B29">
        <v>1</v>
      </c>
      <c r="D29" t="s">
        <v>69</v>
      </c>
      <c r="E29">
        <v>110</v>
      </c>
      <c r="F29" t="s">
        <v>67</v>
      </c>
      <c r="G29" t="s">
        <v>40</v>
      </c>
      <c r="H29">
        <v>0.0028</v>
      </c>
      <c r="J29" s="4">
        <v>1130</v>
      </c>
      <c r="K29" s="36">
        <v>3.2</v>
      </c>
      <c r="L29" s="4">
        <v>0</v>
      </c>
      <c r="M29" t="s">
        <v>70</v>
      </c>
      <c r="N29" t="s">
        <v>68</v>
      </c>
    </row>
    <row r="30" spans="1:14" ht="12.75">
      <c r="A30">
        <v>200404</v>
      </c>
      <c r="B30">
        <v>1</v>
      </c>
      <c r="D30" t="s">
        <v>71</v>
      </c>
      <c r="E30">
        <v>110</v>
      </c>
      <c r="F30" t="s">
        <v>67</v>
      </c>
      <c r="G30" t="s">
        <v>40</v>
      </c>
      <c r="H30">
        <v>0.0028</v>
      </c>
      <c r="J30" s="4">
        <v>908</v>
      </c>
      <c r="K30" s="36">
        <v>2.52</v>
      </c>
      <c r="L30" s="4">
        <v>0</v>
      </c>
      <c r="M30" t="s">
        <v>72</v>
      </c>
      <c r="N30" t="s">
        <v>68</v>
      </c>
    </row>
    <row r="31" spans="1:14" ht="12.75">
      <c r="A31">
        <v>200404</v>
      </c>
      <c r="B31">
        <v>1</v>
      </c>
      <c r="D31" t="s">
        <v>73</v>
      </c>
      <c r="E31">
        <v>110</v>
      </c>
      <c r="F31" t="s">
        <v>67</v>
      </c>
      <c r="G31" t="s">
        <v>40</v>
      </c>
      <c r="H31">
        <v>0.0028</v>
      </c>
      <c r="J31" s="4">
        <v>3899</v>
      </c>
      <c r="K31" s="36">
        <v>10.92</v>
      </c>
      <c r="L31" s="4">
        <v>0</v>
      </c>
      <c r="M31" t="s">
        <v>74</v>
      </c>
      <c r="N31" t="s">
        <v>68</v>
      </c>
    </row>
    <row r="32" spans="1:14" ht="12.75">
      <c r="A32">
        <v>200404</v>
      </c>
      <c r="B32">
        <v>1</v>
      </c>
      <c r="D32" t="s">
        <v>75</v>
      </c>
      <c r="E32">
        <v>110</v>
      </c>
      <c r="F32" t="s">
        <v>67</v>
      </c>
      <c r="G32" t="s">
        <v>40</v>
      </c>
      <c r="H32">
        <v>0.0028</v>
      </c>
      <c r="J32" s="4">
        <v>18565</v>
      </c>
      <c r="K32" s="36">
        <v>51.42</v>
      </c>
      <c r="L32" s="4">
        <v>0</v>
      </c>
      <c r="M32" t="s">
        <v>76</v>
      </c>
      <c r="N32" t="s">
        <v>68</v>
      </c>
    </row>
    <row r="33" spans="1:14" ht="12.75">
      <c r="A33">
        <v>200404</v>
      </c>
      <c r="B33">
        <v>1</v>
      </c>
      <c r="D33" t="s">
        <v>75</v>
      </c>
      <c r="E33">
        <v>110</v>
      </c>
      <c r="F33" t="s">
        <v>67</v>
      </c>
      <c r="G33" t="s">
        <v>40</v>
      </c>
      <c r="H33">
        <v>0.0028</v>
      </c>
      <c r="I33" t="s">
        <v>29</v>
      </c>
      <c r="J33" s="4">
        <v>69</v>
      </c>
      <c r="K33" s="36">
        <v>0.19</v>
      </c>
      <c r="L33" s="4">
        <v>0</v>
      </c>
      <c r="M33" t="s">
        <v>76</v>
      </c>
      <c r="N33" t="s">
        <v>68</v>
      </c>
    </row>
    <row r="34" spans="1:14" ht="12.75">
      <c r="A34">
        <v>200404</v>
      </c>
      <c r="B34">
        <v>1</v>
      </c>
      <c r="D34" t="s">
        <v>77</v>
      </c>
      <c r="E34">
        <v>110</v>
      </c>
      <c r="F34" t="s">
        <v>67</v>
      </c>
      <c r="G34" t="s">
        <v>40</v>
      </c>
      <c r="H34">
        <v>0.0028</v>
      </c>
      <c r="J34" s="4">
        <v>5921</v>
      </c>
      <c r="K34" s="36">
        <v>16.61</v>
      </c>
      <c r="L34" s="4">
        <v>0</v>
      </c>
      <c r="M34" t="s">
        <v>78</v>
      </c>
      <c r="N34" t="s">
        <v>68</v>
      </c>
    </row>
    <row r="35" spans="1:14" ht="12.75">
      <c r="A35">
        <v>200404</v>
      </c>
      <c r="B35">
        <v>1</v>
      </c>
      <c r="D35" t="s">
        <v>79</v>
      </c>
      <c r="E35">
        <v>110</v>
      </c>
      <c r="F35" t="s">
        <v>67</v>
      </c>
      <c r="G35" t="s">
        <v>40</v>
      </c>
      <c r="H35">
        <v>0.0028</v>
      </c>
      <c r="J35" s="4">
        <v>172</v>
      </c>
      <c r="K35" s="36">
        <v>0.48</v>
      </c>
      <c r="L35" s="4">
        <v>0</v>
      </c>
      <c r="M35" t="s">
        <v>80</v>
      </c>
      <c r="N35" t="s">
        <v>68</v>
      </c>
    </row>
    <row r="36" spans="10:12" ht="12.75">
      <c r="J36" s="4"/>
      <c r="K36" s="36"/>
      <c r="L36" s="4"/>
    </row>
    <row r="37" spans="1:14" ht="12.75">
      <c r="A37">
        <v>200405</v>
      </c>
      <c r="B37">
        <v>1</v>
      </c>
      <c r="D37" t="s">
        <v>65</v>
      </c>
      <c r="E37">
        <v>110</v>
      </c>
      <c r="F37" t="s">
        <v>67</v>
      </c>
      <c r="G37" t="s">
        <v>40</v>
      </c>
      <c r="H37">
        <v>0.0028</v>
      </c>
      <c r="J37" s="4">
        <v>1784</v>
      </c>
      <c r="K37" s="36">
        <v>5.16</v>
      </c>
      <c r="L37" s="4">
        <v>0</v>
      </c>
      <c r="M37" t="s">
        <v>66</v>
      </c>
      <c r="N37" t="s">
        <v>68</v>
      </c>
    </row>
    <row r="38" spans="1:14" ht="12.75">
      <c r="A38">
        <v>200405</v>
      </c>
      <c r="B38">
        <v>1</v>
      </c>
      <c r="D38" t="s">
        <v>73</v>
      </c>
      <c r="E38">
        <v>110</v>
      </c>
      <c r="F38" t="s">
        <v>67</v>
      </c>
      <c r="G38" t="s">
        <v>40</v>
      </c>
      <c r="H38">
        <v>0.0028</v>
      </c>
      <c r="J38" s="4">
        <v>450</v>
      </c>
      <c r="K38" s="36">
        <v>1.25</v>
      </c>
      <c r="L38" s="4">
        <v>0</v>
      </c>
      <c r="M38" t="s">
        <v>74</v>
      </c>
      <c r="N38" t="s">
        <v>68</v>
      </c>
    </row>
    <row r="39" spans="1:14" ht="12.75">
      <c r="A39">
        <v>200405</v>
      </c>
      <c r="B39">
        <v>1</v>
      </c>
      <c r="D39" t="s">
        <v>75</v>
      </c>
      <c r="E39">
        <v>110</v>
      </c>
      <c r="F39" t="s">
        <v>67</v>
      </c>
      <c r="G39" t="s">
        <v>40</v>
      </c>
      <c r="H39">
        <v>0.0028</v>
      </c>
      <c r="J39" s="4">
        <v>3140</v>
      </c>
      <c r="K39" s="36">
        <v>8.96</v>
      </c>
      <c r="L39" s="4">
        <v>0</v>
      </c>
      <c r="M39" t="s">
        <v>76</v>
      </c>
      <c r="N39" t="s">
        <v>68</v>
      </c>
    </row>
    <row r="40" spans="1:14" ht="12.75">
      <c r="A40">
        <v>200405</v>
      </c>
      <c r="B40">
        <v>1</v>
      </c>
      <c r="D40" t="s">
        <v>77</v>
      </c>
      <c r="E40">
        <v>110</v>
      </c>
      <c r="F40" t="s">
        <v>67</v>
      </c>
      <c r="G40" t="s">
        <v>40</v>
      </c>
      <c r="H40">
        <v>0.0028</v>
      </c>
      <c r="J40" s="4">
        <v>681</v>
      </c>
      <c r="K40" s="36">
        <v>1.88</v>
      </c>
      <c r="L40" s="4">
        <v>0</v>
      </c>
      <c r="M40" t="s">
        <v>78</v>
      </c>
      <c r="N40" t="s">
        <v>68</v>
      </c>
    </row>
    <row r="41" spans="1:14" ht="12.75">
      <c r="A41">
        <v>200405</v>
      </c>
      <c r="B41">
        <v>1</v>
      </c>
      <c r="D41" t="s">
        <v>79</v>
      </c>
      <c r="E41">
        <v>110</v>
      </c>
      <c r="F41" t="s">
        <v>67</v>
      </c>
      <c r="G41" t="s">
        <v>40</v>
      </c>
      <c r="H41">
        <v>0.0028</v>
      </c>
      <c r="J41" s="4">
        <v>80</v>
      </c>
      <c r="K41" s="36">
        <v>0.24</v>
      </c>
      <c r="L41" s="4">
        <v>0</v>
      </c>
      <c r="M41" t="s">
        <v>80</v>
      </c>
      <c r="N41" t="s">
        <v>68</v>
      </c>
    </row>
    <row r="42" spans="10:12" ht="12.75">
      <c r="J42" s="6">
        <f>SUM(J2:J41)</f>
        <v>145468.65</v>
      </c>
      <c r="K42" s="38">
        <f>SUM(K2:K41)</f>
        <v>551.82</v>
      </c>
      <c r="L42" s="7"/>
    </row>
    <row r="43" ht="12.75">
      <c r="N43" s="90">
        <f>+K47+K50+K54+K56+K59+K61</f>
        <v>4031.76</v>
      </c>
    </row>
    <row r="44" spans="1:14" ht="12.75">
      <c r="A44">
        <v>200310</v>
      </c>
      <c r="B44">
        <v>1</v>
      </c>
      <c r="D44" t="s">
        <v>16</v>
      </c>
      <c r="E44">
        <v>370</v>
      </c>
      <c r="F44" t="s">
        <v>21</v>
      </c>
      <c r="G44" t="s">
        <v>22</v>
      </c>
      <c r="H44">
        <v>0.0047</v>
      </c>
      <c r="J44" s="4">
        <v>3900</v>
      </c>
      <c r="K44" s="36">
        <v>18.33</v>
      </c>
      <c r="L44" s="4">
        <v>0</v>
      </c>
      <c r="M44" t="s">
        <v>18</v>
      </c>
      <c r="N44" t="s">
        <v>23</v>
      </c>
    </row>
    <row r="45" spans="1:14" ht="12.75">
      <c r="A45">
        <v>200311</v>
      </c>
      <c r="B45">
        <v>1</v>
      </c>
      <c r="D45" t="s">
        <v>16</v>
      </c>
      <c r="E45">
        <v>370</v>
      </c>
      <c r="F45" t="s">
        <v>21</v>
      </c>
      <c r="G45" t="s">
        <v>22</v>
      </c>
      <c r="H45">
        <v>0.0047</v>
      </c>
      <c r="J45" s="4">
        <v>6540</v>
      </c>
      <c r="K45" s="36">
        <v>30.74</v>
      </c>
      <c r="L45" s="4">
        <v>0</v>
      </c>
      <c r="M45" t="s">
        <v>18</v>
      </c>
      <c r="N45" t="s">
        <v>23</v>
      </c>
    </row>
    <row r="46" spans="1:14" ht="12.75">
      <c r="A46">
        <v>200312</v>
      </c>
      <c r="B46">
        <v>1</v>
      </c>
      <c r="D46" t="s">
        <v>16</v>
      </c>
      <c r="E46">
        <v>370</v>
      </c>
      <c r="F46" t="s">
        <v>21</v>
      </c>
      <c r="G46" t="s">
        <v>22</v>
      </c>
      <c r="H46">
        <v>0.0047</v>
      </c>
      <c r="J46" s="4">
        <v>3900</v>
      </c>
      <c r="K46" s="36">
        <v>18.33</v>
      </c>
      <c r="L46" s="4">
        <v>0</v>
      </c>
      <c r="M46" t="s">
        <v>18</v>
      </c>
      <c r="N46" t="s">
        <v>23</v>
      </c>
    </row>
    <row r="47" spans="1:14" ht="12.75">
      <c r="A47">
        <v>200401</v>
      </c>
      <c r="B47">
        <v>1</v>
      </c>
      <c r="D47" t="s">
        <v>30</v>
      </c>
      <c r="E47">
        <v>370</v>
      </c>
      <c r="F47" t="s">
        <v>21</v>
      </c>
      <c r="G47" t="s">
        <v>22</v>
      </c>
      <c r="H47">
        <v>0.0047</v>
      </c>
      <c r="J47" s="4">
        <v>207128</v>
      </c>
      <c r="K47" s="89">
        <v>974.71</v>
      </c>
      <c r="L47" s="4">
        <v>0</v>
      </c>
      <c r="M47" t="s">
        <v>32</v>
      </c>
      <c r="N47" t="s">
        <v>23</v>
      </c>
    </row>
    <row r="48" spans="1:14" ht="12.75">
      <c r="A48">
        <v>200401</v>
      </c>
      <c r="B48">
        <v>1</v>
      </c>
      <c r="D48" t="s">
        <v>16</v>
      </c>
      <c r="E48">
        <v>370</v>
      </c>
      <c r="F48" t="s">
        <v>21</v>
      </c>
      <c r="G48" t="s">
        <v>22</v>
      </c>
      <c r="H48">
        <v>0.0047</v>
      </c>
      <c r="J48" s="4">
        <v>8477972</v>
      </c>
      <c r="K48" s="36">
        <v>39846.66</v>
      </c>
      <c r="L48" s="4">
        <v>0</v>
      </c>
      <c r="M48" t="s">
        <v>18</v>
      </c>
      <c r="N48" t="s">
        <v>23</v>
      </c>
    </row>
    <row r="49" spans="1:14" ht="12.75">
      <c r="A49">
        <v>200401</v>
      </c>
      <c r="B49">
        <v>1</v>
      </c>
      <c r="D49" t="s">
        <v>16</v>
      </c>
      <c r="E49">
        <v>370</v>
      </c>
      <c r="F49" t="s">
        <v>21</v>
      </c>
      <c r="G49" t="s">
        <v>22</v>
      </c>
      <c r="H49">
        <v>0.0047</v>
      </c>
      <c r="I49" t="s">
        <v>29</v>
      </c>
      <c r="J49" s="4">
        <v>-479</v>
      </c>
      <c r="K49" s="36">
        <v>-2.25</v>
      </c>
      <c r="L49" s="4">
        <v>0</v>
      </c>
      <c r="M49" t="s">
        <v>18</v>
      </c>
      <c r="N49" t="s">
        <v>23</v>
      </c>
    </row>
    <row r="50" spans="1:14" ht="12.75">
      <c r="A50">
        <v>200402</v>
      </c>
      <c r="B50">
        <v>1</v>
      </c>
      <c r="D50" t="s">
        <v>30</v>
      </c>
      <c r="E50">
        <v>370</v>
      </c>
      <c r="F50" t="s">
        <v>21</v>
      </c>
      <c r="G50" t="s">
        <v>22</v>
      </c>
      <c r="H50">
        <v>0.0047</v>
      </c>
      <c r="J50" s="4">
        <v>207128</v>
      </c>
      <c r="K50" s="89">
        <v>974.71</v>
      </c>
      <c r="L50" s="4">
        <v>0</v>
      </c>
      <c r="M50" t="s">
        <v>32</v>
      </c>
      <c r="N50" t="s">
        <v>23</v>
      </c>
    </row>
    <row r="51" spans="1:14" ht="12.75">
      <c r="A51">
        <v>200402</v>
      </c>
      <c r="B51">
        <v>1</v>
      </c>
      <c r="D51" t="s">
        <v>16</v>
      </c>
      <c r="E51">
        <v>370</v>
      </c>
      <c r="F51" t="s">
        <v>21</v>
      </c>
      <c r="G51" t="s">
        <v>22</v>
      </c>
      <c r="H51">
        <v>0.0047</v>
      </c>
      <c r="J51" s="4">
        <v>8805265</v>
      </c>
      <c r="K51" s="36">
        <v>41384.95</v>
      </c>
      <c r="L51" s="4">
        <v>0</v>
      </c>
      <c r="M51" t="s">
        <v>18</v>
      </c>
      <c r="N51" t="s">
        <v>23</v>
      </c>
    </row>
    <row r="52" spans="1:14" ht="12.75">
      <c r="A52">
        <v>200402</v>
      </c>
      <c r="B52">
        <v>1</v>
      </c>
      <c r="D52" t="s">
        <v>16</v>
      </c>
      <c r="E52">
        <v>370</v>
      </c>
      <c r="F52" t="s">
        <v>21</v>
      </c>
      <c r="G52" t="s">
        <v>22</v>
      </c>
      <c r="H52">
        <v>0.0047</v>
      </c>
      <c r="I52" t="s">
        <v>28</v>
      </c>
      <c r="J52" s="4">
        <v>99360</v>
      </c>
      <c r="K52" s="36">
        <v>466.99</v>
      </c>
      <c r="L52" s="4">
        <v>0</v>
      </c>
      <c r="M52" t="s">
        <v>18</v>
      </c>
      <c r="N52" t="s">
        <v>23</v>
      </c>
    </row>
    <row r="53" spans="1:14" ht="12.75">
      <c r="A53">
        <v>200402</v>
      </c>
      <c r="B53">
        <v>1</v>
      </c>
      <c r="D53" t="s">
        <v>16</v>
      </c>
      <c r="E53">
        <v>370</v>
      </c>
      <c r="F53" t="s">
        <v>21</v>
      </c>
      <c r="G53" t="s">
        <v>22</v>
      </c>
      <c r="H53">
        <v>0.0047</v>
      </c>
      <c r="I53" t="s">
        <v>29</v>
      </c>
      <c r="J53" s="4">
        <v>-8274</v>
      </c>
      <c r="K53" s="36">
        <v>-38.89</v>
      </c>
      <c r="L53" s="4">
        <v>0</v>
      </c>
      <c r="M53" t="s">
        <v>18</v>
      </c>
      <c r="N53" t="s">
        <v>23</v>
      </c>
    </row>
    <row r="54" spans="1:14" ht="12.75">
      <c r="A54">
        <v>200403</v>
      </c>
      <c r="B54">
        <v>1</v>
      </c>
      <c r="D54" t="s">
        <v>30</v>
      </c>
      <c r="E54">
        <v>370</v>
      </c>
      <c r="F54" t="s">
        <v>21</v>
      </c>
      <c r="G54" t="s">
        <v>22</v>
      </c>
      <c r="H54">
        <v>0.0047</v>
      </c>
      <c r="J54" s="4">
        <v>207128</v>
      </c>
      <c r="K54" s="89">
        <v>974.71</v>
      </c>
      <c r="L54" s="4">
        <v>0</v>
      </c>
      <c r="M54" t="s">
        <v>32</v>
      </c>
      <c r="N54" t="s">
        <v>23</v>
      </c>
    </row>
    <row r="55" spans="1:14" ht="12.75">
      <c r="A55">
        <v>200403</v>
      </c>
      <c r="B55">
        <v>1</v>
      </c>
      <c r="D55" t="s">
        <v>16</v>
      </c>
      <c r="E55">
        <v>370</v>
      </c>
      <c r="F55" t="s">
        <v>21</v>
      </c>
      <c r="G55" t="s">
        <v>22</v>
      </c>
      <c r="H55">
        <v>0.0047</v>
      </c>
      <c r="J55" s="4">
        <v>8199216</v>
      </c>
      <c r="K55" s="36">
        <v>38536.28</v>
      </c>
      <c r="L55" s="4">
        <v>0</v>
      </c>
      <c r="M55" t="s">
        <v>18</v>
      </c>
      <c r="N55" t="s">
        <v>23</v>
      </c>
    </row>
    <row r="56" spans="1:14" ht="12.75">
      <c r="A56">
        <v>200404</v>
      </c>
      <c r="B56">
        <v>1</v>
      </c>
      <c r="D56" t="s">
        <v>30</v>
      </c>
      <c r="E56">
        <v>370</v>
      </c>
      <c r="F56" t="s">
        <v>21</v>
      </c>
      <c r="G56" t="s">
        <v>22</v>
      </c>
      <c r="H56">
        <v>0.0047</v>
      </c>
      <c r="J56" s="4">
        <v>233875</v>
      </c>
      <c r="K56" s="89">
        <v>1100.3</v>
      </c>
      <c r="L56" s="4">
        <v>0</v>
      </c>
      <c r="M56" t="s">
        <v>32</v>
      </c>
      <c r="N56" t="s">
        <v>23</v>
      </c>
    </row>
    <row r="57" spans="1:14" ht="12.75">
      <c r="A57">
        <v>200404</v>
      </c>
      <c r="B57">
        <v>1</v>
      </c>
      <c r="D57" t="s">
        <v>16</v>
      </c>
      <c r="E57">
        <v>370</v>
      </c>
      <c r="F57" t="s">
        <v>21</v>
      </c>
      <c r="G57" t="s">
        <v>22</v>
      </c>
      <c r="H57">
        <v>0.0047</v>
      </c>
      <c r="J57" s="4">
        <v>8163063</v>
      </c>
      <c r="K57" s="36">
        <v>38366.46</v>
      </c>
      <c r="L57" s="4">
        <v>0</v>
      </c>
      <c r="M57" t="s">
        <v>18</v>
      </c>
      <c r="N57" t="s">
        <v>23</v>
      </c>
    </row>
    <row r="58" spans="1:14" ht="12.75">
      <c r="A58">
        <v>200404</v>
      </c>
      <c r="B58">
        <v>1</v>
      </c>
      <c r="D58" t="s">
        <v>16</v>
      </c>
      <c r="E58">
        <v>370</v>
      </c>
      <c r="F58" t="s">
        <v>21</v>
      </c>
      <c r="G58" t="s">
        <v>22</v>
      </c>
      <c r="H58">
        <v>0.0047</v>
      </c>
      <c r="I58" t="s">
        <v>29</v>
      </c>
      <c r="J58" s="4">
        <v>-3002</v>
      </c>
      <c r="K58" s="36">
        <v>-14.11</v>
      </c>
      <c r="L58" s="4">
        <v>0</v>
      </c>
      <c r="M58" t="s">
        <v>18</v>
      </c>
      <c r="N58" t="s">
        <v>23</v>
      </c>
    </row>
    <row r="59" spans="1:14" ht="12.75">
      <c r="A59">
        <v>200405</v>
      </c>
      <c r="B59">
        <v>1</v>
      </c>
      <c r="D59" t="s">
        <v>30</v>
      </c>
      <c r="E59">
        <v>370</v>
      </c>
      <c r="F59" t="s">
        <v>21</v>
      </c>
      <c r="G59" t="s">
        <v>22</v>
      </c>
      <c r="H59">
        <v>0.0047</v>
      </c>
      <c r="J59" s="4">
        <v>1068</v>
      </c>
      <c r="K59" s="89">
        <v>5.04</v>
      </c>
      <c r="L59" s="4">
        <v>0</v>
      </c>
      <c r="M59" t="s">
        <v>32</v>
      </c>
      <c r="N59" t="s">
        <v>23</v>
      </c>
    </row>
    <row r="60" spans="1:14" ht="12.75">
      <c r="A60">
        <v>200405</v>
      </c>
      <c r="B60">
        <v>1</v>
      </c>
      <c r="D60" t="s">
        <v>16</v>
      </c>
      <c r="E60">
        <v>370</v>
      </c>
      <c r="F60" t="s">
        <v>21</v>
      </c>
      <c r="G60" t="s">
        <v>22</v>
      </c>
      <c r="H60">
        <v>0.0047</v>
      </c>
      <c r="J60" s="4">
        <v>905650</v>
      </c>
      <c r="K60" s="36">
        <v>4256.62</v>
      </c>
      <c r="L60" s="4">
        <v>0</v>
      </c>
      <c r="M60" t="s">
        <v>18</v>
      </c>
      <c r="N60" t="s">
        <v>23</v>
      </c>
    </row>
    <row r="61" spans="1:14" ht="12.75">
      <c r="A61">
        <v>200411</v>
      </c>
      <c r="B61">
        <v>1</v>
      </c>
      <c r="D61" t="s">
        <v>30</v>
      </c>
      <c r="E61">
        <v>370</v>
      </c>
      <c r="F61" t="s">
        <v>21</v>
      </c>
      <c r="G61" t="s">
        <v>22</v>
      </c>
      <c r="H61">
        <v>0.0047</v>
      </c>
      <c r="J61" s="4">
        <v>488</v>
      </c>
      <c r="K61" s="89">
        <v>2.29</v>
      </c>
      <c r="L61" s="4">
        <v>0</v>
      </c>
      <c r="M61" t="s">
        <v>32</v>
      </c>
      <c r="N61" t="s">
        <v>23</v>
      </c>
    </row>
    <row r="62" spans="10:11" ht="12.75">
      <c r="J62" s="6">
        <f>SUM(J44:J61)</f>
        <v>35509926</v>
      </c>
      <c r="K62" s="38">
        <f>SUM(K44:K61)</f>
        <v>166901.87000000002</v>
      </c>
    </row>
    <row r="64" spans="1:14" ht="12.75">
      <c r="A64">
        <v>200401</v>
      </c>
      <c r="B64">
        <v>1</v>
      </c>
      <c r="D64" t="s">
        <v>62</v>
      </c>
      <c r="E64">
        <v>370</v>
      </c>
      <c r="F64" t="s">
        <v>64</v>
      </c>
      <c r="G64" t="s">
        <v>22</v>
      </c>
      <c r="H64">
        <v>0.0102</v>
      </c>
      <c r="J64" s="4">
        <v>25962895</v>
      </c>
      <c r="K64" s="36">
        <v>264824.55</v>
      </c>
      <c r="L64" s="4">
        <v>0</v>
      </c>
      <c r="M64" t="s">
        <v>63</v>
      </c>
      <c r="N64" t="s">
        <v>23</v>
      </c>
    </row>
    <row r="65" spans="1:14" ht="12.75">
      <c r="A65">
        <v>200401</v>
      </c>
      <c r="B65">
        <v>1</v>
      </c>
      <c r="D65" t="s">
        <v>62</v>
      </c>
      <c r="E65">
        <v>370</v>
      </c>
      <c r="F65" t="s">
        <v>64</v>
      </c>
      <c r="G65" t="s">
        <v>22</v>
      </c>
      <c r="H65">
        <v>0.0102</v>
      </c>
      <c r="I65" t="s">
        <v>28</v>
      </c>
      <c r="J65" s="4">
        <v>-9944</v>
      </c>
      <c r="K65" s="36">
        <v>-101.43</v>
      </c>
      <c r="L65" s="4">
        <v>0</v>
      </c>
      <c r="M65" t="s">
        <v>63</v>
      </c>
      <c r="N65" t="s">
        <v>23</v>
      </c>
    </row>
    <row r="66" spans="1:14" ht="12.75">
      <c r="A66">
        <v>200401</v>
      </c>
      <c r="B66">
        <v>1</v>
      </c>
      <c r="D66" t="s">
        <v>62</v>
      </c>
      <c r="E66">
        <v>370</v>
      </c>
      <c r="F66" t="s">
        <v>64</v>
      </c>
      <c r="G66" t="s">
        <v>22</v>
      </c>
      <c r="H66">
        <v>0.0102</v>
      </c>
      <c r="I66" t="s">
        <v>29</v>
      </c>
      <c r="J66" s="4">
        <v>139</v>
      </c>
      <c r="K66" s="36">
        <v>1.42</v>
      </c>
      <c r="L66" s="4">
        <v>0</v>
      </c>
      <c r="M66" t="s">
        <v>63</v>
      </c>
      <c r="N66" t="s">
        <v>23</v>
      </c>
    </row>
    <row r="67" spans="1:14" ht="12.75">
      <c r="A67">
        <v>200402</v>
      </c>
      <c r="B67">
        <v>1</v>
      </c>
      <c r="D67" t="s">
        <v>62</v>
      </c>
      <c r="E67">
        <v>370</v>
      </c>
      <c r="F67" t="s">
        <v>64</v>
      </c>
      <c r="G67" t="s">
        <v>22</v>
      </c>
      <c r="H67">
        <v>0.0102</v>
      </c>
      <c r="J67" s="4">
        <v>27924055</v>
      </c>
      <c r="K67" s="36">
        <v>284828.5</v>
      </c>
      <c r="L67" s="4">
        <v>0</v>
      </c>
      <c r="M67" t="s">
        <v>63</v>
      </c>
      <c r="N67" t="s">
        <v>23</v>
      </c>
    </row>
    <row r="68" spans="1:14" ht="12.75">
      <c r="A68">
        <v>200402</v>
      </c>
      <c r="B68">
        <v>1</v>
      </c>
      <c r="D68" t="s">
        <v>62</v>
      </c>
      <c r="E68">
        <v>370</v>
      </c>
      <c r="F68" t="s">
        <v>64</v>
      </c>
      <c r="G68" t="s">
        <v>22</v>
      </c>
      <c r="H68">
        <v>0.0102</v>
      </c>
      <c r="I68" t="s">
        <v>29</v>
      </c>
      <c r="J68" s="4">
        <v>9377</v>
      </c>
      <c r="K68" s="36">
        <v>95.65</v>
      </c>
      <c r="L68" s="4">
        <v>0</v>
      </c>
      <c r="M68" t="s">
        <v>63</v>
      </c>
      <c r="N68" t="s">
        <v>23</v>
      </c>
    </row>
    <row r="69" spans="1:14" ht="12.75">
      <c r="A69">
        <v>200403</v>
      </c>
      <c r="B69">
        <v>1</v>
      </c>
      <c r="D69" t="s">
        <v>62</v>
      </c>
      <c r="E69">
        <v>370</v>
      </c>
      <c r="F69" t="s">
        <v>64</v>
      </c>
      <c r="G69" t="s">
        <v>22</v>
      </c>
      <c r="H69">
        <v>0.0102</v>
      </c>
      <c r="J69" s="4">
        <v>23957648</v>
      </c>
      <c r="K69" s="36">
        <v>244371.2</v>
      </c>
      <c r="L69" s="4">
        <v>0</v>
      </c>
      <c r="M69" t="s">
        <v>63</v>
      </c>
      <c r="N69" t="s">
        <v>23</v>
      </c>
    </row>
    <row r="70" spans="1:14" ht="12.75">
      <c r="A70">
        <v>200403</v>
      </c>
      <c r="B70">
        <v>1</v>
      </c>
      <c r="D70" t="s">
        <v>62</v>
      </c>
      <c r="E70">
        <v>370</v>
      </c>
      <c r="F70" t="s">
        <v>64</v>
      </c>
      <c r="G70" t="s">
        <v>22</v>
      </c>
      <c r="H70">
        <v>0.0102</v>
      </c>
      <c r="I70" t="s">
        <v>29</v>
      </c>
      <c r="J70" s="4">
        <v>238</v>
      </c>
      <c r="K70" s="36">
        <v>2.43</v>
      </c>
      <c r="L70" s="4">
        <v>0</v>
      </c>
      <c r="M70" t="s">
        <v>63</v>
      </c>
      <c r="N70" t="s">
        <v>23</v>
      </c>
    </row>
    <row r="71" spans="1:14" ht="12.75">
      <c r="A71">
        <v>200404</v>
      </c>
      <c r="B71">
        <v>1</v>
      </c>
      <c r="D71" t="s">
        <v>62</v>
      </c>
      <c r="E71">
        <v>370</v>
      </c>
      <c r="F71" t="s">
        <v>64</v>
      </c>
      <c r="G71" t="s">
        <v>22</v>
      </c>
      <c r="H71">
        <v>0.0102</v>
      </c>
      <c r="J71" s="4">
        <v>21056795</v>
      </c>
      <c r="K71" s="36">
        <v>214782.54</v>
      </c>
      <c r="L71" s="4">
        <v>0</v>
      </c>
      <c r="M71" t="s">
        <v>63</v>
      </c>
      <c r="N71" t="s">
        <v>23</v>
      </c>
    </row>
    <row r="72" spans="1:14" ht="12.75">
      <c r="A72">
        <v>200404</v>
      </c>
      <c r="B72">
        <v>1</v>
      </c>
      <c r="D72" t="s">
        <v>62</v>
      </c>
      <c r="E72">
        <v>370</v>
      </c>
      <c r="F72" t="s">
        <v>64</v>
      </c>
      <c r="G72" t="s">
        <v>22</v>
      </c>
      <c r="H72">
        <v>0.0102</v>
      </c>
      <c r="I72" t="s">
        <v>29</v>
      </c>
      <c r="J72" s="4">
        <v>1128</v>
      </c>
      <c r="K72" s="36">
        <v>11.51</v>
      </c>
      <c r="L72" s="4">
        <v>0</v>
      </c>
      <c r="M72" t="s">
        <v>63</v>
      </c>
      <c r="N72" t="s">
        <v>23</v>
      </c>
    </row>
    <row r="73" spans="1:14" ht="12.75">
      <c r="A73">
        <v>200405</v>
      </c>
      <c r="B73">
        <v>1</v>
      </c>
      <c r="D73" t="s">
        <v>62</v>
      </c>
      <c r="E73">
        <v>370</v>
      </c>
      <c r="F73" t="s">
        <v>64</v>
      </c>
      <c r="G73" t="s">
        <v>22</v>
      </c>
      <c r="H73">
        <v>0.0102</v>
      </c>
      <c r="J73" s="4">
        <v>3956121</v>
      </c>
      <c r="K73" s="36">
        <v>40354.12</v>
      </c>
      <c r="L73" s="4">
        <v>0</v>
      </c>
      <c r="M73" t="s">
        <v>63</v>
      </c>
      <c r="N73" t="s">
        <v>23</v>
      </c>
    </row>
    <row r="74" spans="1:14" ht="12.75">
      <c r="A74">
        <v>200405</v>
      </c>
      <c r="B74">
        <v>1</v>
      </c>
      <c r="D74" t="s">
        <v>62</v>
      </c>
      <c r="E74">
        <v>370</v>
      </c>
      <c r="F74" t="s">
        <v>64</v>
      </c>
      <c r="G74" t="s">
        <v>22</v>
      </c>
      <c r="H74">
        <v>0.0102</v>
      </c>
      <c r="I74" t="s">
        <v>29</v>
      </c>
      <c r="J74" s="4">
        <v>-19</v>
      </c>
      <c r="K74" s="36">
        <v>-0.2</v>
      </c>
      <c r="L74" s="4">
        <v>0</v>
      </c>
      <c r="M74" t="s">
        <v>63</v>
      </c>
      <c r="N74" t="s">
        <v>23</v>
      </c>
    </row>
    <row r="75" spans="1:14" ht="12.75">
      <c r="A75">
        <v>200406</v>
      </c>
      <c r="B75">
        <v>1</v>
      </c>
      <c r="D75" t="s">
        <v>62</v>
      </c>
      <c r="E75">
        <v>370</v>
      </c>
      <c r="F75" t="s">
        <v>64</v>
      </c>
      <c r="G75" t="s">
        <v>22</v>
      </c>
      <c r="H75">
        <v>0.0102</v>
      </c>
      <c r="J75" s="4">
        <v>1205</v>
      </c>
      <c r="K75" s="36">
        <v>12.29</v>
      </c>
      <c r="L75" s="4">
        <v>0</v>
      </c>
      <c r="M75" t="s">
        <v>63</v>
      </c>
      <c r="N75" t="s">
        <v>23</v>
      </c>
    </row>
    <row r="76" spans="10:11" ht="12.75">
      <c r="J76" s="6">
        <f>SUM(J64:J75)</f>
        <v>102859638</v>
      </c>
      <c r="K76" s="38">
        <f>SUM(K64:K75)</f>
        <v>1049182.5800000003</v>
      </c>
    </row>
    <row r="78" spans="1:14" ht="12.75">
      <c r="A78">
        <v>200401</v>
      </c>
      <c r="B78">
        <v>1</v>
      </c>
      <c r="D78" t="s">
        <v>35</v>
      </c>
      <c r="E78">
        <v>360</v>
      </c>
      <c r="F78" t="s">
        <v>27</v>
      </c>
      <c r="G78" t="s">
        <v>20</v>
      </c>
      <c r="H78">
        <v>1.1891</v>
      </c>
      <c r="J78" s="4">
        <v>0</v>
      </c>
      <c r="K78" s="36">
        <v>1866.89</v>
      </c>
      <c r="L78" s="4">
        <v>1570</v>
      </c>
      <c r="M78" t="s">
        <v>37</v>
      </c>
      <c r="N78" t="s">
        <v>23</v>
      </c>
    </row>
    <row r="79" spans="1:14" ht="12.75">
      <c r="A79">
        <v>200402</v>
      </c>
      <c r="B79">
        <v>1</v>
      </c>
      <c r="D79" t="s">
        <v>35</v>
      </c>
      <c r="E79">
        <v>360</v>
      </c>
      <c r="F79" t="s">
        <v>27</v>
      </c>
      <c r="G79" t="s">
        <v>20</v>
      </c>
      <c r="H79">
        <v>1.1891</v>
      </c>
      <c r="J79" s="4">
        <v>0</v>
      </c>
      <c r="K79" s="36">
        <v>1872.83</v>
      </c>
      <c r="L79" s="4">
        <v>1575</v>
      </c>
      <c r="M79" t="s">
        <v>37</v>
      </c>
      <c r="N79" t="s">
        <v>23</v>
      </c>
    </row>
    <row r="80" spans="1:14" ht="12.75">
      <c r="A80">
        <v>200403</v>
      </c>
      <c r="B80">
        <v>1</v>
      </c>
      <c r="D80" t="s">
        <v>35</v>
      </c>
      <c r="E80">
        <v>360</v>
      </c>
      <c r="F80" t="s">
        <v>27</v>
      </c>
      <c r="G80" t="s">
        <v>20</v>
      </c>
      <c r="H80">
        <v>1.1891</v>
      </c>
      <c r="J80" s="4">
        <v>0</v>
      </c>
      <c r="K80" s="36">
        <v>1872.83</v>
      </c>
      <c r="L80" s="4">
        <v>1575</v>
      </c>
      <c r="M80" t="s">
        <v>37</v>
      </c>
      <c r="N80" t="s">
        <v>23</v>
      </c>
    </row>
    <row r="81" spans="1:14" ht="12.75">
      <c r="A81">
        <v>200404</v>
      </c>
      <c r="B81">
        <v>1</v>
      </c>
      <c r="D81" t="s">
        <v>35</v>
      </c>
      <c r="E81">
        <v>360</v>
      </c>
      <c r="F81" t="s">
        <v>27</v>
      </c>
      <c r="G81" t="s">
        <v>20</v>
      </c>
      <c r="H81">
        <v>1.1891</v>
      </c>
      <c r="J81" s="4">
        <v>0</v>
      </c>
      <c r="K81" s="36">
        <v>1852.62</v>
      </c>
      <c r="L81" s="4">
        <v>1558</v>
      </c>
      <c r="M81" t="s">
        <v>37</v>
      </c>
      <c r="N81" t="s">
        <v>23</v>
      </c>
    </row>
    <row r="82" spans="11:12" ht="12.75">
      <c r="K82" s="38">
        <f>SUM(K78:K81)</f>
        <v>7465.17</v>
      </c>
      <c r="L82" s="6">
        <f>SUM(L78:L81)</f>
        <v>6278</v>
      </c>
    </row>
    <row r="84" spans="1:14" ht="12.75">
      <c r="A84">
        <v>200310</v>
      </c>
      <c r="B84">
        <v>1</v>
      </c>
      <c r="D84" t="s">
        <v>24</v>
      </c>
      <c r="E84">
        <v>360</v>
      </c>
      <c r="F84" t="s">
        <v>27</v>
      </c>
      <c r="G84" t="s">
        <v>20</v>
      </c>
      <c r="H84">
        <v>2.0193</v>
      </c>
      <c r="J84" s="4">
        <v>0</v>
      </c>
      <c r="K84" s="36">
        <v>-33.92</v>
      </c>
      <c r="L84" s="4">
        <v>-16.8</v>
      </c>
      <c r="M84" t="s">
        <v>26</v>
      </c>
      <c r="N84" t="s">
        <v>23</v>
      </c>
    </row>
    <row r="85" spans="1:14" ht="12.75">
      <c r="A85">
        <v>200311</v>
      </c>
      <c r="B85">
        <v>1</v>
      </c>
      <c r="D85" t="s">
        <v>24</v>
      </c>
      <c r="E85">
        <v>360</v>
      </c>
      <c r="F85" t="s">
        <v>27</v>
      </c>
      <c r="G85" t="s">
        <v>20</v>
      </c>
      <c r="H85">
        <v>2.0193</v>
      </c>
      <c r="J85" s="4">
        <v>0</v>
      </c>
      <c r="K85" s="36">
        <v>-60.94</v>
      </c>
      <c r="L85" s="4">
        <v>-30.18</v>
      </c>
      <c r="M85" t="s">
        <v>26</v>
      </c>
      <c r="N85" t="s">
        <v>23</v>
      </c>
    </row>
    <row r="86" spans="1:14" ht="12.75">
      <c r="A86">
        <v>200312</v>
      </c>
      <c r="B86">
        <v>1</v>
      </c>
      <c r="D86" t="s">
        <v>24</v>
      </c>
      <c r="E86">
        <v>360</v>
      </c>
      <c r="F86" t="s">
        <v>27</v>
      </c>
      <c r="G86" t="s">
        <v>20</v>
      </c>
      <c r="H86">
        <v>2.0193</v>
      </c>
      <c r="J86" s="4">
        <v>0</v>
      </c>
      <c r="K86" s="36">
        <v>-45.8</v>
      </c>
      <c r="L86" s="4">
        <v>-22.68</v>
      </c>
      <c r="M86" t="s">
        <v>26</v>
      </c>
      <c r="N86" t="s">
        <v>23</v>
      </c>
    </row>
    <row r="87" spans="1:14" ht="12.75">
      <c r="A87">
        <v>200401</v>
      </c>
      <c r="B87">
        <v>1</v>
      </c>
      <c r="D87" t="s">
        <v>33</v>
      </c>
      <c r="E87">
        <v>360</v>
      </c>
      <c r="F87" t="s">
        <v>27</v>
      </c>
      <c r="G87" t="s">
        <v>20</v>
      </c>
      <c r="H87">
        <v>2.0193</v>
      </c>
      <c r="J87" s="4">
        <v>0</v>
      </c>
      <c r="K87" s="36">
        <v>110109.21</v>
      </c>
      <c r="L87" s="4">
        <v>54528.41</v>
      </c>
      <c r="M87" t="s">
        <v>34</v>
      </c>
      <c r="N87" t="s">
        <v>23</v>
      </c>
    </row>
    <row r="88" spans="1:14" ht="12.75">
      <c r="A88">
        <v>200401</v>
      </c>
      <c r="B88">
        <v>1</v>
      </c>
      <c r="D88" t="s">
        <v>24</v>
      </c>
      <c r="E88">
        <v>360</v>
      </c>
      <c r="F88" t="s">
        <v>27</v>
      </c>
      <c r="G88" t="s">
        <v>20</v>
      </c>
      <c r="H88">
        <v>2.0193</v>
      </c>
      <c r="J88" s="4">
        <v>0</v>
      </c>
      <c r="K88" s="36">
        <v>126378.65</v>
      </c>
      <c r="L88" s="4">
        <v>62585.37</v>
      </c>
      <c r="M88" t="s">
        <v>26</v>
      </c>
      <c r="N88" t="s">
        <v>23</v>
      </c>
    </row>
    <row r="89" spans="1:14" ht="12.75">
      <c r="A89">
        <v>200401</v>
      </c>
      <c r="B89">
        <v>1</v>
      </c>
      <c r="D89" t="s">
        <v>24</v>
      </c>
      <c r="E89">
        <v>360</v>
      </c>
      <c r="F89" t="s">
        <v>27</v>
      </c>
      <c r="G89" t="s">
        <v>20</v>
      </c>
      <c r="H89">
        <v>2.0193</v>
      </c>
      <c r="I89" t="s">
        <v>28</v>
      </c>
      <c r="J89" s="4">
        <v>0</v>
      </c>
      <c r="K89" s="36">
        <v>1565.85</v>
      </c>
      <c r="L89" s="4">
        <v>775.44</v>
      </c>
      <c r="M89" t="s">
        <v>26</v>
      </c>
      <c r="N89" t="s">
        <v>23</v>
      </c>
    </row>
    <row r="90" spans="1:14" ht="12.75">
      <c r="A90">
        <v>200402</v>
      </c>
      <c r="B90">
        <v>1</v>
      </c>
      <c r="D90" t="s">
        <v>33</v>
      </c>
      <c r="E90">
        <v>360</v>
      </c>
      <c r="F90" t="s">
        <v>27</v>
      </c>
      <c r="G90" t="s">
        <v>20</v>
      </c>
      <c r="H90">
        <v>2.0193</v>
      </c>
      <c r="J90" s="4">
        <v>0</v>
      </c>
      <c r="K90" s="36">
        <v>109309.16</v>
      </c>
      <c r="L90" s="4">
        <v>54132.2</v>
      </c>
      <c r="M90" t="s">
        <v>34</v>
      </c>
      <c r="N90" t="s">
        <v>23</v>
      </c>
    </row>
    <row r="91" spans="1:14" ht="12.75">
      <c r="A91">
        <v>200402</v>
      </c>
      <c r="B91">
        <v>1</v>
      </c>
      <c r="D91" t="s">
        <v>24</v>
      </c>
      <c r="E91">
        <v>360</v>
      </c>
      <c r="F91" t="s">
        <v>27</v>
      </c>
      <c r="G91" t="s">
        <v>20</v>
      </c>
      <c r="H91">
        <v>2.0193</v>
      </c>
      <c r="J91" s="4">
        <v>0</v>
      </c>
      <c r="K91" s="36">
        <v>128979.76</v>
      </c>
      <c r="L91" s="4">
        <v>63873.47</v>
      </c>
      <c r="M91" t="s">
        <v>26</v>
      </c>
      <c r="N91" t="s">
        <v>23</v>
      </c>
    </row>
    <row r="92" spans="1:14" ht="12.75">
      <c r="A92">
        <v>200403</v>
      </c>
      <c r="B92">
        <v>1</v>
      </c>
      <c r="D92" t="s">
        <v>33</v>
      </c>
      <c r="E92">
        <v>360</v>
      </c>
      <c r="F92" t="s">
        <v>27</v>
      </c>
      <c r="G92" t="s">
        <v>20</v>
      </c>
      <c r="H92">
        <v>2.0193</v>
      </c>
      <c r="J92" s="4">
        <v>0</v>
      </c>
      <c r="K92" s="36">
        <v>114003.88</v>
      </c>
      <c r="L92" s="4">
        <v>56457.14</v>
      </c>
      <c r="M92" t="s">
        <v>34</v>
      </c>
      <c r="N92" t="s">
        <v>23</v>
      </c>
    </row>
    <row r="93" spans="1:14" ht="12.75">
      <c r="A93">
        <v>200403</v>
      </c>
      <c r="B93">
        <v>1</v>
      </c>
      <c r="D93" t="s">
        <v>24</v>
      </c>
      <c r="E93">
        <v>360</v>
      </c>
      <c r="F93" t="s">
        <v>27</v>
      </c>
      <c r="G93" t="s">
        <v>20</v>
      </c>
      <c r="H93">
        <v>2.0193</v>
      </c>
      <c r="J93" s="4">
        <v>0</v>
      </c>
      <c r="K93" s="36">
        <v>122633.85</v>
      </c>
      <c r="L93" s="4">
        <v>60730.85</v>
      </c>
      <c r="M93" t="s">
        <v>26</v>
      </c>
      <c r="N93" t="s">
        <v>23</v>
      </c>
    </row>
    <row r="94" spans="1:14" ht="12.75">
      <c r="A94">
        <v>200404</v>
      </c>
      <c r="B94">
        <v>1</v>
      </c>
      <c r="D94" t="s">
        <v>33</v>
      </c>
      <c r="E94">
        <v>360</v>
      </c>
      <c r="F94" t="s">
        <v>27</v>
      </c>
      <c r="G94" t="s">
        <v>20</v>
      </c>
      <c r="H94">
        <v>2.0193</v>
      </c>
      <c r="J94" s="4">
        <v>0</v>
      </c>
      <c r="K94" s="36">
        <v>114199.61</v>
      </c>
      <c r="L94" s="4">
        <v>56554.05</v>
      </c>
      <c r="M94" t="s">
        <v>34</v>
      </c>
      <c r="N94" t="s">
        <v>23</v>
      </c>
    </row>
    <row r="95" spans="1:14" ht="12.75">
      <c r="A95">
        <v>200404</v>
      </c>
      <c r="B95">
        <v>1</v>
      </c>
      <c r="D95" t="s">
        <v>24</v>
      </c>
      <c r="E95">
        <v>360</v>
      </c>
      <c r="F95" t="s">
        <v>27</v>
      </c>
      <c r="G95" t="s">
        <v>20</v>
      </c>
      <c r="H95">
        <v>2.0193</v>
      </c>
      <c r="J95" s="4">
        <v>0</v>
      </c>
      <c r="K95" s="36">
        <v>118069.62</v>
      </c>
      <c r="L95" s="4">
        <v>58470.55</v>
      </c>
      <c r="M95" t="s">
        <v>26</v>
      </c>
      <c r="N95" t="s">
        <v>23</v>
      </c>
    </row>
    <row r="96" spans="1:14" ht="12.75">
      <c r="A96">
        <v>200405</v>
      </c>
      <c r="B96">
        <v>1</v>
      </c>
      <c r="D96" t="s">
        <v>24</v>
      </c>
      <c r="E96">
        <v>360</v>
      </c>
      <c r="F96" t="s">
        <v>27</v>
      </c>
      <c r="G96" t="s">
        <v>20</v>
      </c>
      <c r="H96">
        <v>2.0193</v>
      </c>
      <c r="J96" s="4">
        <v>0</v>
      </c>
      <c r="K96" s="36">
        <v>13430.07</v>
      </c>
      <c r="L96" s="4">
        <v>6650.89</v>
      </c>
      <c r="M96" t="s">
        <v>26</v>
      </c>
      <c r="N96" t="s">
        <v>23</v>
      </c>
    </row>
    <row r="97" spans="11:12" ht="12.75">
      <c r="K97" s="38">
        <f>SUM(K84:K96)</f>
        <v>958539</v>
      </c>
      <c r="L97" s="6">
        <f>SUM(L84:L96)</f>
        <v>474688.70999999996</v>
      </c>
    </row>
  </sheetData>
  <sheetProtection/>
  <printOptions/>
  <pageMargins left="0.75" right="0.75" top="0.75" bottom="1" header="0.5" footer="0.5"/>
  <pageSetup horizontalDpi="600" verticalDpi="600" orientation="landscape" r:id="rId1"/>
  <headerFooter alignWithMargins="0">
    <oddFooter>&amp;L&amp;D&amp;C&amp;F&amp;R&amp;A</oddFooter>
  </headerFooter>
  <rowBreaks count="1" manualBreakCount="1"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3"/>
  <sheetViews>
    <sheetView tabSelected="1" zoomScalePageLayoutView="0" workbookViewId="0" topLeftCell="A1">
      <pane ySplit="840" topLeftCell="A1" activePane="bottomLeft" state="split"/>
      <selection pane="topLeft" activeCell="A1" sqref="A1:L16384"/>
      <selection pane="bottomLeft" activeCell="B25" sqref="B25"/>
    </sheetView>
  </sheetViews>
  <sheetFormatPr defaultColWidth="9.33203125" defaultRowHeight="12.75"/>
  <cols>
    <col min="1" max="1" width="18.5" style="49" customWidth="1"/>
    <col min="2" max="3" width="17.66015625" style="49" bestFit="1" customWidth="1"/>
    <col min="4" max="4" width="16.83203125" style="49" customWidth="1"/>
    <col min="5" max="5" width="14.5" style="49" bestFit="1" customWidth="1"/>
    <col min="6" max="7" width="14.5" style="49" customWidth="1"/>
    <col min="8" max="8" width="18" style="49" bestFit="1" customWidth="1"/>
    <col min="9" max="9" width="17.83203125" style="49" bestFit="1" customWidth="1"/>
    <col min="10" max="10" width="15.16015625" style="49" bestFit="1" customWidth="1"/>
    <col min="11" max="14" width="14.16015625" style="49" bestFit="1" customWidth="1"/>
    <col min="15" max="15" width="16.33203125" style="0" bestFit="1" customWidth="1"/>
  </cols>
  <sheetData>
    <row r="1" spans="1:14" ht="12.75">
      <c r="A1" s="45"/>
      <c r="B1" s="46" t="s">
        <v>89</v>
      </c>
      <c r="C1" s="46" t="s">
        <v>90</v>
      </c>
      <c r="D1" s="46" t="s">
        <v>91</v>
      </c>
      <c r="E1" s="46" t="s">
        <v>91</v>
      </c>
      <c r="F1" s="46" t="s">
        <v>120</v>
      </c>
      <c r="G1" s="46" t="s">
        <v>120</v>
      </c>
      <c r="H1" s="46" t="s">
        <v>92</v>
      </c>
      <c r="I1" s="46" t="s">
        <v>92</v>
      </c>
      <c r="J1" s="46" t="s">
        <v>93</v>
      </c>
      <c r="K1" s="46" t="s">
        <v>93</v>
      </c>
      <c r="L1" s="46" t="s">
        <v>94</v>
      </c>
      <c r="M1" s="46" t="s">
        <v>94</v>
      </c>
      <c r="N1" s="46" t="s">
        <v>95</v>
      </c>
    </row>
    <row r="2" spans="1:14" ht="12.75">
      <c r="A2" s="45"/>
      <c r="B2" s="46" t="s">
        <v>96</v>
      </c>
      <c r="C2" s="46" t="s">
        <v>97</v>
      </c>
      <c r="D2" s="46" t="s">
        <v>96</v>
      </c>
      <c r="E2" s="46" t="s">
        <v>97</v>
      </c>
      <c r="F2" s="46" t="s">
        <v>96</v>
      </c>
      <c r="G2" s="46" t="s">
        <v>97</v>
      </c>
      <c r="H2" s="46" t="s">
        <v>96</v>
      </c>
      <c r="I2" s="46" t="s">
        <v>97</v>
      </c>
      <c r="J2" s="46" t="s">
        <v>96</v>
      </c>
      <c r="K2" s="46" t="s">
        <v>97</v>
      </c>
      <c r="L2" s="46" t="s">
        <v>96</v>
      </c>
      <c r="M2" s="46" t="s">
        <v>97</v>
      </c>
      <c r="N2" s="47"/>
    </row>
    <row r="4" ht="12.75">
      <c r="A4" s="48" t="s">
        <v>108</v>
      </c>
    </row>
    <row r="5" spans="1:14" ht="12.75">
      <c r="A5" s="45" t="s">
        <v>98</v>
      </c>
      <c r="B5" s="50">
        <v>1776526.72</v>
      </c>
      <c r="C5" s="50">
        <v>3090884.95</v>
      </c>
      <c r="D5" s="50">
        <f>374076.72-F5</f>
        <v>363834.77999999997</v>
      </c>
      <c r="E5" s="50">
        <f>627084.46-G5</f>
        <v>519214.1</v>
      </c>
      <c r="F5" s="50">
        <f>+'Volumetric new rates'!N73</f>
        <v>10241.939999999999</v>
      </c>
      <c r="G5" s="50">
        <f>+'Service Charges new rates'!N21</f>
        <v>107870.35999999999</v>
      </c>
      <c r="H5" s="50">
        <v>2364818.7</v>
      </c>
      <c r="I5" s="50">
        <v>1041401.78</v>
      </c>
      <c r="J5" s="50">
        <v>22815.51</v>
      </c>
      <c r="K5" s="50">
        <v>21979.65</v>
      </c>
      <c r="L5" s="50">
        <v>1454.87</v>
      </c>
      <c r="M5" s="50">
        <v>2041.3</v>
      </c>
      <c r="N5" s="51">
        <f>SUM(B5:M5)</f>
        <v>9323084.66</v>
      </c>
    </row>
    <row r="6" spans="1:14" ht="12.75">
      <c r="A6" s="49" t="s">
        <v>109</v>
      </c>
      <c r="B6" s="52">
        <v>0</v>
      </c>
      <c r="C6" s="52">
        <v>0</v>
      </c>
      <c r="D6" s="52">
        <v>0</v>
      </c>
      <c r="E6" s="52">
        <v>0</v>
      </c>
      <c r="F6" s="52"/>
      <c r="G6" s="52"/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/>
    </row>
    <row r="7" spans="1:14" ht="12.75">
      <c r="A7" s="49" t="s">
        <v>100</v>
      </c>
      <c r="B7" s="51">
        <f aca="true" t="shared" si="0" ref="B7:M7">+B5+B6</f>
        <v>1776526.72</v>
      </c>
      <c r="C7" s="51">
        <f t="shared" si="0"/>
        <v>3090884.95</v>
      </c>
      <c r="D7" s="51">
        <f t="shared" si="0"/>
        <v>363834.77999999997</v>
      </c>
      <c r="E7" s="51">
        <f t="shared" si="0"/>
        <v>519214.1</v>
      </c>
      <c r="F7" s="51">
        <f>+F5+F6</f>
        <v>10241.939999999999</v>
      </c>
      <c r="G7" s="51">
        <f>+G5+G6</f>
        <v>107870.35999999999</v>
      </c>
      <c r="H7" s="51">
        <f t="shared" si="0"/>
        <v>2364818.7</v>
      </c>
      <c r="I7" s="51">
        <f t="shared" si="0"/>
        <v>1041401.78</v>
      </c>
      <c r="J7" s="51">
        <f t="shared" si="0"/>
        <v>22815.51</v>
      </c>
      <c r="K7" s="51">
        <f t="shared" si="0"/>
        <v>21979.65</v>
      </c>
      <c r="L7" s="51">
        <f t="shared" si="0"/>
        <v>1454.87</v>
      </c>
      <c r="M7" s="51">
        <f t="shared" si="0"/>
        <v>2041.3</v>
      </c>
      <c r="N7" s="53"/>
    </row>
    <row r="9" spans="1:13" ht="12.75">
      <c r="A9" s="49" t="s">
        <v>101</v>
      </c>
      <c r="B9" s="53">
        <f aca="true" t="shared" si="1" ref="B9:M9">+B7/B16</f>
        <v>169193020.95238093</v>
      </c>
      <c r="C9" s="53">
        <f t="shared" si="1"/>
        <v>270182.2508741259</v>
      </c>
      <c r="D9" s="53">
        <f t="shared" si="1"/>
        <v>62730134.48275862</v>
      </c>
      <c r="E9" s="53">
        <f t="shared" si="1"/>
        <v>20835.236757624396</v>
      </c>
      <c r="F9" s="53">
        <f>+F7/F16</f>
        <v>1765851.724137931</v>
      </c>
      <c r="G9" s="53">
        <f>+G7/G16</f>
        <v>4328.666131621187</v>
      </c>
      <c r="H9" s="53">
        <f t="shared" si="1"/>
        <v>967997.830536226</v>
      </c>
      <c r="I9" s="53">
        <f t="shared" si="1"/>
        <v>3303.520428879584</v>
      </c>
      <c r="J9" s="53">
        <f t="shared" si="1"/>
        <v>12799.007068327162</v>
      </c>
      <c r="K9" s="53">
        <f t="shared" si="1"/>
        <v>73265.50000000001</v>
      </c>
      <c r="L9" s="53">
        <f t="shared" si="1"/>
        <v>1156.8622773536895</v>
      </c>
      <c r="M9" s="53">
        <f t="shared" si="1"/>
        <v>6584.8387096774195</v>
      </c>
    </row>
    <row r="10" spans="2:13" ht="12.75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ht="12.75">
      <c r="A11" s="49" t="s">
        <v>102</v>
      </c>
      <c r="B11" s="49">
        <f>B16-SUM(B12:B15)</f>
        <v>0.008483701578661906</v>
      </c>
      <c r="C11" s="49">
        <v>9.559660800731313</v>
      </c>
      <c r="D11" s="49">
        <v>0.003822302936326567</v>
      </c>
      <c r="E11" s="49">
        <v>21.086801262737474</v>
      </c>
      <c r="F11" s="49">
        <v>0.003822302936326567</v>
      </c>
      <c r="G11" s="49">
        <v>21.086801262737474</v>
      </c>
      <c r="H11" s="49">
        <v>1.6736846179655207</v>
      </c>
      <c r="I11" s="49">
        <v>265.22392433367145</v>
      </c>
      <c r="J11" s="49">
        <v>0.9054668148022766</v>
      </c>
      <c r="K11" s="49">
        <v>0.25491696919646656</v>
      </c>
      <c r="L11" s="49">
        <v>0.8361829790427533</v>
      </c>
      <c r="M11" s="49">
        <v>0.26607964226321296</v>
      </c>
    </row>
    <row r="12" spans="1:13" ht="12.75">
      <c r="A12" s="49" t="s">
        <v>110</v>
      </c>
      <c r="B12" s="49">
        <v>0.0027897684213380935</v>
      </c>
      <c r="C12" s="49">
        <v>0</v>
      </c>
      <c r="D12" s="49">
        <v>0.0015725370636734328</v>
      </c>
      <c r="E12" s="49">
        <v>0</v>
      </c>
      <c r="F12" s="49">
        <v>0.0015725370636734328</v>
      </c>
      <c r="G12" s="49">
        <v>0</v>
      </c>
      <c r="H12" s="49">
        <v>0.35860338203447933</v>
      </c>
      <c r="I12" s="49">
        <v>0</v>
      </c>
      <c r="J12" s="49">
        <v>0.5304609851977236</v>
      </c>
      <c r="K12" s="49">
        <v>0</v>
      </c>
      <c r="L12" s="49">
        <v>0.1670048389572467</v>
      </c>
      <c r="M12" s="49">
        <v>0</v>
      </c>
    </row>
    <row r="13" spans="1:12" ht="12.75">
      <c r="A13" s="49" t="s">
        <v>111</v>
      </c>
      <c r="B13" s="49">
        <v>0.001412</v>
      </c>
      <c r="D13" s="49">
        <v>0.001412</v>
      </c>
      <c r="F13" s="49">
        <v>0.001412</v>
      </c>
      <c r="H13" s="49">
        <v>0.544419</v>
      </c>
      <c r="J13" s="49">
        <v>0.511894</v>
      </c>
      <c r="L13" s="49">
        <v>0.553139</v>
      </c>
    </row>
    <row r="14" spans="1:12" ht="12.75">
      <c r="A14" s="49" t="s">
        <v>112</v>
      </c>
      <c r="B14" s="49">
        <v>0.000301</v>
      </c>
      <c r="D14" s="49">
        <v>0.00017</v>
      </c>
      <c r="F14" s="49">
        <v>0.00017</v>
      </c>
      <c r="H14" s="49">
        <v>0.038694</v>
      </c>
      <c r="J14" s="49">
        <v>0.057238</v>
      </c>
      <c r="L14" s="49">
        <v>0.01802</v>
      </c>
    </row>
    <row r="15" spans="1:13" ht="12.75">
      <c r="A15" s="49" t="s">
        <v>113</v>
      </c>
      <c r="B15" s="49">
        <v>-0.00248647</v>
      </c>
      <c r="C15" s="49">
        <v>1.8803391992686862</v>
      </c>
      <c r="D15" s="49">
        <v>-0.00117684</v>
      </c>
      <c r="E15" s="49">
        <v>3.833198737262528</v>
      </c>
      <c r="F15" s="49">
        <v>-0.00117684</v>
      </c>
      <c r="G15" s="49">
        <v>3.833198737262528</v>
      </c>
      <c r="H15" s="49">
        <v>-0.172401</v>
      </c>
      <c r="I15" s="49">
        <v>50.01607566632856</v>
      </c>
      <c r="J15" s="49">
        <v>-0.2224598</v>
      </c>
      <c r="K15" s="49">
        <v>0.04508303080353343</v>
      </c>
      <c r="L15" s="49">
        <v>-0.316746818</v>
      </c>
      <c r="M15" s="49">
        <v>0.04392035773678704</v>
      </c>
    </row>
    <row r="16" spans="1:13" ht="12.75">
      <c r="A16" s="49" t="s">
        <v>106</v>
      </c>
      <c r="B16" s="54">
        <v>0.0105</v>
      </c>
      <c r="C16" s="54">
        <v>11.44</v>
      </c>
      <c r="D16" s="54">
        <v>0.0058</v>
      </c>
      <c r="E16" s="54">
        <v>24.92</v>
      </c>
      <c r="F16" s="54">
        <v>0.0058</v>
      </c>
      <c r="G16" s="54">
        <v>24.92</v>
      </c>
      <c r="H16" s="54">
        <v>2.443</v>
      </c>
      <c r="I16" s="54">
        <v>315.24</v>
      </c>
      <c r="J16" s="54">
        <v>1.7826</v>
      </c>
      <c r="K16" s="55">
        <v>0.3</v>
      </c>
      <c r="L16" s="54">
        <v>1.2576</v>
      </c>
      <c r="M16" s="55">
        <v>0.31</v>
      </c>
    </row>
    <row r="17" spans="3:13" ht="12.75">
      <c r="C17" s="56"/>
      <c r="E17" s="56"/>
      <c r="G17" s="56"/>
      <c r="I17" s="56"/>
      <c r="K17" s="57"/>
      <c r="M17" s="57"/>
    </row>
    <row r="18" spans="1:14" ht="12.75">
      <c r="A18" s="58" t="s">
        <v>102</v>
      </c>
      <c r="B18" s="59">
        <f>ROUND(B9*B11,2)</f>
        <v>1435383.1</v>
      </c>
      <c r="C18" s="59">
        <f aca="true" t="shared" si="2" ref="C18:M18">ROUND(C9*C11,2)</f>
        <v>2582850.67</v>
      </c>
      <c r="D18" s="59">
        <f t="shared" si="2"/>
        <v>239773.58</v>
      </c>
      <c r="E18" s="59">
        <f t="shared" si="2"/>
        <v>439348.5</v>
      </c>
      <c r="F18" s="59">
        <f>ROUND(F9*F11,2)</f>
        <v>6749.62</v>
      </c>
      <c r="G18" s="59">
        <f>ROUND(G9*G11,2)</f>
        <v>91277.72</v>
      </c>
      <c r="H18" s="59">
        <f t="shared" si="2"/>
        <v>1620123.08</v>
      </c>
      <c r="I18" s="59">
        <f t="shared" si="2"/>
        <v>876172.65</v>
      </c>
      <c r="J18" s="59">
        <f t="shared" si="2"/>
        <v>11589.08</v>
      </c>
      <c r="K18" s="59">
        <f t="shared" si="2"/>
        <v>18676.62</v>
      </c>
      <c r="L18" s="59">
        <f t="shared" si="2"/>
        <v>967.35</v>
      </c>
      <c r="M18" s="59">
        <f t="shared" si="2"/>
        <v>1752.09</v>
      </c>
      <c r="N18" s="60">
        <f>SUM(B18:M18)</f>
        <v>7324664.06</v>
      </c>
    </row>
    <row r="19" spans="1:14" ht="12.75">
      <c r="A19" s="61" t="s">
        <v>114</v>
      </c>
      <c r="B19" s="62">
        <f>ROUND(B9*B12,2)</f>
        <v>472009.35</v>
      </c>
      <c r="C19" s="62">
        <f aca="true" t="shared" si="3" ref="C19:M19">ROUND(C9*C12,2)</f>
        <v>0</v>
      </c>
      <c r="D19" s="62">
        <f t="shared" si="3"/>
        <v>98645.46</v>
      </c>
      <c r="E19" s="62">
        <f t="shared" si="3"/>
        <v>0</v>
      </c>
      <c r="F19" s="62">
        <f>ROUND(F9*F12,2)</f>
        <v>2776.87</v>
      </c>
      <c r="G19" s="62">
        <f>ROUND(G9*G12,2)</f>
        <v>0</v>
      </c>
      <c r="H19" s="62">
        <f t="shared" si="3"/>
        <v>347127.3</v>
      </c>
      <c r="I19" s="62">
        <f t="shared" si="3"/>
        <v>0</v>
      </c>
      <c r="J19" s="62">
        <f t="shared" si="3"/>
        <v>6789.37</v>
      </c>
      <c r="K19" s="62">
        <f t="shared" si="3"/>
        <v>0</v>
      </c>
      <c r="L19" s="62">
        <f t="shared" si="3"/>
        <v>193.2</v>
      </c>
      <c r="M19" s="62">
        <f t="shared" si="3"/>
        <v>0</v>
      </c>
      <c r="N19" s="63">
        <f>SUM(B19:M19)</f>
        <v>927541.5499999999</v>
      </c>
    </row>
    <row r="20" spans="1:14" ht="12.75">
      <c r="A20" s="64" t="s">
        <v>111</v>
      </c>
      <c r="B20" s="62">
        <f>ROUND(B9*B13,2)</f>
        <v>238900.55</v>
      </c>
      <c r="C20" s="62">
        <f aca="true" t="shared" si="4" ref="C20:M20">ROUND(C9*C13,2)</f>
        <v>0</v>
      </c>
      <c r="D20" s="62">
        <f t="shared" si="4"/>
        <v>88574.95</v>
      </c>
      <c r="E20" s="62">
        <f t="shared" si="4"/>
        <v>0</v>
      </c>
      <c r="F20" s="62">
        <f>ROUND(F9*F13,2)</f>
        <v>2493.38</v>
      </c>
      <c r="G20" s="62">
        <f>ROUND(G9*G13,2)</f>
        <v>0</v>
      </c>
      <c r="H20" s="62">
        <f t="shared" si="4"/>
        <v>526996.41</v>
      </c>
      <c r="I20" s="62">
        <f t="shared" si="4"/>
        <v>0</v>
      </c>
      <c r="J20" s="62">
        <f t="shared" si="4"/>
        <v>6551.73</v>
      </c>
      <c r="K20" s="62">
        <f t="shared" si="4"/>
        <v>0</v>
      </c>
      <c r="L20" s="62">
        <f t="shared" si="4"/>
        <v>639.91</v>
      </c>
      <c r="M20" s="62">
        <f t="shared" si="4"/>
        <v>0</v>
      </c>
      <c r="N20" s="63">
        <f>SUM(B20:M20)</f>
        <v>864156.93</v>
      </c>
    </row>
    <row r="21" spans="1:14" ht="12.75">
      <c r="A21" s="64" t="s">
        <v>112</v>
      </c>
      <c r="B21" s="62">
        <f>ROUND(B9*B14,2)</f>
        <v>50927.1</v>
      </c>
      <c r="C21" s="62">
        <f aca="true" t="shared" si="5" ref="C21:M21">ROUND(C9*C14,2)</f>
        <v>0</v>
      </c>
      <c r="D21" s="62">
        <f t="shared" si="5"/>
        <v>10664.12</v>
      </c>
      <c r="E21" s="62">
        <f t="shared" si="5"/>
        <v>0</v>
      </c>
      <c r="F21" s="62">
        <f>ROUND(F9*F14,2)</f>
        <v>300.19</v>
      </c>
      <c r="G21" s="62">
        <f>ROUND(G9*G14,2)</f>
        <v>0</v>
      </c>
      <c r="H21" s="62">
        <f t="shared" si="5"/>
        <v>37455.71</v>
      </c>
      <c r="I21" s="62">
        <f t="shared" si="5"/>
        <v>0</v>
      </c>
      <c r="J21" s="62">
        <f t="shared" si="5"/>
        <v>732.59</v>
      </c>
      <c r="K21" s="62">
        <f t="shared" si="5"/>
        <v>0</v>
      </c>
      <c r="L21" s="62">
        <f t="shared" si="5"/>
        <v>20.85</v>
      </c>
      <c r="M21" s="62">
        <f t="shared" si="5"/>
        <v>0</v>
      </c>
      <c r="N21" s="63">
        <f>SUM(B21:M21)</f>
        <v>100100.56</v>
      </c>
    </row>
    <row r="22" spans="1:14" ht="12.75">
      <c r="A22" s="65" t="s">
        <v>113</v>
      </c>
      <c r="B22" s="66">
        <f aca="true" t="shared" si="6" ref="B22:M22">ROUND(B9*B15,2)</f>
        <v>-420693.37</v>
      </c>
      <c r="C22" s="66">
        <f t="shared" si="6"/>
        <v>508034.28</v>
      </c>
      <c r="D22" s="66">
        <f t="shared" si="6"/>
        <v>-73823.33</v>
      </c>
      <c r="E22" s="66">
        <f t="shared" si="6"/>
        <v>79865.6</v>
      </c>
      <c r="F22" s="66">
        <f>ROUND(F9*F15,2)</f>
        <v>-2078.12</v>
      </c>
      <c r="G22" s="66">
        <f>ROUND(G9*G15,2)</f>
        <v>16592.64</v>
      </c>
      <c r="H22" s="66">
        <f t="shared" si="6"/>
        <v>-166883.79</v>
      </c>
      <c r="I22" s="66">
        <f t="shared" si="6"/>
        <v>165229.13</v>
      </c>
      <c r="J22" s="66">
        <f t="shared" si="6"/>
        <v>-2847.26</v>
      </c>
      <c r="K22" s="66">
        <f t="shared" si="6"/>
        <v>3303.03</v>
      </c>
      <c r="L22" s="66">
        <f t="shared" si="6"/>
        <v>-366.43</v>
      </c>
      <c r="M22" s="66">
        <f t="shared" si="6"/>
        <v>289.21</v>
      </c>
      <c r="N22" s="67">
        <f>SUM(B22:M22)</f>
        <v>106621.59000000005</v>
      </c>
    </row>
    <row r="23" spans="2:14" ht="12.75">
      <c r="B23" s="68">
        <f aca="true" t="shared" si="7" ref="B23:N23">SUM(B18:B22)-B5</f>
        <v>0.010000000009313226</v>
      </c>
      <c r="C23" s="68">
        <f t="shared" si="7"/>
        <v>0</v>
      </c>
      <c r="D23" s="68">
        <f t="shared" si="7"/>
        <v>0</v>
      </c>
      <c r="E23" s="68">
        <f t="shared" si="7"/>
        <v>0</v>
      </c>
      <c r="F23" s="68">
        <f>SUM(F18:F22)-F5</f>
        <v>0</v>
      </c>
      <c r="G23" s="68">
        <f>SUM(G18:G22)-G5</f>
        <v>0</v>
      </c>
      <c r="H23" s="68">
        <f t="shared" si="7"/>
        <v>0.009999999776482582</v>
      </c>
      <c r="I23" s="68">
        <f t="shared" si="7"/>
        <v>0</v>
      </c>
      <c r="J23" s="68">
        <f t="shared" si="7"/>
        <v>0</v>
      </c>
      <c r="K23" s="68">
        <f t="shared" si="7"/>
        <v>0</v>
      </c>
      <c r="L23" s="68">
        <f t="shared" si="7"/>
        <v>0.009999999999990905</v>
      </c>
      <c r="M23" s="68">
        <f t="shared" si="7"/>
        <v>0</v>
      </c>
      <c r="N23" s="68">
        <f t="shared" si="7"/>
        <v>0.029999999329447746</v>
      </c>
    </row>
    <row r="25" spans="1:14" ht="12.75">
      <c r="A25" s="40">
        <v>38107</v>
      </c>
      <c r="B25" s="50">
        <f>+'Volumetric new rates'!K100</f>
        <v>27147.46</v>
      </c>
      <c r="C25" s="50">
        <f>+'Service Charges new rates'!K46+'Service Charges new rates'!K47+'Service Charges new rates'!K48</f>
        <v>180108.26499999998</v>
      </c>
      <c r="D25" s="50">
        <f>+'Volumetric new rates'!K75</f>
        <v>2947.41</v>
      </c>
      <c r="E25" s="50">
        <f>+'Service Charges new rates'!K22+'Service Charges new rates'!K23</f>
        <v>30428.954999999998</v>
      </c>
      <c r="F25" s="50">
        <f>+'Volumetric new rates'!K74</f>
        <v>6.3</v>
      </c>
      <c r="G25" s="50">
        <f>+'Service Charges new rates'!K24</f>
        <v>6293.13</v>
      </c>
      <c r="H25" s="50">
        <f>+'Volumetric new rates'!K128</f>
        <v>3893.91</v>
      </c>
      <c r="I25" s="50">
        <f>+'Service Charges new rates'!K2+'Service Charges new rates'!K3</f>
        <v>60836.075</v>
      </c>
      <c r="J25" s="50"/>
      <c r="K25" s="50">
        <f>+'Service Charges new rates'!K74</f>
        <v>1259.85</v>
      </c>
      <c r="L25" s="50">
        <f>+'Volumetric new rates'!K2+'Volumetric new rates'!K3+'Volumetric new rates'!K4+'Volumetric new rates'!K5+'Volumetric new rates'!K6+'Volumetric new rates'!K7</f>
        <v>12.389999999999999</v>
      </c>
      <c r="M25" s="50">
        <f>+'Service Charges new rates'!K85+'Service Charges new rates'!K86+'Service Charges new rates'!K87+'Service Charges new rates'!K88+'Service Charges new rates'!K89+'Service Charges new rates'!K90+'Service Charges new rates'!K91+'Service Charges new rates'!K92</f>
        <v>118.41999999999999</v>
      </c>
      <c r="N25" s="51">
        <f>SUM(B25:M25)</f>
        <v>313052.1649999999</v>
      </c>
    </row>
    <row r="26" spans="1:14" ht="12.75">
      <c r="A26" s="49" t="s">
        <v>109</v>
      </c>
      <c r="B26" s="66">
        <v>0</v>
      </c>
      <c r="C26" s="66">
        <v>0</v>
      </c>
      <c r="D26" s="66">
        <v>0</v>
      </c>
      <c r="E26" s="66">
        <v>0</v>
      </c>
      <c r="F26" s="66"/>
      <c r="G26" s="66"/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/>
    </row>
    <row r="27" spans="1:14" ht="12.75">
      <c r="A27" s="49" t="s">
        <v>100</v>
      </c>
      <c r="B27" s="51">
        <f aca="true" t="shared" si="8" ref="B27:M27">+B25+B26</f>
        <v>27147.46</v>
      </c>
      <c r="C27" s="51">
        <f t="shared" si="8"/>
        <v>180108.26499999998</v>
      </c>
      <c r="D27" s="51">
        <f t="shared" si="8"/>
        <v>2947.41</v>
      </c>
      <c r="E27" s="51">
        <f t="shared" si="8"/>
        <v>30428.954999999998</v>
      </c>
      <c r="F27" s="51">
        <f>+F25+F26</f>
        <v>6.3</v>
      </c>
      <c r="G27" s="51">
        <f>+G25+G26</f>
        <v>6293.13</v>
      </c>
      <c r="H27" s="51">
        <f t="shared" si="8"/>
        <v>3893.91</v>
      </c>
      <c r="I27" s="51">
        <f t="shared" si="8"/>
        <v>60836.075</v>
      </c>
      <c r="J27" s="51">
        <f t="shared" si="8"/>
        <v>0</v>
      </c>
      <c r="K27" s="51">
        <f t="shared" si="8"/>
        <v>1259.85</v>
      </c>
      <c r="L27" s="51">
        <f t="shared" si="8"/>
        <v>12.389999999999999</v>
      </c>
      <c r="M27" s="51">
        <f t="shared" si="8"/>
        <v>118.41999999999999</v>
      </c>
      <c r="N27" s="51"/>
    </row>
    <row r="29" spans="1:13" ht="12.75">
      <c r="A29" s="49" t="s">
        <v>101</v>
      </c>
      <c r="B29" s="53">
        <f aca="true" t="shared" si="9" ref="B29:M29">+B27/B36</f>
        <v>2585472.3809523806</v>
      </c>
      <c r="C29" s="53">
        <f t="shared" si="9"/>
        <v>15743.729458041957</v>
      </c>
      <c r="D29" s="53">
        <f t="shared" si="9"/>
        <v>508174.1379310345</v>
      </c>
      <c r="E29" s="53">
        <f t="shared" si="9"/>
        <v>1221.0656099518458</v>
      </c>
      <c r="F29" s="53">
        <f t="shared" si="9"/>
        <v>1086.2068965517242</v>
      </c>
      <c r="G29" s="53">
        <f t="shared" si="9"/>
        <v>252.53330658105938</v>
      </c>
      <c r="H29" s="53">
        <f t="shared" si="9"/>
        <v>1593.9050347932869</v>
      </c>
      <c r="I29" s="53">
        <f t="shared" si="9"/>
        <v>192.98336188300976</v>
      </c>
      <c r="J29" s="53">
        <f t="shared" si="9"/>
        <v>0</v>
      </c>
      <c r="K29" s="53">
        <f t="shared" si="9"/>
        <v>4199.5</v>
      </c>
      <c r="L29" s="53">
        <f t="shared" si="9"/>
        <v>9.85209923664122</v>
      </c>
      <c r="M29" s="53">
        <f t="shared" si="9"/>
        <v>381.99999999999994</v>
      </c>
    </row>
    <row r="30" spans="2:13" ht="12.75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13" ht="12.75" hidden="1">
      <c r="A31" s="49" t="s">
        <v>102</v>
      </c>
      <c r="B31" s="49">
        <f>B36-SUM(B32:B35)</f>
        <v>0.008483701578661906</v>
      </c>
      <c r="C31" s="49">
        <v>9.559660800731313</v>
      </c>
      <c r="D31" s="49">
        <v>0.003822302936326567</v>
      </c>
      <c r="E31" s="49">
        <v>21.086801262737474</v>
      </c>
      <c r="F31" s="49">
        <v>0.003822302936326567</v>
      </c>
      <c r="G31" s="49">
        <v>21.086801262737474</v>
      </c>
      <c r="H31" s="49">
        <v>1.6736846179655207</v>
      </c>
      <c r="I31" s="49">
        <v>265.22392433367145</v>
      </c>
      <c r="J31" s="49">
        <v>0.9054668148022766</v>
      </c>
      <c r="K31" s="49">
        <v>0.25491696919646656</v>
      </c>
      <c r="L31" s="49">
        <v>0.8361829790427533</v>
      </c>
      <c r="M31" s="49">
        <v>0.26607964226321296</v>
      </c>
    </row>
    <row r="32" spans="1:13" ht="12.75" hidden="1">
      <c r="A32" s="49" t="s">
        <v>110</v>
      </c>
      <c r="B32" s="49">
        <v>0.0027897684213380935</v>
      </c>
      <c r="C32" s="49">
        <v>0</v>
      </c>
      <c r="D32" s="49">
        <v>0.0015725370636734328</v>
      </c>
      <c r="E32" s="49">
        <v>0</v>
      </c>
      <c r="F32" s="49">
        <v>0.0015725370636734328</v>
      </c>
      <c r="G32" s="49">
        <v>0</v>
      </c>
      <c r="H32" s="49">
        <v>0.35860338203447933</v>
      </c>
      <c r="I32" s="49">
        <v>0</v>
      </c>
      <c r="J32" s="49">
        <v>0.5304609851977236</v>
      </c>
      <c r="K32" s="49">
        <v>0</v>
      </c>
      <c r="L32" s="49">
        <v>0.1670048389572467</v>
      </c>
      <c r="M32" s="49">
        <v>0</v>
      </c>
    </row>
    <row r="33" spans="1:12" ht="12.75" hidden="1">
      <c r="A33" s="49" t="s">
        <v>111</v>
      </c>
      <c r="B33" s="49">
        <v>0.001412</v>
      </c>
      <c r="D33" s="49">
        <v>0.001412</v>
      </c>
      <c r="F33" s="49">
        <v>0.001412</v>
      </c>
      <c r="H33" s="49">
        <v>0.544419</v>
      </c>
      <c r="J33" s="49">
        <v>0.511894</v>
      </c>
      <c r="L33" s="49">
        <v>0.553139</v>
      </c>
    </row>
    <row r="34" spans="1:12" ht="12.75" hidden="1">
      <c r="A34" s="49" t="s">
        <v>112</v>
      </c>
      <c r="B34" s="49">
        <v>0.000301</v>
      </c>
      <c r="D34" s="49">
        <v>0.00017</v>
      </c>
      <c r="F34" s="49">
        <v>0.00017</v>
      </c>
      <c r="H34" s="49">
        <v>0.038694</v>
      </c>
      <c r="J34" s="49">
        <v>0.057238</v>
      </c>
      <c r="L34" s="49">
        <v>0.01802</v>
      </c>
    </row>
    <row r="35" spans="1:13" ht="12.75" hidden="1">
      <c r="A35" s="49" t="s">
        <v>113</v>
      </c>
      <c r="B35" s="49">
        <v>-0.00248647</v>
      </c>
      <c r="C35" s="49">
        <v>1.8803391992686862</v>
      </c>
      <c r="D35" s="49">
        <v>-0.00117684</v>
      </c>
      <c r="E35" s="49">
        <v>3.833198737262528</v>
      </c>
      <c r="F35" s="49">
        <v>-0.00117684</v>
      </c>
      <c r="G35" s="49">
        <v>3.833198737262528</v>
      </c>
      <c r="H35" s="49">
        <v>-0.172401</v>
      </c>
      <c r="I35" s="49">
        <v>50.01607566632856</v>
      </c>
      <c r="J35" s="49">
        <v>-0.2224598</v>
      </c>
      <c r="K35" s="49">
        <v>0.04508303080353343</v>
      </c>
      <c r="L35" s="49">
        <v>-0.316746818</v>
      </c>
      <c r="M35" s="49">
        <v>0.04392035773678704</v>
      </c>
    </row>
    <row r="36" spans="1:13" ht="12.75" hidden="1">
      <c r="A36" s="49" t="s">
        <v>106</v>
      </c>
      <c r="B36" s="54">
        <v>0.0105</v>
      </c>
      <c r="C36" s="54">
        <v>11.44</v>
      </c>
      <c r="D36" s="54">
        <v>0.0058</v>
      </c>
      <c r="E36" s="54">
        <v>24.92</v>
      </c>
      <c r="F36" s="54">
        <v>0.0058</v>
      </c>
      <c r="G36" s="54">
        <v>24.92</v>
      </c>
      <c r="H36" s="54">
        <v>2.443</v>
      </c>
      <c r="I36" s="54">
        <v>315.24</v>
      </c>
      <c r="J36" s="54">
        <v>1.7826</v>
      </c>
      <c r="K36" s="55">
        <v>0.3</v>
      </c>
      <c r="L36" s="54">
        <v>1.2576</v>
      </c>
      <c r="M36" s="55">
        <v>0.31</v>
      </c>
    </row>
    <row r="37" spans="3:14" ht="12.75" hidden="1">
      <c r="C37" s="56"/>
      <c r="D37" s="69"/>
      <c r="E37" s="56"/>
      <c r="G37" s="56"/>
      <c r="I37" s="56"/>
      <c r="K37" s="56"/>
      <c r="M37" s="56"/>
      <c r="N37" s="70">
        <f>+A25</f>
        <v>38107</v>
      </c>
    </row>
    <row r="38" spans="1:14" ht="12.75">
      <c r="A38" s="58" t="s">
        <v>102</v>
      </c>
      <c r="B38" s="59">
        <f>ROUND(B29*B31,2)</f>
        <v>21934.38</v>
      </c>
      <c r="C38" s="59">
        <f aca="true" t="shared" si="10" ref="C38:M38">ROUND(C29*C31,2)</f>
        <v>150504.71</v>
      </c>
      <c r="D38" s="59">
        <f t="shared" si="10"/>
        <v>1942.4</v>
      </c>
      <c r="E38" s="59">
        <f t="shared" si="10"/>
        <v>25748.37</v>
      </c>
      <c r="F38" s="59">
        <f t="shared" si="10"/>
        <v>4.15</v>
      </c>
      <c r="G38" s="59">
        <f t="shared" si="10"/>
        <v>5325.12</v>
      </c>
      <c r="H38" s="59">
        <f t="shared" si="10"/>
        <v>2667.69</v>
      </c>
      <c r="I38" s="59">
        <f t="shared" si="10"/>
        <v>51183.8</v>
      </c>
      <c r="J38" s="59">
        <f t="shared" si="10"/>
        <v>0</v>
      </c>
      <c r="K38" s="59">
        <f t="shared" si="10"/>
        <v>1070.52</v>
      </c>
      <c r="L38" s="59">
        <f t="shared" si="10"/>
        <v>8.24</v>
      </c>
      <c r="M38" s="59">
        <f t="shared" si="10"/>
        <v>101.64</v>
      </c>
      <c r="N38" s="60">
        <f>SUM(B38:M38)</f>
        <v>260491.02</v>
      </c>
    </row>
    <row r="39" spans="1:15" ht="12.75">
      <c r="A39" s="61" t="s">
        <v>114</v>
      </c>
      <c r="B39" s="62">
        <f>ROUND(B29*B32,2)</f>
        <v>7212.87</v>
      </c>
      <c r="C39" s="62">
        <f aca="true" t="shared" si="11" ref="C39:M39">ROUND(C29*C32,2)</f>
        <v>0</v>
      </c>
      <c r="D39" s="62">
        <f t="shared" si="11"/>
        <v>799.12</v>
      </c>
      <c r="E39" s="62">
        <f t="shared" si="11"/>
        <v>0</v>
      </c>
      <c r="F39" s="62">
        <f t="shared" si="11"/>
        <v>1.71</v>
      </c>
      <c r="G39" s="62">
        <f t="shared" si="11"/>
        <v>0</v>
      </c>
      <c r="H39" s="62">
        <f t="shared" si="11"/>
        <v>571.58</v>
      </c>
      <c r="I39" s="62">
        <f t="shared" si="11"/>
        <v>0</v>
      </c>
      <c r="J39" s="62">
        <f t="shared" si="11"/>
        <v>0</v>
      </c>
      <c r="K39" s="62">
        <f t="shared" si="11"/>
        <v>0</v>
      </c>
      <c r="L39" s="62">
        <f t="shared" si="11"/>
        <v>1.65</v>
      </c>
      <c r="M39" s="62">
        <f t="shared" si="11"/>
        <v>0</v>
      </c>
      <c r="N39" s="63">
        <f>SUM(B39:M39)</f>
        <v>8586.93</v>
      </c>
      <c r="O39" s="24"/>
    </row>
    <row r="40" spans="1:15" ht="12.75">
      <c r="A40" s="64" t="s">
        <v>111</v>
      </c>
      <c r="B40" s="62">
        <f>ROUND(B29*B33,2)</f>
        <v>3650.69</v>
      </c>
      <c r="C40" s="62">
        <f aca="true" t="shared" si="12" ref="C40:M40">ROUND(C29*C33,2)</f>
        <v>0</v>
      </c>
      <c r="D40" s="62">
        <f t="shared" si="12"/>
        <v>717.54</v>
      </c>
      <c r="E40" s="62">
        <f t="shared" si="12"/>
        <v>0</v>
      </c>
      <c r="F40" s="62">
        <f t="shared" si="12"/>
        <v>1.53</v>
      </c>
      <c r="G40" s="62">
        <f t="shared" si="12"/>
        <v>0</v>
      </c>
      <c r="H40" s="62">
        <f t="shared" si="12"/>
        <v>867.75</v>
      </c>
      <c r="I40" s="62">
        <f t="shared" si="12"/>
        <v>0</v>
      </c>
      <c r="J40" s="62">
        <f t="shared" si="12"/>
        <v>0</v>
      </c>
      <c r="K40" s="62">
        <f t="shared" si="12"/>
        <v>0</v>
      </c>
      <c r="L40" s="62">
        <f t="shared" si="12"/>
        <v>5.45</v>
      </c>
      <c r="M40" s="62">
        <f t="shared" si="12"/>
        <v>0</v>
      </c>
      <c r="N40" s="63">
        <f>SUM(B40:M40)</f>
        <v>5242.959999999999</v>
      </c>
      <c r="O40" s="24"/>
    </row>
    <row r="41" spans="1:15" ht="12.75">
      <c r="A41" s="64" t="s">
        <v>112</v>
      </c>
      <c r="B41" s="62">
        <f>ROUND(B29*B34,2)</f>
        <v>778.23</v>
      </c>
      <c r="C41" s="62">
        <f aca="true" t="shared" si="13" ref="C41:M41">ROUND(C29*C34,2)</f>
        <v>0</v>
      </c>
      <c r="D41" s="62">
        <f t="shared" si="13"/>
        <v>86.39</v>
      </c>
      <c r="E41" s="62">
        <f t="shared" si="13"/>
        <v>0</v>
      </c>
      <c r="F41" s="62">
        <f t="shared" si="13"/>
        <v>0.18</v>
      </c>
      <c r="G41" s="62">
        <f t="shared" si="13"/>
        <v>0</v>
      </c>
      <c r="H41" s="62">
        <f t="shared" si="13"/>
        <v>61.67</v>
      </c>
      <c r="I41" s="62">
        <f t="shared" si="13"/>
        <v>0</v>
      </c>
      <c r="J41" s="62">
        <f t="shared" si="13"/>
        <v>0</v>
      </c>
      <c r="K41" s="62">
        <f t="shared" si="13"/>
        <v>0</v>
      </c>
      <c r="L41" s="62">
        <f t="shared" si="13"/>
        <v>0.18</v>
      </c>
      <c r="M41" s="62">
        <f t="shared" si="13"/>
        <v>0</v>
      </c>
      <c r="N41" s="63">
        <f>SUM(B41:M41)</f>
        <v>926.6499999999999</v>
      </c>
      <c r="O41" s="24"/>
    </row>
    <row r="42" spans="1:15" ht="12.75">
      <c r="A42" s="65" t="s">
        <v>113</v>
      </c>
      <c r="B42" s="66">
        <f aca="true" t="shared" si="14" ref="B42:M42">ROUND(B29*B35,2)</f>
        <v>-6428.7</v>
      </c>
      <c r="C42" s="66">
        <f t="shared" si="14"/>
        <v>29603.55</v>
      </c>
      <c r="D42" s="66">
        <f t="shared" si="14"/>
        <v>-598.04</v>
      </c>
      <c r="E42" s="66">
        <f t="shared" si="14"/>
        <v>4680.59</v>
      </c>
      <c r="F42" s="66">
        <f t="shared" si="14"/>
        <v>-1.28</v>
      </c>
      <c r="G42" s="66">
        <f t="shared" si="14"/>
        <v>968.01</v>
      </c>
      <c r="H42" s="66">
        <f t="shared" si="14"/>
        <v>-274.79</v>
      </c>
      <c r="I42" s="66">
        <f t="shared" si="14"/>
        <v>9652.27</v>
      </c>
      <c r="J42" s="66">
        <f t="shared" si="14"/>
        <v>0</v>
      </c>
      <c r="K42" s="66">
        <f t="shared" si="14"/>
        <v>189.33</v>
      </c>
      <c r="L42" s="66">
        <f t="shared" si="14"/>
        <v>-3.12</v>
      </c>
      <c r="M42" s="66">
        <f t="shared" si="14"/>
        <v>16.78</v>
      </c>
      <c r="N42" s="67">
        <f>SUM(B42:M42)</f>
        <v>37804.6</v>
      </c>
      <c r="O42" s="24"/>
    </row>
    <row r="43" spans="2:14" ht="12.75">
      <c r="B43" s="68">
        <f aca="true" t="shared" si="15" ref="B43:N43">SUM(B38:B42)-B25</f>
        <v>0.010000000005675247</v>
      </c>
      <c r="C43" s="68">
        <f t="shared" si="15"/>
        <v>-0.005000000004656613</v>
      </c>
      <c r="D43" s="68">
        <f t="shared" si="15"/>
        <v>0</v>
      </c>
      <c r="E43" s="68">
        <f t="shared" si="15"/>
        <v>0.005000000001018634</v>
      </c>
      <c r="F43" s="68">
        <f>SUM(F38:F42)-F25</f>
        <v>-0.009999999999999787</v>
      </c>
      <c r="G43" s="68">
        <f>SUM(G38:G42)-G25</f>
        <v>0</v>
      </c>
      <c r="H43" s="68">
        <f t="shared" si="15"/>
        <v>-0.009999999999308784</v>
      </c>
      <c r="I43" s="68">
        <f t="shared" si="15"/>
        <v>-0.004999999990104698</v>
      </c>
      <c r="J43" s="68">
        <f t="shared" si="15"/>
        <v>0</v>
      </c>
      <c r="K43" s="68">
        <f t="shared" si="15"/>
        <v>0</v>
      </c>
      <c r="L43" s="68">
        <f t="shared" si="15"/>
        <v>0.009999999999999787</v>
      </c>
      <c r="M43" s="68">
        <f t="shared" si="15"/>
        <v>0</v>
      </c>
      <c r="N43" s="68">
        <f t="shared" si="15"/>
        <v>-0.004999999888241291</v>
      </c>
    </row>
    <row r="45" spans="1:14" ht="12.75">
      <c r="A45" s="40">
        <v>38138</v>
      </c>
      <c r="B45" s="50">
        <f>+'Volumetric new rates'!K101+'Volumetric new rates'!K102</f>
        <v>175912.86000000002</v>
      </c>
      <c r="C45" s="50">
        <f>+'Service Charges new rates'!K49+'Service Charges new rates'!K50+'Service Charges new rates'!K51</f>
        <v>362951.26999999996</v>
      </c>
      <c r="D45" s="50">
        <f>'Volumetric new rates'!K77</f>
        <v>39850.54</v>
      </c>
      <c r="E45" s="50">
        <f>+'Service Charges new rates'!K25</f>
        <v>60893.87</v>
      </c>
      <c r="F45" s="50">
        <f>+'Volumetric new rates'!K76</f>
        <v>1359.49</v>
      </c>
      <c r="G45" s="50">
        <f>+'Service Charges new rates'!K26</f>
        <v>12609.52</v>
      </c>
      <c r="H45" s="50">
        <f>+'Volumetric new rates'!K129+'Volumetric new rates'!K130</f>
        <v>282298.44999999995</v>
      </c>
      <c r="I45" s="50">
        <f>+'Service Charges new rates'!K4+'Service Charges new rates'!K5</f>
        <v>122293.31</v>
      </c>
      <c r="J45" s="50">
        <f>+'Volumetric new rates'!K118</f>
        <v>2802.25</v>
      </c>
      <c r="K45" s="50">
        <f>+'Service Charges new rates'!K75</f>
        <v>2551.5</v>
      </c>
      <c r="L45" s="50">
        <f>+'Volumetric new rates'!K9+'Volumetric new rates'!K10+'Volumetric new rates'!K11+'Volumetric new rates'!K12+'Volumetric new rates'!K13+'Volumetric new rates'!K14+'Volumetric new rates'!K15</f>
        <v>160.09000000000003</v>
      </c>
      <c r="M45" s="50">
        <f>+'Service Charges new rates'!K94+'Service Charges new rates'!K95+'Service Charges new rates'!K96+'Service Charges new rates'!K97+'Service Charges new rates'!K98+'Service Charges new rates'!K99+'Service Charges new rates'!K100</f>
        <v>239.01</v>
      </c>
      <c r="N45" s="51">
        <f>SUM(B45:M45)</f>
        <v>1063922.1600000001</v>
      </c>
    </row>
    <row r="46" spans="1:14" ht="12.75">
      <c r="A46" s="49" t="s">
        <v>109</v>
      </c>
      <c r="B46" s="66">
        <v>0</v>
      </c>
      <c r="C46" s="66">
        <v>0</v>
      </c>
      <c r="D46" s="66">
        <v>0</v>
      </c>
      <c r="E46" s="66">
        <v>0</v>
      </c>
      <c r="F46" s="66"/>
      <c r="G46" s="66"/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/>
    </row>
    <row r="47" spans="1:14" ht="12.75">
      <c r="A47" s="49" t="s">
        <v>100</v>
      </c>
      <c r="B47" s="51">
        <f aca="true" t="shared" si="16" ref="B47:M47">+B45+B46</f>
        <v>175912.86000000002</v>
      </c>
      <c r="C47" s="51">
        <f t="shared" si="16"/>
        <v>362951.26999999996</v>
      </c>
      <c r="D47" s="51">
        <f t="shared" si="16"/>
        <v>39850.54</v>
      </c>
      <c r="E47" s="51">
        <f t="shared" si="16"/>
        <v>60893.87</v>
      </c>
      <c r="F47" s="51">
        <f>+F45+F46</f>
        <v>1359.49</v>
      </c>
      <c r="G47" s="51">
        <f>+G45+G46</f>
        <v>12609.52</v>
      </c>
      <c r="H47" s="51">
        <f t="shared" si="16"/>
        <v>282298.44999999995</v>
      </c>
      <c r="I47" s="51">
        <f t="shared" si="16"/>
        <v>122293.31</v>
      </c>
      <c r="J47" s="51">
        <f t="shared" si="16"/>
        <v>2802.25</v>
      </c>
      <c r="K47" s="51">
        <f t="shared" si="16"/>
        <v>2551.5</v>
      </c>
      <c r="L47" s="51">
        <f t="shared" si="16"/>
        <v>160.09000000000003</v>
      </c>
      <c r="M47" s="51">
        <f t="shared" si="16"/>
        <v>239.01</v>
      </c>
      <c r="N47" s="51"/>
    </row>
    <row r="49" spans="1:13" ht="12.75">
      <c r="A49" s="49" t="s">
        <v>101</v>
      </c>
      <c r="B49" s="53">
        <f aca="true" t="shared" si="17" ref="B49:M49">+B47/B56</f>
        <v>16753605.714285715</v>
      </c>
      <c r="C49" s="53">
        <f t="shared" si="17"/>
        <v>31726.509615384613</v>
      </c>
      <c r="D49" s="53">
        <f t="shared" si="17"/>
        <v>6870782.758620691</v>
      </c>
      <c r="E49" s="53">
        <f t="shared" si="17"/>
        <v>2443.5742375601926</v>
      </c>
      <c r="F49" s="53">
        <f t="shared" si="17"/>
        <v>234394.82758620693</v>
      </c>
      <c r="G49" s="53">
        <f t="shared" si="17"/>
        <v>506</v>
      </c>
      <c r="H49" s="53">
        <f t="shared" si="17"/>
        <v>115554.01146131803</v>
      </c>
      <c r="I49" s="53">
        <f t="shared" si="17"/>
        <v>387.9371589899759</v>
      </c>
      <c r="J49" s="53">
        <f t="shared" si="17"/>
        <v>1572.0015707393695</v>
      </c>
      <c r="K49" s="53">
        <f t="shared" si="17"/>
        <v>8505</v>
      </c>
      <c r="L49" s="53">
        <f t="shared" si="17"/>
        <v>127.2980279898219</v>
      </c>
      <c r="M49" s="53">
        <f t="shared" si="17"/>
        <v>771</v>
      </c>
    </row>
    <row r="50" spans="2:13" ht="12.7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1:13" ht="12.75" hidden="1">
      <c r="A51" s="49" t="s">
        <v>102</v>
      </c>
      <c r="B51" s="49">
        <f>B56-SUM(B52:B55)</f>
        <v>0.008483701578661906</v>
      </c>
      <c r="C51" s="49">
        <v>9.559660800731313</v>
      </c>
      <c r="D51" s="49">
        <v>0.003822302936326567</v>
      </c>
      <c r="E51" s="49">
        <v>21.086801262737474</v>
      </c>
      <c r="F51" s="49">
        <v>0.003822302936326567</v>
      </c>
      <c r="G51" s="49">
        <v>21.086801262737474</v>
      </c>
      <c r="H51" s="49">
        <v>1.6736846179655207</v>
      </c>
      <c r="I51" s="49">
        <v>265.22392433367145</v>
      </c>
      <c r="J51" s="49">
        <v>0.9054668148022766</v>
      </c>
      <c r="K51" s="49">
        <v>0.25491696919646656</v>
      </c>
      <c r="L51" s="49">
        <v>0.8361829790427533</v>
      </c>
      <c r="M51" s="49">
        <v>0.26607964226321296</v>
      </c>
    </row>
    <row r="52" spans="1:13" ht="12.75" hidden="1">
      <c r="A52" s="49" t="s">
        <v>110</v>
      </c>
      <c r="B52" s="49">
        <v>0.0027897684213380935</v>
      </c>
      <c r="C52" s="49">
        <v>0</v>
      </c>
      <c r="D52" s="49">
        <v>0.0015725370636734328</v>
      </c>
      <c r="E52" s="49">
        <v>0</v>
      </c>
      <c r="F52" s="49">
        <v>0.0015725370636734328</v>
      </c>
      <c r="G52" s="49">
        <v>0</v>
      </c>
      <c r="H52" s="49">
        <v>0.35860338203447933</v>
      </c>
      <c r="I52" s="49">
        <v>0</v>
      </c>
      <c r="J52" s="49">
        <v>0.5304609851977236</v>
      </c>
      <c r="K52" s="49">
        <v>0</v>
      </c>
      <c r="L52" s="49">
        <v>0.1670048389572467</v>
      </c>
      <c r="M52" s="49">
        <v>0</v>
      </c>
    </row>
    <row r="53" spans="1:12" ht="12.75" hidden="1">
      <c r="A53" s="49" t="s">
        <v>111</v>
      </c>
      <c r="B53" s="49">
        <v>0.001412</v>
      </c>
      <c r="D53" s="49">
        <v>0.001412</v>
      </c>
      <c r="F53" s="49">
        <v>0.001412</v>
      </c>
      <c r="H53" s="49">
        <v>0.544419</v>
      </c>
      <c r="J53" s="49">
        <v>0.511894</v>
      </c>
      <c r="L53" s="49">
        <v>0.553139</v>
      </c>
    </row>
    <row r="54" spans="1:12" ht="12.75" hidden="1">
      <c r="A54" s="49" t="s">
        <v>112</v>
      </c>
      <c r="B54" s="49">
        <v>0.000301</v>
      </c>
      <c r="D54" s="49">
        <v>0.00017</v>
      </c>
      <c r="F54" s="49">
        <v>0.00017</v>
      </c>
      <c r="H54" s="49">
        <v>0.038694</v>
      </c>
      <c r="J54" s="49">
        <v>0.057238</v>
      </c>
      <c r="L54" s="49">
        <v>0.01802</v>
      </c>
    </row>
    <row r="55" spans="1:13" ht="12.75" hidden="1">
      <c r="A55" s="49" t="s">
        <v>113</v>
      </c>
      <c r="B55" s="49">
        <v>-0.00248647</v>
      </c>
      <c r="C55" s="49">
        <v>1.8803391992686862</v>
      </c>
      <c r="D55" s="49">
        <v>-0.00117684</v>
      </c>
      <c r="E55" s="49">
        <v>3.833198737262528</v>
      </c>
      <c r="F55" s="49">
        <v>-0.00117684</v>
      </c>
      <c r="G55" s="49">
        <v>3.833198737262528</v>
      </c>
      <c r="H55" s="49">
        <v>-0.172401</v>
      </c>
      <c r="I55" s="49">
        <v>50.01607566632856</v>
      </c>
      <c r="J55" s="49">
        <v>-0.2224598</v>
      </c>
      <c r="K55" s="49">
        <v>0.04508303080353343</v>
      </c>
      <c r="L55" s="49">
        <v>-0.316746818</v>
      </c>
      <c r="M55" s="49">
        <v>0.04392035773678704</v>
      </c>
    </row>
    <row r="56" spans="1:14" ht="12.75" hidden="1">
      <c r="A56" s="49" t="s">
        <v>106</v>
      </c>
      <c r="B56" s="54">
        <v>0.0105</v>
      </c>
      <c r="C56" s="54">
        <v>11.44</v>
      </c>
      <c r="D56" s="54">
        <v>0.0058</v>
      </c>
      <c r="E56" s="54">
        <v>24.92</v>
      </c>
      <c r="F56" s="54">
        <v>0.0058</v>
      </c>
      <c r="G56" s="54">
        <v>24.92</v>
      </c>
      <c r="H56" s="54">
        <v>2.443</v>
      </c>
      <c r="I56" s="54">
        <v>315.24</v>
      </c>
      <c r="J56" s="54">
        <v>1.7826</v>
      </c>
      <c r="K56" s="55">
        <v>0.3</v>
      </c>
      <c r="L56" s="54">
        <v>1.2576</v>
      </c>
      <c r="M56" s="55">
        <v>0.31</v>
      </c>
      <c r="N56" s="70">
        <f>+A45</f>
        <v>38138</v>
      </c>
    </row>
    <row r="57" spans="3:13" ht="12.75" hidden="1">
      <c r="C57" s="56"/>
      <c r="D57" s="69"/>
      <c r="E57" s="56"/>
      <c r="G57" s="56"/>
      <c r="I57" s="56"/>
      <c r="K57" s="56"/>
      <c r="M57" s="56"/>
    </row>
    <row r="58" spans="1:14" ht="12.75">
      <c r="A58" s="58" t="s">
        <v>102</v>
      </c>
      <c r="B58" s="59">
        <f>ROUND(B49*B51,2)</f>
        <v>142132.59</v>
      </c>
      <c r="C58" s="59">
        <f aca="true" t="shared" si="18" ref="C58:M58">ROUND(C49*C51,2)</f>
        <v>303294.67</v>
      </c>
      <c r="D58" s="59">
        <f t="shared" si="18"/>
        <v>26262.21</v>
      </c>
      <c r="E58" s="59">
        <f t="shared" si="18"/>
        <v>51527.16</v>
      </c>
      <c r="F58" s="59">
        <f t="shared" si="18"/>
        <v>895.93</v>
      </c>
      <c r="G58" s="59">
        <f t="shared" si="18"/>
        <v>10669.92</v>
      </c>
      <c r="H58" s="59">
        <f t="shared" si="18"/>
        <v>193400.97</v>
      </c>
      <c r="I58" s="59">
        <f t="shared" si="18"/>
        <v>102890.22</v>
      </c>
      <c r="J58" s="59">
        <f t="shared" si="18"/>
        <v>1423.4</v>
      </c>
      <c r="K58" s="59">
        <f t="shared" si="18"/>
        <v>2168.07</v>
      </c>
      <c r="L58" s="59">
        <f t="shared" si="18"/>
        <v>106.44</v>
      </c>
      <c r="M58" s="59">
        <f t="shared" si="18"/>
        <v>205.15</v>
      </c>
      <c r="N58" s="60">
        <f>SUM(B58:M58)</f>
        <v>834976.7299999999</v>
      </c>
    </row>
    <row r="59" spans="1:15" ht="12.75">
      <c r="A59" s="61" t="s">
        <v>114</v>
      </c>
      <c r="B59" s="62">
        <f>ROUND(B49*B52,2)</f>
        <v>46738.68</v>
      </c>
      <c r="C59" s="62">
        <f aca="true" t="shared" si="19" ref="C59:M59">ROUND(C49*C52,2)</f>
        <v>0</v>
      </c>
      <c r="D59" s="62">
        <f t="shared" si="19"/>
        <v>10804.56</v>
      </c>
      <c r="E59" s="62">
        <f t="shared" si="19"/>
        <v>0</v>
      </c>
      <c r="F59" s="62">
        <f t="shared" si="19"/>
        <v>368.59</v>
      </c>
      <c r="G59" s="62">
        <f t="shared" si="19"/>
        <v>0</v>
      </c>
      <c r="H59" s="62">
        <f t="shared" si="19"/>
        <v>41438.06</v>
      </c>
      <c r="I59" s="62">
        <f t="shared" si="19"/>
        <v>0</v>
      </c>
      <c r="J59" s="62">
        <f t="shared" si="19"/>
        <v>833.89</v>
      </c>
      <c r="K59" s="62">
        <f t="shared" si="19"/>
        <v>0</v>
      </c>
      <c r="L59" s="62">
        <f t="shared" si="19"/>
        <v>21.26</v>
      </c>
      <c r="M59" s="62">
        <f t="shared" si="19"/>
        <v>0</v>
      </c>
      <c r="N59" s="63">
        <f>SUM(B59:M59)</f>
        <v>100205.03999999998</v>
      </c>
      <c r="O59" s="32"/>
    </row>
    <row r="60" spans="1:15" ht="12.75">
      <c r="A60" s="64" t="s">
        <v>111</v>
      </c>
      <c r="B60" s="62">
        <f>ROUND(B49*B53,2)</f>
        <v>23656.09</v>
      </c>
      <c r="C60" s="62">
        <f aca="true" t="shared" si="20" ref="C60:M60">ROUND(C49*C53,2)</f>
        <v>0</v>
      </c>
      <c r="D60" s="62">
        <f t="shared" si="20"/>
        <v>9701.55</v>
      </c>
      <c r="E60" s="62">
        <f t="shared" si="20"/>
        <v>0</v>
      </c>
      <c r="F60" s="62">
        <f t="shared" si="20"/>
        <v>330.97</v>
      </c>
      <c r="G60" s="62">
        <f t="shared" si="20"/>
        <v>0</v>
      </c>
      <c r="H60" s="62">
        <f t="shared" si="20"/>
        <v>62909.8</v>
      </c>
      <c r="I60" s="62">
        <f t="shared" si="20"/>
        <v>0</v>
      </c>
      <c r="J60" s="62">
        <f t="shared" si="20"/>
        <v>804.7</v>
      </c>
      <c r="K60" s="62">
        <f t="shared" si="20"/>
        <v>0</v>
      </c>
      <c r="L60" s="62">
        <f t="shared" si="20"/>
        <v>70.41</v>
      </c>
      <c r="M60" s="62">
        <f t="shared" si="20"/>
        <v>0</v>
      </c>
      <c r="N60" s="63">
        <f>SUM(B60:M60)</f>
        <v>97473.52</v>
      </c>
      <c r="O60" s="24"/>
    </row>
    <row r="61" spans="1:15" ht="12.75">
      <c r="A61" s="64" t="s">
        <v>112</v>
      </c>
      <c r="B61" s="62">
        <f>ROUND(B49*B54,2)</f>
        <v>5042.84</v>
      </c>
      <c r="C61" s="62">
        <f aca="true" t="shared" si="21" ref="C61:M61">ROUND(C49*C54,2)</f>
        <v>0</v>
      </c>
      <c r="D61" s="62">
        <f t="shared" si="21"/>
        <v>1168.03</v>
      </c>
      <c r="E61" s="62">
        <f t="shared" si="21"/>
        <v>0</v>
      </c>
      <c r="F61" s="62">
        <f t="shared" si="21"/>
        <v>39.85</v>
      </c>
      <c r="G61" s="62">
        <f t="shared" si="21"/>
        <v>0</v>
      </c>
      <c r="H61" s="62">
        <f t="shared" si="21"/>
        <v>4471.25</v>
      </c>
      <c r="I61" s="62">
        <f t="shared" si="21"/>
        <v>0</v>
      </c>
      <c r="J61" s="62">
        <f t="shared" si="21"/>
        <v>89.98</v>
      </c>
      <c r="K61" s="62">
        <f t="shared" si="21"/>
        <v>0</v>
      </c>
      <c r="L61" s="62">
        <f t="shared" si="21"/>
        <v>2.29</v>
      </c>
      <c r="M61" s="62">
        <f t="shared" si="21"/>
        <v>0</v>
      </c>
      <c r="N61" s="63">
        <f>SUM(B61:M61)</f>
        <v>10814.240000000002</v>
      </c>
      <c r="O61" s="24"/>
    </row>
    <row r="62" spans="1:15" ht="12.75">
      <c r="A62" s="65" t="s">
        <v>113</v>
      </c>
      <c r="B62" s="66">
        <f aca="true" t="shared" si="22" ref="B62:M62">ROUND(B49*B55,2)</f>
        <v>-41657.34</v>
      </c>
      <c r="C62" s="66">
        <f t="shared" si="22"/>
        <v>59656.6</v>
      </c>
      <c r="D62" s="66">
        <f t="shared" si="22"/>
        <v>-8085.81</v>
      </c>
      <c r="E62" s="66">
        <f t="shared" si="22"/>
        <v>9366.71</v>
      </c>
      <c r="F62" s="66">
        <f t="shared" si="22"/>
        <v>-275.85</v>
      </c>
      <c r="G62" s="66">
        <f t="shared" si="22"/>
        <v>1939.6</v>
      </c>
      <c r="H62" s="66">
        <f t="shared" si="22"/>
        <v>-19921.63</v>
      </c>
      <c r="I62" s="66">
        <f t="shared" si="22"/>
        <v>19403.09</v>
      </c>
      <c r="J62" s="66">
        <f t="shared" si="22"/>
        <v>-349.71</v>
      </c>
      <c r="K62" s="66">
        <f t="shared" si="22"/>
        <v>383.43</v>
      </c>
      <c r="L62" s="66">
        <f t="shared" si="22"/>
        <v>-40.32</v>
      </c>
      <c r="M62" s="66">
        <f t="shared" si="22"/>
        <v>33.86</v>
      </c>
      <c r="N62" s="67">
        <f>SUM(B62:M62)</f>
        <v>20452.63</v>
      </c>
      <c r="O62" s="24"/>
    </row>
    <row r="63" spans="2:14" ht="12.75">
      <c r="B63" s="68">
        <f aca="true" t="shared" si="23" ref="B63:N63">SUM(B58:B62)-B45</f>
        <v>0</v>
      </c>
      <c r="C63" s="68">
        <f t="shared" si="23"/>
        <v>0</v>
      </c>
      <c r="D63" s="68">
        <f t="shared" si="23"/>
        <v>0</v>
      </c>
      <c r="E63" s="68">
        <f t="shared" si="23"/>
        <v>0</v>
      </c>
      <c r="F63" s="68">
        <f>SUM(F58:F62)-F45</f>
        <v>0</v>
      </c>
      <c r="G63" s="68">
        <f>SUM(G58:G62)-G45</f>
        <v>0</v>
      </c>
      <c r="H63" s="68">
        <f t="shared" si="23"/>
        <v>0</v>
      </c>
      <c r="I63" s="68">
        <f t="shared" si="23"/>
        <v>0</v>
      </c>
      <c r="J63" s="68">
        <f t="shared" si="23"/>
        <v>0.009999999999763531</v>
      </c>
      <c r="K63" s="68">
        <f t="shared" si="23"/>
        <v>0</v>
      </c>
      <c r="L63" s="68">
        <f t="shared" si="23"/>
        <v>-0.010000000000019327</v>
      </c>
      <c r="M63" s="68">
        <f t="shared" si="23"/>
        <v>0</v>
      </c>
      <c r="N63" s="68">
        <f t="shared" si="23"/>
        <v>0</v>
      </c>
    </row>
    <row r="65" spans="1:14" ht="12.75">
      <c r="A65" s="40">
        <v>38168</v>
      </c>
      <c r="B65" s="50">
        <f>+'Volumetric new rates'!K103+'Volumetric new rates'!K104</f>
        <v>196306.11000000002</v>
      </c>
      <c r="C65" s="50">
        <f>+'Service Charges new rates'!K52+'Service Charges new rates'!K53+'Service Charges new rates'!K54</f>
        <v>361668.47000000003</v>
      </c>
      <c r="D65" s="50">
        <f>+'Volumetric new rates'!K79+'Volumetric new rates'!K80</f>
        <v>42094.909999999996</v>
      </c>
      <c r="E65" s="50">
        <f>+'Service Charges new rates'!K27</f>
        <v>60838.03</v>
      </c>
      <c r="F65" s="50">
        <f>+'Volumetric new rates'!K78</f>
        <v>1271.44</v>
      </c>
      <c r="G65" s="50">
        <f>+'Service Charges new rates'!K28</f>
        <v>12626.13</v>
      </c>
      <c r="H65" s="50">
        <f>+'Volumetric new rates'!K131+'Volumetric new rates'!K132</f>
        <v>299150.80000000005</v>
      </c>
      <c r="I65" s="50">
        <f>+'Service Charges new rates'!K6+'Service Charges new rates'!K7</f>
        <v>121535.53</v>
      </c>
      <c r="J65" s="50">
        <f>+'Volumetric new rates'!K119</f>
        <v>2802.25</v>
      </c>
      <c r="K65" s="50">
        <f>+'Service Charges new rates'!K76</f>
        <v>2551.5</v>
      </c>
      <c r="L65" s="50">
        <f>+'Volumetric new rates'!K17+'Volumetric new rates'!K18+'Volumetric new rates'!K19+'Volumetric new rates'!K20+'Volumetric new rates'!K21+'Volumetric new rates'!K22+'Volumetric new rates'!K23</f>
        <v>183.66000000000003</v>
      </c>
      <c r="M65" s="50">
        <f>+'Service Charges new rates'!K102+'Service Charges new rates'!K103+'Service Charges new rates'!K104+'Service Charges new rates'!K105+'Service Charges new rates'!K106+'Service Charges new rates'!K107+'Service Charges new rates'!K108</f>
        <v>241.18</v>
      </c>
      <c r="N65" s="51">
        <f>SUM(B65:M65)</f>
        <v>1101270.01</v>
      </c>
    </row>
    <row r="66" spans="1:14" ht="12.75">
      <c r="A66" s="49" t="s">
        <v>109</v>
      </c>
      <c r="B66" s="66">
        <v>0</v>
      </c>
      <c r="C66" s="66">
        <v>0</v>
      </c>
      <c r="D66" s="66">
        <v>0</v>
      </c>
      <c r="E66" s="66">
        <v>0</v>
      </c>
      <c r="F66" s="66"/>
      <c r="G66" s="66"/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/>
    </row>
    <row r="67" spans="1:14" ht="12.75">
      <c r="A67" s="49" t="s">
        <v>100</v>
      </c>
      <c r="B67" s="51">
        <f aca="true" t="shared" si="24" ref="B67:M67">+B65+B66</f>
        <v>196306.11000000002</v>
      </c>
      <c r="C67" s="51">
        <f t="shared" si="24"/>
        <v>361668.47000000003</v>
      </c>
      <c r="D67" s="51">
        <f t="shared" si="24"/>
        <v>42094.909999999996</v>
      </c>
      <c r="E67" s="51">
        <f t="shared" si="24"/>
        <v>60838.03</v>
      </c>
      <c r="F67" s="51">
        <f>+F65+F66</f>
        <v>1271.44</v>
      </c>
      <c r="G67" s="51">
        <f>+G65+G66</f>
        <v>12626.13</v>
      </c>
      <c r="H67" s="51">
        <f t="shared" si="24"/>
        <v>299150.80000000005</v>
      </c>
      <c r="I67" s="51">
        <f t="shared" si="24"/>
        <v>121535.53</v>
      </c>
      <c r="J67" s="51">
        <f t="shared" si="24"/>
        <v>2802.25</v>
      </c>
      <c r="K67" s="51">
        <f t="shared" si="24"/>
        <v>2551.5</v>
      </c>
      <c r="L67" s="51">
        <f t="shared" si="24"/>
        <v>183.66000000000003</v>
      </c>
      <c r="M67" s="51">
        <f t="shared" si="24"/>
        <v>241.18</v>
      </c>
      <c r="N67" s="51"/>
    </row>
    <row r="69" spans="1:13" ht="12.75">
      <c r="A69" s="49" t="s">
        <v>101</v>
      </c>
      <c r="B69" s="53">
        <f aca="true" t="shared" si="25" ref="B69:M69">+B67/B76</f>
        <v>18695820</v>
      </c>
      <c r="C69" s="53">
        <f t="shared" si="25"/>
        <v>31614.37674825175</v>
      </c>
      <c r="D69" s="53">
        <f t="shared" si="25"/>
        <v>7257743.1034482755</v>
      </c>
      <c r="E69" s="53">
        <f t="shared" si="25"/>
        <v>2441.333467094703</v>
      </c>
      <c r="F69" s="53">
        <f t="shared" si="25"/>
        <v>219213.7931034483</v>
      </c>
      <c r="G69" s="53">
        <f t="shared" si="25"/>
        <v>506.6665329052969</v>
      </c>
      <c r="H69" s="53">
        <f t="shared" si="25"/>
        <v>122452.2308636922</v>
      </c>
      <c r="I69" s="53">
        <f t="shared" si="25"/>
        <v>385.53333967770584</v>
      </c>
      <c r="J69" s="53">
        <f t="shared" si="25"/>
        <v>1572.0015707393695</v>
      </c>
      <c r="K69" s="53">
        <f t="shared" si="25"/>
        <v>8505</v>
      </c>
      <c r="L69" s="53">
        <f t="shared" si="25"/>
        <v>146.04007633587787</v>
      </c>
      <c r="M69" s="53">
        <f t="shared" si="25"/>
        <v>778</v>
      </c>
    </row>
    <row r="70" spans="2:13" ht="12.7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</row>
    <row r="71" spans="1:13" ht="12.75" hidden="1">
      <c r="A71" s="49" t="s">
        <v>102</v>
      </c>
      <c r="B71" s="49">
        <f>B76-SUM(B72:B75)</f>
        <v>0.008483701578661906</v>
      </c>
      <c r="C71" s="49">
        <v>9.559660800731313</v>
      </c>
      <c r="D71" s="49">
        <v>0.003822302936326567</v>
      </c>
      <c r="E71" s="49">
        <v>21.086801262737474</v>
      </c>
      <c r="F71" s="49">
        <v>0.003822302936326567</v>
      </c>
      <c r="G71" s="49">
        <v>21.086801262737474</v>
      </c>
      <c r="H71" s="49">
        <v>1.6736846179655207</v>
      </c>
      <c r="I71" s="49">
        <v>265.22392433367145</v>
      </c>
      <c r="J71" s="49">
        <v>0.9054668148022766</v>
      </c>
      <c r="K71" s="49">
        <v>0.25491696919646656</v>
      </c>
      <c r="L71" s="49">
        <v>0.8361829790427533</v>
      </c>
      <c r="M71" s="49">
        <v>0.26607964226321296</v>
      </c>
    </row>
    <row r="72" spans="1:13" ht="12.75" hidden="1">
      <c r="A72" s="49" t="s">
        <v>110</v>
      </c>
      <c r="B72" s="49">
        <v>0.0027897684213380935</v>
      </c>
      <c r="C72" s="49">
        <v>0</v>
      </c>
      <c r="D72" s="49">
        <v>0.0015725370636734328</v>
      </c>
      <c r="E72" s="49">
        <v>0</v>
      </c>
      <c r="F72" s="49">
        <v>0.0015725370636734328</v>
      </c>
      <c r="G72" s="49">
        <v>0</v>
      </c>
      <c r="H72" s="49">
        <v>0.35860338203447933</v>
      </c>
      <c r="I72" s="49">
        <v>0</v>
      </c>
      <c r="J72" s="49">
        <v>0.5304609851977236</v>
      </c>
      <c r="K72" s="49">
        <v>0</v>
      </c>
      <c r="L72" s="49">
        <v>0.1670048389572467</v>
      </c>
      <c r="M72" s="49">
        <v>0</v>
      </c>
    </row>
    <row r="73" spans="1:12" ht="12.75" hidden="1">
      <c r="A73" s="49" t="s">
        <v>111</v>
      </c>
      <c r="B73" s="49">
        <v>0.001412</v>
      </c>
      <c r="D73" s="49">
        <v>0.001412</v>
      </c>
      <c r="F73" s="49">
        <v>0.001412</v>
      </c>
      <c r="H73" s="49">
        <v>0.544419</v>
      </c>
      <c r="J73" s="49">
        <v>0.511894</v>
      </c>
      <c r="L73" s="49">
        <v>0.553139</v>
      </c>
    </row>
    <row r="74" spans="1:12" ht="12.75" hidden="1">
      <c r="A74" s="49" t="s">
        <v>112</v>
      </c>
      <c r="B74" s="49">
        <v>0.000301</v>
      </c>
      <c r="D74" s="49">
        <v>0.00017</v>
      </c>
      <c r="F74" s="49">
        <v>0.00017</v>
      </c>
      <c r="H74" s="49">
        <v>0.038694</v>
      </c>
      <c r="J74" s="49">
        <v>0.057238</v>
      </c>
      <c r="L74" s="49">
        <v>0.01802</v>
      </c>
    </row>
    <row r="75" spans="1:13" ht="12.75" hidden="1">
      <c r="A75" s="49" t="s">
        <v>113</v>
      </c>
      <c r="B75" s="49">
        <v>-0.00248647</v>
      </c>
      <c r="C75" s="49">
        <v>1.8803391992686862</v>
      </c>
      <c r="D75" s="49">
        <v>-0.00117684</v>
      </c>
      <c r="E75" s="49">
        <v>3.833198737262528</v>
      </c>
      <c r="F75" s="49">
        <v>-0.00117684</v>
      </c>
      <c r="G75" s="49">
        <v>3.833198737262528</v>
      </c>
      <c r="H75" s="49">
        <v>-0.172401</v>
      </c>
      <c r="I75" s="49">
        <v>50.01607566632856</v>
      </c>
      <c r="J75" s="49">
        <v>-0.2224598</v>
      </c>
      <c r="K75" s="49">
        <v>0.04508303080353343</v>
      </c>
      <c r="L75" s="49">
        <v>-0.316746818</v>
      </c>
      <c r="M75" s="49">
        <v>0.04392035773678704</v>
      </c>
    </row>
    <row r="76" spans="1:13" ht="12.75" hidden="1">
      <c r="A76" s="49" t="s">
        <v>106</v>
      </c>
      <c r="B76" s="54">
        <v>0.0105</v>
      </c>
      <c r="C76" s="54">
        <v>11.44</v>
      </c>
      <c r="D76" s="54">
        <v>0.0058</v>
      </c>
      <c r="E76" s="54">
        <v>24.92</v>
      </c>
      <c r="F76" s="54">
        <v>0.0058</v>
      </c>
      <c r="G76" s="54">
        <v>24.92</v>
      </c>
      <c r="H76" s="54">
        <v>2.443</v>
      </c>
      <c r="I76" s="54">
        <v>315.24</v>
      </c>
      <c r="J76" s="54">
        <v>1.7826</v>
      </c>
      <c r="K76" s="55">
        <v>0.3</v>
      </c>
      <c r="L76" s="54">
        <v>1.2576</v>
      </c>
      <c r="M76" s="55">
        <v>0.31</v>
      </c>
    </row>
    <row r="77" spans="3:14" ht="12.75" hidden="1">
      <c r="C77" s="56"/>
      <c r="D77" s="69"/>
      <c r="E77" s="56"/>
      <c r="G77" s="56"/>
      <c r="I77" s="56"/>
      <c r="K77" s="56"/>
      <c r="M77" s="56"/>
      <c r="N77" s="70">
        <f>+A65</f>
        <v>38168</v>
      </c>
    </row>
    <row r="78" spans="1:14" ht="12.75">
      <c r="A78" s="58" t="s">
        <v>102</v>
      </c>
      <c r="B78" s="59">
        <f>ROUND(B69*B71,2)</f>
        <v>158609.76</v>
      </c>
      <c r="C78" s="59">
        <f aca="true" t="shared" si="26" ref="C78:M78">ROUND(C69*C71,2)</f>
        <v>302222.72</v>
      </c>
      <c r="D78" s="59">
        <f t="shared" si="26"/>
        <v>27741.29</v>
      </c>
      <c r="E78" s="59">
        <f t="shared" si="26"/>
        <v>51479.91</v>
      </c>
      <c r="F78" s="59">
        <f t="shared" si="26"/>
        <v>837.9</v>
      </c>
      <c r="G78" s="59">
        <f t="shared" si="26"/>
        <v>10683.98</v>
      </c>
      <c r="H78" s="59">
        <f t="shared" si="26"/>
        <v>204946.42</v>
      </c>
      <c r="I78" s="59">
        <f t="shared" si="26"/>
        <v>102252.67</v>
      </c>
      <c r="J78" s="59">
        <f t="shared" si="26"/>
        <v>1423.4</v>
      </c>
      <c r="K78" s="59">
        <f t="shared" si="26"/>
        <v>2168.07</v>
      </c>
      <c r="L78" s="59">
        <f t="shared" si="26"/>
        <v>122.12</v>
      </c>
      <c r="M78" s="59">
        <f t="shared" si="26"/>
        <v>207.01</v>
      </c>
      <c r="N78" s="60">
        <f>SUM(B78:M78)</f>
        <v>862695.25</v>
      </c>
    </row>
    <row r="79" spans="1:15" ht="12.75">
      <c r="A79" s="61" t="s">
        <v>114</v>
      </c>
      <c r="B79" s="62">
        <f>ROUND(B69*B72,2)</f>
        <v>52157.01</v>
      </c>
      <c r="C79" s="62">
        <f aca="true" t="shared" si="27" ref="C79:M79">ROUND(C69*C72,2)</f>
        <v>0</v>
      </c>
      <c r="D79" s="62">
        <f t="shared" si="27"/>
        <v>11413.07</v>
      </c>
      <c r="E79" s="62">
        <f t="shared" si="27"/>
        <v>0</v>
      </c>
      <c r="F79" s="62">
        <f t="shared" si="27"/>
        <v>344.72</v>
      </c>
      <c r="G79" s="62">
        <f t="shared" si="27"/>
        <v>0</v>
      </c>
      <c r="H79" s="62">
        <f t="shared" si="27"/>
        <v>43911.78</v>
      </c>
      <c r="I79" s="62">
        <f t="shared" si="27"/>
        <v>0</v>
      </c>
      <c r="J79" s="62">
        <f t="shared" si="27"/>
        <v>833.89</v>
      </c>
      <c r="K79" s="62">
        <f t="shared" si="27"/>
        <v>0</v>
      </c>
      <c r="L79" s="62">
        <f t="shared" si="27"/>
        <v>24.39</v>
      </c>
      <c r="M79" s="62">
        <f t="shared" si="27"/>
        <v>0</v>
      </c>
      <c r="N79" s="63">
        <f>SUM(B79:M79)</f>
        <v>108684.86</v>
      </c>
      <c r="O79" s="32"/>
    </row>
    <row r="80" spans="1:15" ht="12.75">
      <c r="A80" s="64" t="s">
        <v>111</v>
      </c>
      <c r="B80" s="62">
        <f>ROUND(B69*B73,2)</f>
        <v>26398.5</v>
      </c>
      <c r="C80" s="62">
        <f aca="true" t="shared" si="28" ref="C80:M80">ROUND(C69*C73,2)</f>
        <v>0</v>
      </c>
      <c r="D80" s="62">
        <f t="shared" si="28"/>
        <v>10247.93</v>
      </c>
      <c r="E80" s="62">
        <f t="shared" si="28"/>
        <v>0</v>
      </c>
      <c r="F80" s="62">
        <f t="shared" si="28"/>
        <v>309.53</v>
      </c>
      <c r="G80" s="62">
        <f t="shared" si="28"/>
        <v>0</v>
      </c>
      <c r="H80" s="62">
        <f t="shared" si="28"/>
        <v>66665.32</v>
      </c>
      <c r="I80" s="62">
        <f t="shared" si="28"/>
        <v>0</v>
      </c>
      <c r="J80" s="62">
        <f t="shared" si="28"/>
        <v>804.7</v>
      </c>
      <c r="K80" s="62">
        <f t="shared" si="28"/>
        <v>0</v>
      </c>
      <c r="L80" s="62">
        <f t="shared" si="28"/>
        <v>80.78</v>
      </c>
      <c r="M80" s="62">
        <f t="shared" si="28"/>
        <v>0</v>
      </c>
      <c r="N80" s="63">
        <f>SUM(B80:M80)</f>
        <v>104506.76</v>
      </c>
      <c r="O80" s="24"/>
    </row>
    <row r="81" spans="1:15" ht="12.75">
      <c r="A81" s="64" t="s">
        <v>112</v>
      </c>
      <c r="B81" s="62">
        <f>ROUND(B69*B74,2)</f>
        <v>5627.44</v>
      </c>
      <c r="C81" s="62">
        <f aca="true" t="shared" si="29" ref="C81:M81">ROUND(C69*C74,2)</f>
        <v>0</v>
      </c>
      <c r="D81" s="62">
        <f t="shared" si="29"/>
        <v>1233.82</v>
      </c>
      <c r="E81" s="62">
        <f t="shared" si="29"/>
        <v>0</v>
      </c>
      <c r="F81" s="62">
        <f t="shared" si="29"/>
        <v>37.27</v>
      </c>
      <c r="G81" s="62">
        <f t="shared" si="29"/>
        <v>0</v>
      </c>
      <c r="H81" s="62">
        <f t="shared" si="29"/>
        <v>4738.17</v>
      </c>
      <c r="I81" s="62">
        <f t="shared" si="29"/>
        <v>0</v>
      </c>
      <c r="J81" s="62">
        <f t="shared" si="29"/>
        <v>89.98</v>
      </c>
      <c r="K81" s="62">
        <f t="shared" si="29"/>
        <v>0</v>
      </c>
      <c r="L81" s="62">
        <f t="shared" si="29"/>
        <v>2.63</v>
      </c>
      <c r="M81" s="62">
        <f t="shared" si="29"/>
        <v>0</v>
      </c>
      <c r="N81" s="63">
        <f>SUM(B81:M81)</f>
        <v>11729.31</v>
      </c>
      <c r="O81" s="24"/>
    </row>
    <row r="82" spans="1:15" ht="12.75">
      <c r="A82" s="65" t="s">
        <v>113</v>
      </c>
      <c r="B82" s="66">
        <f aca="true" t="shared" si="30" ref="B82:M82">ROUND(B69*B75,2)</f>
        <v>-46486.6</v>
      </c>
      <c r="C82" s="66">
        <f t="shared" si="30"/>
        <v>59445.75</v>
      </c>
      <c r="D82" s="66">
        <f t="shared" si="30"/>
        <v>-8541.2</v>
      </c>
      <c r="E82" s="66">
        <f t="shared" si="30"/>
        <v>9358.12</v>
      </c>
      <c r="F82" s="66">
        <f t="shared" si="30"/>
        <v>-257.98</v>
      </c>
      <c r="G82" s="66">
        <f t="shared" si="30"/>
        <v>1942.15</v>
      </c>
      <c r="H82" s="66">
        <f t="shared" si="30"/>
        <v>-21110.89</v>
      </c>
      <c r="I82" s="66">
        <f t="shared" si="30"/>
        <v>19282.86</v>
      </c>
      <c r="J82" s="66">
        <f t="shared" si="30"/>
        <v>-349.71</v>
      </c>
      <c r="K82" s="66">
        <f t="shared" si="30"/>
        <v>383.43</v>
      </c>
      <c r="L82" s="66">
        <f t="shared" si="30"/>
        <v>-46.26</v>
      </c>
      <c r="M82" s="66">
        <f t="shared" si="30"/>
        <v>34.17</v>
      </c>
      <c r="N82" s="67">
        <f>SUM(B82:M82)</f>
        <v>13653.840000000004</v>
      </c>
      <c r="O82" s="24"/>
    </row>
    <row r="83" spans="2:14" ht="12.75">
      <c r="B83" s="68">
        <f aca="true" t="shared" si="31" ref="B83:N83">SUM(B78:B82)-B65</f>
        <v>0</v>
      </c>
      <c r="C83" s="68">
        <f t="shared" si="31"/>
        <v>0</v>
      </c>
      <c r="D83" s="68">
        <f t="shared" si="31"/>
        <v>0</v>
      </c>
      <c r="E83" s="68">
        <f t="shared" si="31"/>
        <v>0</v>
      </c>
      <c r="F83" s="68">
        <f>SUM(F78:F82)-F65</f>
        <v>0</v>
      </c>
      <c r="G83" s="68">
        <f>SUM(G78:G82)-G65</f>
        <v>0</v>
      </c>
      <c r="H83" s="68">
        <f t="shared" si="31"/>
        <v>0</v>
      </c>
      <c r="I83" s="68">
        <f t="shared" si="31"/>
        <v>0</v>
      </c>
      <c r="J83" s="68">
        <f t="shared" si="31"/>
        <v>0.009999999999763531</v>
      </c>
      <c r="K83" s="68">
        <f t="shared" si="31"/>
        <v>0</v>
      </c>
      <c r="L83" s="68">
        <f t="shared" si="31"/>
        <v>0</v>
      </c>
      <c r="M83" s="68">
        <f t="shared" si="31"/>
        <v>0</v>
      </c>
      <c r="N83" s="68">
        <f t="shared" si="31"/>
        <v>0.010000000009313226</v>
      </c>
    </row>
    <row r="85" spans="1:14" ht="12.75">
      <c r="A85" s="40">
        <v>38199</v>
      </c>
      <c r="B85" s="50">
        <f>+'Volumetric new rates'!K105+'Volumetric new rates'!K106</f>
        <v>220725.94</v>
      </c>
      <c r="C85" s="50">
        <f>+'Service Charges new rates'!K55+'Service Charges new rates'!K56+'Service Charges new rates'!K57</f>
        <v>362508.87000000005</v>
      </c>
      <c r="D85" s="50">
        <f>+'Volumetric new rates'!K82+'Volumetric new rates'!K83</f>
        <v>46799.58</v>
      </c>
      <c r="E85" s="50">
        <f>+'Service Charges new rates'!K29+'Service Charges new rates'!K30</f>
        <v>61165.28999999999</v>
      </c>
      <c r="F85" s="50">
        <f>+'Volumetric new rates'!K81</f>
        <v>1278.44</v>
      </c>
      <c r="G85" s="50">
        <f>+'Service Charges new rates'!K31</f>
        <v>12717.5</v>
      </c>
      <c r="H85" s="50">
        <f>+'Volumetric new rates'!K133+'Volumetric new rates'!K134</f>
        <v>306507.94</v>
      </c>
      <c r="I85" s="50">
        <f>+'Service Charges new rates'!K8+'Service Charges new rates'!K9</f>
        <v>122460.24</v>
      </c>
      <c r="J85" s="50">
        <f>+'Volumetric new rates'!K120</f>
        <v>2852.16</v>
      </c>
      <c r="K85" s="50">
        <f>+'Service Charges new rates'!K77</f>
        <v>2593.8</v>
      </c>
      <c r="L85" s="50">
        <f>+'Volumetric new rates'!K25+'Volumetric new rates'!K26+'Volumetric new rates'!K27+'Volumetric new rates'!K28+'Volumetric new rates'!K29+'Volumetric new rates'!K30+'Volumetric new rates'!K31</f>
        <v>184</v>
      </c>
      <c r="M85" s="50">
        <f>+'Service Charges new rates'!K110+'Service Charges new rates'!K111+'Service Charges new rates'!K112+'Service Charges new rates'!K113+'Service Charges new rates'!K114+'Service Charges new rates'!K115+'Service Charges new rates'!K116</f>
        <v>241.65</v>
      </c>
      <c r="N85" s="51">
        <f>SUM(B85:M85)</f>
        <v>1140035.41</v>
      </c>
    </row>
    <row r="86" spans="1:14" ht="12.75">
      <c r="A86" s="49" t="s">
        <v>109</v>
      </c>
      <c r="B86" s="66">
        <v>0</v>
      </c>
      <c r="C86" s="66">
        <v>0</v>
      </c>
      <c r="D86" s="66">
        <v>0</v>
      </c>
      <c r="E86" s="66">
        <v>0</v>
      </c>
      <c r="F86" s="66"/>
      <c r="G86" s="66"/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/>
    </row>
    <row r="87" spans="1:14" ht="12.75">
      <c r="A87" s="49" t="s">
        <v>100</v>
      </c>
      <c r="B87" s="51">
        <f aca="true" t="shared" si="32" ref="B87:M87">+B85+B86</f>
        <v>220725.94</v>
      </c>
      <c r="C87" s="51">
        <f t="shared" si="32"/>
        <v>362508.87000000005</v>
      </c>
      <c r="D87" s="51">
        <f t="shared" si="32"/>
        <v>46799.58</v>
      </c>
      <c r="E87" s="51">
        <f t="shared" si="32"/>
        <v>61165.28999999999</v>
      </c>
      <c r="F87" s="51">
        <f>+F85+F86</f>
        <v>1278.44</v>
      </c>
      <c r="G87" s="51">
        <f>+G85+G86</f>
        <v>12717.5</v>
      </c>
      <c r="H87" s="51">
        <f t="shared" si="32"/>
        <v>306507.94</v>
      </c>
      <c r="I87" s="51">
        <f t="shared" si="32"/>
        <v>122460.24</v>
      </c>
      <c r="J87" s="51">
        <f t="shared" si="32"/>
        <v>2852.16</v>
      </c>
      <c r="K87" s="51">
        <f t="shared" si="32"/>
        <v>2593.8</v>
      </c>
      <c r="L87" s="51">
        <f t="shared" si="32"/>
        <v>184</v>
      </c>
      <c r="M87" s="51">
        <f t="shared" si="32"/>
        <v>241.65</v>
      </c>
      <c r="N87" s="51"/>
    </row>
    <row r="89" spans="1:13" ht="12.75">
      <c r="A89" s="49" t="s">
        <v>101</v>
      </c>
      <c r="B89" s="53">
        <f aca="true" t="shared" si="33" ref="B89:M89">+B87/B96</f>
        <v>21021518.095238093</v>
      </c>
      <c r="C89" s="53">
        <f t="shared" si="33"/>
        <v>31687.838286713293</v>
      </c>
      <c r="D89" s="53">
        <f t="shared" si="33"/>
        <v>8068893.103448276</v>
      </c>
      <c r="E89" s="53">
        <f t="shared" si="33"/>
        <v>2454.4658908507217</v>
      </c>
      <c r="F89" s="53">
        <f t="shared" si="33"/>
        <v>220420.68965517243</v>
      </c>
      <c r="G89" s="53">
        <f t="shared" si="33"/>
        <v>510.3330658105939</v>
      </c>
      <c r="H89" s="53">
        <f t="shared" si="33"/>
        <v>125463.74948833401</v>
      </c>
      <c r="I89" s="53">
        <f t="shared" si="33"/>
        <v>388.46669204415684</v>
      </c>
      <c r="J89" s="53">
        <f t="shared" si="33"/>
        <v>1600</v>
      </c>
      <c r="K89" s="53">
        <f t="shared" si="33"/>
        <v>8646.000000000002</v>
      </c>
      <c r="L89" s="53">
        <f t="shared" si="33"/>
        <v>146.31043256997455</v>
      </c>
      <c r="M89" s="53">
        <f t="shared" si="33"/>
        <v>779.516129032258</v>
      </c>
    </row>
    <row r="90" spans="2:13" ht="12.7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</row>
    <row r="91" spans="1:13" ht="12.75" hidden="1">
      <c r="A91" s="49" t="s">
        <v>102</v>
      </c>
      <c r="B91" s="49">
        <f>B96-SUM(B92:B95)</f>
        <v>0.008483701578661906</v>
      </c>
      <c r="C91" s="49">
        <v>9.559660800731313</v>
      </c>
      <c r="D91" s="49">
        <v>0.003822302936326567</v>
      </c>
      <c r="E91" s="49">
        <v>21.086801262737474</v>
      </c>
      <c r="F91" s="49">
        <v>0.003822302936326567</v>
      </c>
      <c r="G91" s="49">
        <v>21.086801262737474</v>
      </c>
      <c r="H91" s="49">
        <v>1.6736846179655207</v>
      </c>
      <c r="I91" s="49">
        <v>265.22392433367145</v>
      </c>
      <c r="J91" s="49">
        <v>0.9054668148022766</v>
      </c>
      <c r="K91" s="49">
        <v>0.25491696919646656</v>
      </c>
      <c r="L91" s="49">
        <v>0.8361829790427533</v>
      </c>
      <c r="M91" s="49">
        <v>0.26607964226321296</v>
      </c>
    </row>
    <row r="92" spans="1:13" ht="12.75" hidden="1">
      <c r="A92" s="49" t="s">
        <v>110</v>
      </c>
      <c r="B92" s="49">
        <v>0.0027897684213380935</v>
      </c>
      <c r="C92" s="49">
        <v>0</v>
      </c>
      <c r="D92" s="49">
        <v>0.0015725370636734328</v>
      </c>
      <c r="E92" s="49">
        <v>0</v>
      </c>
      <c r="F92" s="49">
        <v>0.0015725370636734328</v>
      </c>
      <c r="G92" s="49">
        <v>0</v>
      </c>
      <c r="H92" s="49">
        <v>0.35860338203447933</v>
      </c>
      <c r="I92" s="49">
        <v>0</v>
      </c>
      <c r="J92" s="49">
        <v>0.5304609851977236</v>
      </c>
      <c r="K92" s="49">
        <v>0</v>
      </c>
      <c r="L92" s="49">
        <v>0.1670048389572467</v>
      </c>
      <c r="M92" s="49">
        <v>0</v>
      </c>
    </row>
    <row r="93" spans="1:12" ht="12.75" hidden="1">
      <c r="A93" s="49" t="s">
        <v>111</v>
      </c>
      <c r="B93" s="49">
        <v>0.001412</v>
      </c>
      <c r="D93" s="49">
        <v>0.001412</v>
      </c>
      <c r="F93" s="49">
        <v>0.001412</v>
      </c>
      <c r="H93" s="49">
        <v>0.544419</v>
      </c>
      <c r="J93" s="49">
        <v>0.511894</v>
      </c>
      <c r="L93" s="49">
        <v>0.553139</v>
      </c>
    </row>
    <row r="94" spans="1:12" ht="12.75" hidden="1">
      <c r="A94" s="49" t="s">
        <v>112</v>
      </c>
      <c r="B94" s="49">
        <v>0.000301</v>
      </c>
      <c r="D94" s="49">
        <v>0.00017</v>
      </c>
      <c r="F94" s="49">
        <v>0.00017</v>
      </c>
      <c r="H94" s="49">
        <v>0.038694</v>
      </c>
      <c r="J94" s="49">
        <v>0.057238</v>
      </c>
      <c r="L94" s="49">
        <v>0.01802</v>
      </c>
    </row>
    <row r="95" spans="1:13" ht="12.75" hidden="1">
      <c r="A95" s="49" t="s">
        <v>113</v>
      </c>
      <c r="B95" s="49">
        <v>-0.00248647</v>
      </c>
      <c r="C95" s="49">
        <v>1.8803391992686862</v>
      </c>
      <c r="D95" s="49">
        <v>-0.00117684</v>
      </c>
      <c r="E95" s="49">
        <v>3.833198737262528</v>
      </c>
      <c r="F95" s="49">
        <v>-0.00117684</v>
      </c>
      <c r="G95" s="49">
        <v>3.833198737262528</v>
      </c>
      <c r="H95" s="49">
        <v>-0.172401</v>
      </c>
      <c r="I95" s="49">
        <v>50.01607566632856</v>
      </c>
      <c r="J95" s="49">
        <v>-0.2224598</v>
      </c>
      <c r="K95" s="49">
        <v>0.04508303080353343</v>
      </c>
      <c r="L95" s="49">
        <v>-0.316746818</v>
      </c>
      <c r="M95" s="49">
        <v>0.04392035773678704</v>
      </c>
    </row>
    <row r="96" spans="1:13" ht="12.75" hidden="1">
      <c r="A96" s="49" t="s">
        <v>106</v>
      </c>
      <c r="B96" s="54">
        <v>0.0105</v>
      </c>
      <c r="C96" s="54">
        <v>11.44</v>
      </c>
      <c r="D96" s="54">
        <v>0.0058</v>
      </c>
      <c r="E96" s="54">
        <v>24.92</v>
      </c>
      <c r="F96" s="54">
        <v>0.0058</v>
      </c>
      <c r="G96" s="54">
        <v>24.92</v>
      </c>
      <c r="H96" s="54">
        <v>2.443</v>
      </c>
      <c r="I96" s="54">
        <v>315.24</v>
      </c>
      <c r="J96" s="54">
        <v>1.7826</v>
      </c>
      <c r="K96" s="55">
        <v>0.3</v>
      </c>
      <c r="L96" s="54">
        <v>1.2576</v>
      </c>
      <c r="M96" s="55">
        <v>0.31</v>
      </c>
    </row>
    <row r="97" spans="3:14" ht="12.75" hidden="1">
      <c r="C97" s="56"/>
      <c r="D97" s="69"/>
      <c r="E97" s="56"/>
      <c r="G97" s="56"/>
      <c r="I97" s="56"/>
      <c r="K97" s="56"/>
      <c r="M97" s="56"/>
      <c r="N97" s="70">
        <f>+A85</f>
        <v>38199</v>
      </c>
    </row>
    <row r="98" spans="1:14" ht="12.75">
      <c r="A98" s="58" t="s">
        <v>102</v>
      </c>
      <c r="B98" s="59">
        <f>ROUND(B89*B91,2)</f>
        <v>178340.29</v>
      </c>
      <c r="C98" s="59">
        <f aca="true" t="shared" si="34" ref="C98:M98">ROUND(C89*C91,2)</f>
        <v>302924.99</v>
      </c>
      <c r="D98" s="59">
        <f t="shared" si="34"/>
        <v>30841.75</v>
      </c>
      <c r="E98" s="59">
        <f t="shared" si="34"/>
        <v>51756.83</v>
      </c>
      <c r="F98" s="59">
        <f t="shared" si="34"/>
        <v>842.51</v>
      </c>
      <c r="G98" s="59">
        <f t="shared" si="34"/>
        <v>10761.29</v>
      </c>
      <c r="H98" s="59">
        <f t="shared" si="34"/>
        <v>209986.75</v>
      </c>
      <c r="I98" s="59">
        <f t="shared" si="34"/>
        <v>103030.66</v>
      </c>
      <c r="J98" s="59">
        <f t="shared" si="34"/>
        <v>1448.75</v>
      </c>
      <c r="K98" s="59">
        <f t="shared" si="34"/>
        <v>2204.01</v>
      </c>
      <c r="L98" s="59">
        <f t="shared" si="34"/>
        <v>122.34</v>
      </c>
      <c r="M98" s="59">
        <f t="shared" si="34"/>
        <v>207.41</v>
      </c>
      <c r="N98" s="60">
        <f>SUM(B98:M98)</f>
        <v>892467.5800000001</v>
      </c>
    </row>
    <row r="99" spans="1:15" ht="12.75">
      <c r="A99" s="61" t="s">
        <v>114</v>
      </c>
      <c r="B99" s="62">
        <f>ROUND(B89*B92,2)</f>
        <v>58645.17</v>
      </c>
      <c r="C99" s="62">
        <f aca="true" t="shared" si="35" ref="C99:M99">ROUND(C89*C92,2)</f>
        <v>0</v>
      </c>
      <c r="D99" s="62">
        <f t="shared" si="35"/>
        <v>12688.63</v>
      </c>
      <c r="E99" s="62">
        <f t="shared" si="35"/>
        <v>0</v>
      </c>
      <c r="F99" s="62">
        <f t="shared" si="35"/>
        <v>346.62</v>
      </c>
      <c r="G99" s="62">
        <f t="shared" si="35"/>
        <v>0</v>
      </c>
      <c r="H99" s="62">
        <f t="shared" si="35"/>
        <v>44991.72</v>
      </c>
      <c r="I99" s="62">
        <f t="shared" si="35"/>
        <v>0</v>
      </c>
      <c r="J99" s="62">
        <f t="shared" si="35"/>
        <v>848.74</v>
      </c>
      <c r="K99" s="62">
        <f t="shared" si="35"/>
        <v>0</v>
      </c>
      <c r="L99" s="62">
        <f t="shared" si="35"/>
        <v>24.43</v>
      </c>
      <c r="M99" s="62">
        <f t="shared" si="35"/>
        <v>0</v>
      </c>
      <c r="N99" s="63">
        <f>SUM(B99:M99)</f>
        <v>117545.31</v>
      </c>
      <c r="O99" s="32"/>
    </row>
    <row r="100" spans="1:15" ht="12.75">
      <c r="A100" s="64" t="s">
        <v>111</v>
      </c>
      <c r="B100" s="62">
        <f>ROUND(B89*B93,2)</f>
        <v>29682.38</v>
      </c>
      <c r="C100" s="62">
        <f aca="true" t="shared" si="36" ref="C100:M100">ROUND(C89*C93,2)</f>
        <v>0</v>
      </c>
      <c r="D100" s="62">
        <f t="shared" si="36"/>
        <v>11393.28</v>
      </c>
      <c r="E100" s="62">
        <f t="shared" si="36"/>
        <v>0</v>
      </c>
      <c r="F100" s="62">
        <f t="shared" si="36"/>
        <v>311.23</v>
      </c>
      <c r="G100" s="62">
        <f t="shared" si="36"/>
        <v>0</v>
      </c>
      <c r="H100" s="62">
        <f t="shared" si="36"/>
        <v>68304.85</v>
      </c>
      <c r="I100" s="62">
        <f t="shared" si="36"/>
        <v>0</v>
      </c>
      <c r="J100" s="62">
        <f t="shared" si="36"/>
        <v>819.03</v>
      </c>
      <c r="K100" s="62">
        <f t="shared" si="36"/>
        <v>0</v>
      </c>
      <c r="L100" s="62">
        <f t="shared" si="36"/>
        <v>80.93</v>
      </c>
      <c r="M100" s="62">
        <f t="shared" si="36"/>
        <v>0</v>
      </c>
      <c r="N100" s="63">
        <f>SUM(B100:M100)</f>
        <v>110591.70000000001</v>
      </c>
      <c r="O100" s="24"/>
    </row>
    <row r="101" spans="1:15" ht="12.75">
      <c r="A101" s="64" t="s">
        <v>112</v>
      </c>
      <c r="B101" s="62">
        <f>ROUND(B89*B94,2)</f>
        <v>6327.48</v>
      </c>
      <c r="C101" s="62">
        <f aca="true" t="shared" si="37" ref="C101:M101">ROUND(C89*C94,2)</f>
        <v>0</v>
      </c>
      <c r="D101" s="62">
        <f t="shared" si="37"/>
        <v>1371.71</v>
      </c>
      <c r="E101" s="62">
        <f t="shared" si="37"/>
        <v>0</v>
      </c>
      <c r="F101" s="62">
        <f t="shared" si="37"/>
        <v>37.47</v>
      </c>
      <c r="G101" s="62">
        <f t="shared" si="37"/>
        <v>0</v>
      </c>
      <c r="H101" s="62">
        <f t="shared" si="37"/>
        <v>4854.69</v>
      </c>
      <c r="I101" s="62">
        <f t="shared" si="37"/>
        <v>0</v>
      </c>
      <c r="J101" s="62">
        <f t="shared" si="37"/>
        <v>91.58</v>
      </c>
      <c r="K101" s="62">
        <f t="shared" si="37"/>
        <v>0</v>
      </c>
      <c r="L101" s="62">
        <f t="shared" si="37"/>
        <v>2.64</v>
      </c>
      <c r="M101" s="62">
        <f t="shared" si="37"/>
        <v>0</v>
      </c>
      <c r="N101" s="63">
        <f>SUM(B101:M101)</f>
        <v>12685.569999999998</v>
      </c>
      <c r="O101" s="24"/>
    </row>
    <row r="102" spans="1:15" ht="12.75">
      <c r="A102" s="65" t="s">
        <v>113</v>
      </c>
      <c r="B102" s="66">
        <f aca="true" t="shared" si="38" ref="B102:M102">ROUND(B89*B95,2)</f>
        <v>-52269.37</v>
      </c>
      <c r="C102" s="66">
        <f t="shared" si="38"/>
        <v>59583.88</v>
      </c>
      <c r="D102" s="66">
        <f t="shared" si="38"/>
        <v>-9495.8</v>
      </c>
      <c r="E102" s="66">
        <f t="shared" si="38"/>
        <v>9408.46</v>
      </c>
      <c r="F102" s="66">
        <f t="shared" si="38"/>
        <v>-259.4</v>
      </c>
      <c r="G102" s="66">
        <f t="shared" si="38"/>
        <v>1956.21</v>
      </c>
      <c r="H102" s="66">
        <f t="shared" si="38"/>
        <v>-21630.08</v>
      </c>
      <c r="I102" s="66">
        <f t="shared" si="38"/>
        <v>19429.58</v>
      </c>
      <c r="J102" s="66">
        <f t="shared" si="38"/>
        <v>-355.94</v>
      </c>
      <c r="K102" s="66">
        <f t="shared" si="38"/>
        <v>389.79</v>
      </c>
      <c r="L102" s="66">
        <f t="shared" si="38"/>
        <v>-46.34</v>
      </c>
      <c r="M102" s="66">
        <f t="shared" si="38"/>
        <v>34.24</v>
      </c>
      <c r="N102" s="67">
        <f>SUM(B102:M102)</f>
        <v>6745.229999999996</v>
      </c>
      <c r="O102" s="24"/>
    </row>
    <row r="103" spans="2:14" ht="12.75">
      <c r="B103" s="68">
        <f aca="true" t="shared" si="39" ref="B103:N103">SUM(B98:B102)-B85</f>
        <v>0.010000000009313226</v>
      </c>
      <c r="C103" s="68">
        <f t="shared" si="39"/>
        <v>0</v>
      </c>
      <c r="D103" s="68">
        <f t="shared" si="39"/>
        <v>-0.010000000009313226</v>
      </c>
      <c r="E103" s="68">
        <f t="shared" si="39"/>
        <v>0</v>
      </c>
      <c r="F103" s="68">
        <f>SUM(F98:F102)-F85</f>
        <v>-0.009999999999763531</v>
      </c>
      <c r="G103" s="68">
        <f>SUM(G98:G102)-G85</f>
        <v>0</v>
      </c>
      <c r="H103" s="68">
        <f t="shared" si="39"/>
        <v>-0.010000000009313226</v>
      </c>
      <c r="I103" s="68">
        <f t="shared" si="39"/>
        <v>0</v>
      </c>
      <c r="J103" s="68">
        <f t="shared" si="39"/>
        <v>0</v>
      </c>
      <c r="K103" s="68">
        <f t="shared" si="39"/>
        <v>0</v>
      </c>
      <c r="L103" s="68">
        <f t="shared" si="39"/>
        <v>0</v>
      </c>
      <c r="M103" s="68">
        <f t="shared" si="39"/>
        <v>0</v>
      </c>
      <c r="N103" s="68">
        <f t="shared" si="39"/>
        <v>-0.019999999785795808</v>
      </c>
    </row>
    <row r="105" spans="1:14" ht="12.75">
      <c r="A105" s="40">
        <v>38230</v>
      </c>
      <c r="B105" s="50">
        <f>+'Volumetric new rates'!K107+'Volumetric new rates'!K108</f>
        <v>251862.81</v>
      </c>
      <c r="C105" s="50">
        <f>+'Service Charges new rates'!K58+'Service Charges new rates'!K59+'Service Charges new rates'!K60</f>
        <v>362630.62</v>
      </c>
      <c r="D105" s="50">
        <f>+'Volumetric new rates'!K85+'Volumetric new rates'!K86</f>
        <v>48844.57</v>
      </c>
      <c r="E105" s="50">
        <f>+'Service Charges new rates'!K32+'Service Charges new rates'!K33</f>
        <v>60710.899999999994</v>
      </c>
      <c r="F105" s="50">
        <f>+'Volumetric new rates'!K84</f>
        <v>1277.56</v>
      </c>
      <c r="G105" s="50">
        <f>+'Service Charges new rates'!K34</f>
        <v>12710.86</v>
      </c>
      <c r="H105" s="50">
        <f>+'Volumetric new rates'!K135+'Volumetric new rates'!K136</f>
        <v>296804.44</v>
      </c>
      <c r="I105" s="50">
        <f>+'Service Charges new rates'!K10+'Service Charges new rates'!K11</f>
        <v>121976.84999999999</v>
      </c>
      <c r="J105" s="50">
        <f>+'Volumetric new rates'!K121</f>
        <v>2871.77</v>
      </c>
      <c r="K105" s="50">
        <f>+'Service Charges new rates'!K78</f>
        <v>2604.6</v>
      </c>
      <c r="L105" s="50">
        <f>+'Volumetric new rates'!K33+'Volumetric new rates'!K34+'Volumetric new rates'!K35+'Volumetric new rates'!K36+'Volumetric new rates'!K37+'Volumetric new rates'!K38+'Volumetric new rates'!K39</f>
        <v>183.67000000000002</v>
      </c>
      <c r="M105" s="50">
        <f>+'Service Charges new rates'!K118+'Service Charges new rates'!K119+'Service Charges new rates'!K120+'Service Charges new rates'!K121+'Service Charges new rates'!K122+'Service Charges new rates'!K123+'Service Charges new rates'!K124</f>
        <v>241.29000000000002</v>
      </c>
      <c r="N105" s="51">
        <f>SUM(B105:M105)</f>
        <v>1162719.9400000002</v>
      </c>
    </row>
    <row r="106" spans="1:14" ht="12.75">
      <c r="A106" s="49" t="s">
        <v>109</v>
      </c>
      <c r="B106" s="66">
        <v>0</v>
      </c>
      <c r="C106" s="66">
        <v>0</v>
      </c>
      <c r="D106" s="66">
        <v>0</v>
      </c>
      <c r="E106" s="66">
        <v>0</v>
      </c>
      <c r="F106" s="66"/>
      <c r="G106" s="66"/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/>
    </row>
    <row r="107" spans="1:14" ht="12.75">
      <c r="A107" s="49" t="s">
        <v>100</v>
      </c>
      <c r="B107" s="51">
        <f aca="true" t="shared" si="40" ref="B107:M107">+B105+B106</f>
        <v>251862.81</v>
      </c>
      <c r="C107" s="51">
        <f t="shared" si="40"/>
        <v>362630.62</v>
      </c>
      <c r="D107" s="51">
        <f t="shared" si="40"/>
        <v>48844.57</v>
      </c>
      <c r="E107" s="51">
        <f t="shared" si="40"/>
        <v>60710.899999999994</v>
      </c>
      <c r="F107" s="51">
        <f>+F105+F106</f>
        <v>1277.56</v>
      </c>
      <c r="G107" s="51">
        <f>+G105+G106</f>
        <v>12710.86</v>
      </c>
      <c r="H107" s="51">
        <f t="shared" si="40"/>
        <v>296804.44</v>
      </c>
      <c r="I107" s="51">
        <f t="shared" si="40"/>
        <v>121976.84999999999</v>
      </c>
      <c r="J107" s="51">
        <f t="shared" si="40"/>
        <v>2871.77</v>
      </c>
      <c r="K107" s="51">
        <f t="shared" si="40"/>
        <v>2604.6</v>
      </c>
      <c r="L107" s="51">
        <f t="shared" si="40"/>
        <v>183.67000000000002</v>
      </c>
      <c r="M107" s="51">
        <f t="shared" si="40"/>
        <v>241.29000000000002</v>
      </c>
      <c r="N107" s="51"/>
    </row>
    <row r="109" spans="1:13" ht="12.75">
      <c r="A109" s="49" t="s">
        <v>101</v>
      </c>
      <c r="B109" s="53">
        <f aca="true" t="shared" si="41" ref="B109:M109">+B107/B116</f>
        <v>23986934.285714284</v>
      </c>
      <c r="C109" s="53">
        <f t="shared" si="41"/>
        <v>31698.48076923077</v>
      </c>
      <c r="D109" s="53">
        <f t="shared" si="41"/>
        <v>8421477.586206896</v>
      </c>
      <c r="E109" s="53">
        <f t="shared" si="41"/>
        <v>2436.2319422150877</v>
      </c>
      <c r="F109" s="53">
        <f t="shared" si="41"/>
        <v>220268.9655172414</v>
      </c>
      <c r="G109" s="53">
        <f t="shared" si="41"/>
        <v>510.06661316211876</v>
      </c>
      <c r="H109" s="53">
        <f t="shared" si="41"/>
        <v>121491.78878428161</v>
      </c>
      <c r="I109" s="53">
        <f t="shared" si="41"/>
        <v>386.9332889227255</v>
      </c>
      <c r="J109" s="53">
        <f t="shared" si="41"/>
        <v>1611.0007853696848</v>
      </c>
      <c r="K109" s="53">
        <f t="shared" si="41"/>
        <v>8682</v>
      </c>
      <c r="L109" s="53">
        <f t="shared" si="41"/>
        <v>146.0480279898219</v>
      </c>
      <c r="M109" s="53">
        <f t="shared" si="41"/>
        <v>778.3548387096774</v>
      </c>
    </row>
    <row r="110" spans="2:13" ht="12.75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</row>
    <row r="111" spans="1:13" ht="12.75" hidden="1">
      <c r="A111" s="49" t="s">
        <v>102</v>
      </c>
      <c r="B111" s="49">
        <f>B116-SUM(B112:B115)</f>
        <v>0.008483701578661906</v>
      </c>
      <c r="C111" s="49">
        <v>9.559660800731313</v>
      </c>
      <c r="D111" s="49">
        <v>0.003822302936326567</v>
      </c>
      <c r="E111" s="49">
        <v>21.086801262737474</v>
      </c>
      <c r="F111" s="49">
        <v>0.003822302936326567</v>
      </c>
      <c r="G111" s="49">
        <v>21.086801262737474</v>
      </c>
      <c r="H111" s="49">
        <v>1.6736846179655207</v>
      </c>
      <c r="I111" s="49">
        <v>265.22392433367145</v>
      </c>
      <c r="J111" s="49">
        <v>0.9054668148022766</v>
      </c>
      <c r="K111" s="49">
        <v>0.25491696919646656</v>
      </c>
      <c r="L111" s="49">
        <v>0.8361829790427533</v>
      </c>
      <c r="M111" s="49">
        <v>0.26607964226321296</v>
      </c>
    </row>
    <row r="112" spans="1:13" ht="12.75" hidden="1">
      <c r="A112" s="49" t="s">
        <v>110</v>
      </c>
      <c r="B112" s="49">
        <v>0.0027897684213380935</v>
      </c>
      <c r="C112" s="49">
        <v>0</v>
      </c>
      <c r="D112" s="49">
        <v>0.0015725370636734328</v>
      </c>
      <c r="E112" s="49">
        <v>0</v>
      </c>
      <c r="F112" s="49">
        <v>0.0015725370636734328</v>
      </c>
      <c r="G112" s="49">
        <v>0</v>
      </c>
      <c r="H112" s="49">
        <v>0.35860338203447933</v>
      </c>
      <c r="I112" s="49">
        <v>0</v>
      </c>
      <c r="J112" s="49">
        <v>0.5304609851977236</v>
      </c>
      <c r="K112" s="49">
        <v>0</v>
      </c>
      <c r="L112" s="49">
        <v>0.1670048389572467</v>
      </c>
      <c r="M112" s="49">
        <v>0</v>
      </c>
    </row>
    <row r="113" spans="1:12" ht="12.75" hidden="1">
      <c r="A113" s="49" t="s">
        <v>111</v>
      </c>
      <c r="B113" s="49">
        <v>0.001412</v>
      </c>
      <c r="D113" s="49">
        <v>0.001412</v>
      </c>
      <c r="F113" s="49">
        <v>0.001412</v>
      </c>
      <c r="H113" s="49">
        <v>0.544419</v>
      </c>
      <c r="J113" s="49">
        <v>0.511894</v>
      </c>
      <c r="L113" s="49">
        <v>0.553139</v>
      </c>
    </row>
    <row r="114" spans="1:12" ht="12.75" hidden="1">
      <c r="A114" s="49" t="s">
        <v>112</v>
      </c>
      <c r="B114" s="49">
        <v>0.000301</v>
      </c>
      <c r="D114" s="49">
        <v>0.00017</v>
      </c>
      <c r="F114" s="49">
        <v>0.00017</v>
      </c>
      <c r="H114" s="49">
        <v>0.038694</v>
      </c>
      <c r="J114" s="49">
        <v>0.057238</v>
      </c>
      <c r="L114" s="49">
        <v>0.01802</v>
      </c>
    </row>
    <row r="115" spans="1:13" ht="12.75" hidden="1">
      <c r="A115" s="49" t="s">
        <v>113</v>
      </c>
      <c r="B115" s="49">
        <v>-0.00248647</v>
      </c>
      <c r="C115" s="49">
        <v>1.8803391992686862</v>
      </c>
      <c r="D115" s="49">
        <v>-0.00117684</v>
      </c>
      <c r="E115" s="49">
        <v>3.833198737262528</v>
      </c>
      <c r="F115" s="49">
        <v>-0.00117684</v>
      </c>
      <c r="G115" s="49">
        <v>3.833198737262528</v>
      </c>
      <c r="H115" s="49">
        <v>-0.172401</v>
      </c>
      <c r="I115" s="49">
        <v>50.01607566632856</v>
      </c>
      <c r="J115" s="49">
        <v>-0.2224598</v>
      </c>
      <c r="K115" s="49">
        <v>0.04508303080353343</v>
      </c>
      <c r="L115" s="49">
        <v>-0.316746818</v>
      </c>
      <c r="M115" s="49">
        <v>0.04392035773678704</v>
      </c>
    </row>
    <row r="116" spans="1:14" ht="12.75" hidden="1">
      <c r="A116" s="49" t="s">
        <v>106</v>
      </c>
      <c r="B116" s="54">
        <v>0.0105</v>
      </c>
      <c r="C116" s="54">
        <v>11.44</v>
      </c>
      <c r="D116" s="54">
        <v>0.0058</v>
      </c>
      <c r="E116" s="54">
        <v>24.92</v>
      </c>
      <c r="F116" s="54">
        <v>0.0058</v>
      </c>
      <c r="G116" s="54">
        <v>24.92</v>
      </c>
      <c r="H116" s="54">
        <v>2.443</v>
      </c>
      <c r="I116" s="54">
        <v>315.24</v>
      </c>
      <c r="J116" s="54">
        <v>1.7826</v>
      </c>
      <c r="K116" s="55">
        <v>0.3</v>
      </c>
      <c r="L116" s="54">
        <v>1.2576</v>
      </c>
      <c r="M116" s="55">
        <v>0.31</v>
      </c>
      <c r="N116" s="70">
        <f>+A105</f>
        <v>38230</v>
      </c>
    </row>
    <row r="117" spans="3:13" ht="12.75" hidden="1">
      <c r="C117" s="56"/>
      <c r="D117" s="69"/>
      <c r="E117" s="56"/>
      <c r="G117" s="56"/>
      <c r="I117" s="56"/>
      <c r="K117" s="56"/>
      <c r="M117" s="56"/>
    </row>
    <row r="118" spans="1:14" ht="12.75">
      <c r="A118" s="58" t="s">
        <v>102</v>
      </c>
      <c r="B118" s="59">
        <f>ROUND(B109*B111,2)</f>
        <v>203497.99</v>
      </c>
      <c r="C118" s="59">
        <f aca="true" t="shared" si="42" ref="C118:M118">ROUND(C109*C111,2)</f>
        <v>303026.72</v>
      </c>
      <c r="D118" s="59">
        <f t="shared" si="42"/>
        <v>32189.44</v>
      </c>
      <c r="E118" s="59">
        <f t="shared" si="42"/>
        <v>51372.34</v>
      </c>
      <c r="F118" s="59">
        <f t="shared" si="42"/>
        <v>841.93</v>
      </c>
      <c r="G118" s="59">
        <f t="shared" si="42"/>
        <v>10755.67</v>
      </c>
      <c r="H118" s="59">
        <f t="shared" si="42"/>
        <v>203338.94</v>
      </c>
      <c r="I118" s="59">
        <f t="shared" si="42"/>
        <v>102623.97</v>
      </c>
      <c r="J118" s="59">
        <f t="shared" si="42"/>
        <v>1458.71</v>
      </c>
      <c r="K118" s="59">
        <f t="shared" si="42"/>
        <v>2213.19</v>
      </c>
      <c r="L118" s="59">
        <f t="shared" si="42"/>
        <v>122.12</v>
      </c>
      <c r="M118" s="59">
        <f t="shared" si="42"/>
        <v>207.1</v>
      </c>
      <c r="N118" s="60">
        <f>SUM(B118:M118)</f>
        <v>911648.1199999999</v>
      </c>
    </row>
    <row r="119" spans="1:15" ht="12.75">
      <c r="A119" s="61" t="s">
        <v>114</v>
      </c>
      <c r="B119" s="62">
        <f>ROUND(B109*B112,2)</f>
        <v>66917.99</v>
      </c>
      <c r="C119" s="62">
        <f aca="true" t="shared" si="43" ref="C119:M119">ROUND(C109*C112,2)</f>
        <v>0</v>
      </c>
      <c r="D119" s="62">
        <f t="shared" si="43"/>
        <v>13243.09</v>
      </c>
      <c r="E119" s="62">
        <f t="shared" si="43"/>
        <v>0</v>
      </c>
      <c r="F119" s="62">
        <f t="shared" si="43"/>
        <v>346.38</v>
      </c>
      <c r="G119" s="62">
        <f t="shared" si="43"/>
        <v>0</v>
      </c>
      <c r="H119" s="62">
        <f t="shared" si="43"/>
        <v>43567.37</v>
      </c>
      <c r="I119" s="62">
        <f t="shared" si="43"/>
        <v>0</v>
      </c>
      <c r="J119" s="62">
        <f t="shared" si="43"/>
        <v>854.57</v>
      </c>
      <c r="K119" s="62">
        <f t="shared" si="43"/>
        <v>0</v>
      </c>
      <c r="L119" s="62">
        <f t="shared" si="43"/>
        <v>24.39</v>
      </c>
      <c r="M119" s="62">
        <f t="shared" si="43"/>
        <v>0</v>
      </c>
      <c r="N119" s="63">
        <f>SUM(B119:M119)</f>
        <v>124953.79000000002</v>
      </c>
      <c r="O119" s="24"/>
    </row>
    <row r="120" spans="1:15" ht="12.75">
      <c r="A120" s="64" t="s">
        <v>111</v>
      </c>
      <c r="B120" s="62">
        <f>ROUND(B109*B113,2)</f>
        <v>33869.55</v>
      </c>
      <c r="C120" s="62">
        <f aca="true" t="shared" si="44" ref="C120:M120">ROUND(C109*C113,2)</f>
        <v>0</v>
      </c>
      <c r="D120" s="62">
        <f t="shared" si="44"/>
        <v>11891.13</v>
      </c>
      <c r="E120" s="62">
        <f t="shared" si="44"/>
        <v>0</v>
      </c>
      <c r="F120" s="62">
        <f t="shared" si="44"/>
        <v>311.02</v>
      </c>
      <c r="G120" s="62">
        <f t="shared" si="44"/>
        <v>0</v>
      </c>
      <c r="H120" s="62">
        <f t="shared" si="44"/>
        <v>66142.44</v>
      </c>
      <c r="I120" s="62">
        <f t="shared" si="44"/>
        <v>0</v>
      </c>
      <c r="J120" s="62">
        <f t="shared" si="44"/>
        <v>824.66</v>
      </c>
      <c r="K120" s="62">
        <f t="shared" si="44"/>
        <v>0</v>
      </c>
      <c r="L120" s="62">
        <f t="shared" si="44"/>
        <v>80.78</v>
      </c>
      <c r="M120" s="62">
        <f t="shared" si="44"/>
        <v>0</v>
      </c>
      <c r="N120" s="63">
        <f>SUM(B120:M120)</f>
        <v>113119.58</v>
      </c>
      <c r="O120" s="24"/>
    </row>
    <row r="121" spans="1:15" ht="12.75">
      <c r="A121" s="64" t="s">
        <v>112</v>
      </c>
      <c r="B121" s="62">
        <f>ROUND(B109*B114,2)</f>
        <v>7220.07</v>
      </c>
      <c r="C121" s="62">
        <f aca="true" t="shared" si="45" ref="C121:M121">ROUND(C109*C114,2)</f>
        <v>0</v>
      </c>
      <c r="D121" s="62">
        <f t="shared" si="45"/>
        <v>1431.65</v>
      </c>
      <c r="E121" s="62">
        <f t="shared" si="45"/>
        <v>0</v>
      </c>
      <c r="F121" s="62">
        <f t="shared" si="45"/>
        <v>37.45</v>
      </c>
      <c r="G121" s="62">
        <f t="shared" si="45"/>
        <v>0</v>
      </c>
      <c r="H121" s="62">
        <f t="shared" si="45"/>
        <v>4701</v>
      </c>
      <c r="I121" s="62">
        <f t="shared" si="45"/>
        <v>0</v>
      </c>
      <c r="J121" s="62">
        <f t="shared" si="45"/>
        <v>92.21</v>
      </c>
      <c r="K121" s="62">
        <f t="shared" si="45"/>
        <v>0</v>
      </c>
      <c r="L121" s="62">
        <f t="shared" si="45"/>
        <v>2.63</v>
      </c>
      <c r="M121" s="62">
        <f t="shared" si="45"/>
        <v>0</v>
      </c>
      <c r="N121" s="63">
        <f>SUM(B121:M121)</f>
        <v>13485.009999999998</v>
      </c>
      <c r="O121" s="24"/>
    </row>
    <row r="122" spans="1:15" ht="12.75">
      <c r="A122" s="65" t="s">
        <v>113</v>
      </c>
      <c r="B122" s="66">
        <f aca="true" t="shared" si="46" ref="B122:M122">ROUND(B109*B115,2)</f>
        <v>-59642.79</v>
      </c>
      <c r="C122" s="66">
        <f t="shared" si="46"/>
        <v>59603.9</v>
      </c>
      <c r="D122" s="66">
        <f t="shared" si="46"/>
        <v>-9910.73</v>
      </c>
      <c r="E122" s="66">
        <f t="shared" si="46"/>
        <v>9338.56</v>
      </c>
      <c r="F122" s="66">
        <f t="shared" si="46"/>
        <v>-259.22</v>
      </c>
      <c r="G122" s="66">
        <f t="shared" si="46"/>
        <v>1955.19</v>
      </c>
      <c r="H122" s="66">
        <f t="shared" si="46"/>
        <v>-20945.31</v>
      </c>
      <c r="I122" s="66">
        <f t="shared" si="46"/>
        <v>19352.88</v>
      </c>
      <c r="J122" s="66">
        <f t="shared" si="46"/>
        <v>-358.38</v>
      </c>
      <c r="K122" s="66">
        <f t="shared" si="46"/>
        <v>391.41</v>
      </c>
      <c r="L122" s="66">
        <f t="shared" si="46"/>
        <v>-46.26</v>
      </c>
      <c r="M122" s="66">
        <f t="shared" si="46"/>
        <v>34.19</v>
      </c>
      <c r="N122" s="67">
        <f>SUM(B122:M122)</f>
        <v>-486.56000000000046</v>
      </c>
      <c r="O122" s="24"/>
    </row>
    <row r="123" spans="2:14" ht="12.75">
      <c r="B123" s="68">
        <f aca="true" t="shared" si="47" ref="B123:N123">SUM(B118:B122)-B105</f>
        <v>0</v>
      </c>
      <c r="C123" s="68">
        <f t="shared" si="47"/>
        <v>0</v>
      </c>
      <c r="D123" s="68">
        <f t="shared" si="47"/>
        <v>0.010000000002037268</v>
      </c>
      <c r="E123" s="68">
        <f t="shared" si="47"/>
        <v>0</v>
      </c>
      <c r="F123" s="68">
        <f>SUM(F118:F122)-F105</f>
        <v>0</v>
      </c>
      <c r="G123" s="68">
        <f>SUM(G118:G122)-G105</f>
        <v>0</v>
      </c>
      <c r="H123" s="68">
        <f t="shared" si="47"/>
        <v>0</v>
      </c>
      <c r="I123" s="68">
        <f t="shared" si="47"/>
        <v>0</v>
      </c>
      <c r="J123" s="68">
        <f t="shared" si="47"/>
        <v>0</v>
      </c>
      <c r="K123" s="68">
        <f t="shared" si="47"/>
        <v>0</v>
      </c>
      <c r="L123" s="68">
        <f t="shared" si="47"/>
        <v>-0.010000000000019327</v>
      </c>
      <c r="M123" s="68">
        <f t="shared" si="47"/>
        <v>0</v>
      </c>
      <c r="N123" s="68">
        <f t="shared" si="47"/>
        <v>0</v>
      </c>
    </row>
    <row r="125" spans="1:14" ht="12.75">
      <c r="A125" s="40">
        <v>38260</v>
      </c>
      <c r="B125" s="50">
        <f>+'Volumetric new rates'!K109+'Volumetric new rates'!K110</f>
        <v>241454.92</v>
      </c>
      <c r="C125" s="50">
        <f>+'Service Charges new rates'!K61+'Service Charges new rates'!K62+'Service Charges new rates'!K63</f>
        <v>363967.75000000006</v>
      </c>
      <c r="D125" s="50">
        <f>+'Volumetric new rates'!K88+'Volumetric new rates'!K89</f>
        <v>48313.19</v>
      </c>
      <c r="E125" s="50">
        <f>+'Service Charges new rates'!K35</f>
        <v>61232.53</v>
      </c>
      <c r="F125" s="50">
        <f>+'Volumetric new rates'!K87</f>
        <v>1278.48</v>
      </c>
      <c r="G125" s="50">
        <f>+'Service Charges new rates'!K36</f>
        <v>12734.12</v>
      </c>
      <c r="H125" s="50">
        <f>+'Volumetric new rates'!K137+'Volumetric new rates'!K138</f>
        <v>302330.31</v>
      </c>
      <c r="I125" s="50">
        <f>+'Service Charges new rates'!K12+'Service Charges new rates'!K13</f>
        <v>123132.75</v>
      </c>
      <c r="J125" s="50">
        <f>+'Volumetric new rates'!K122</f>
        <v>2871.77</v>
      </c>
      <c r="K125" s="50">
        <f>+'Service Charges new rates'!K79</f>
        <v>2604.6</v>
      </c>
      <c r="L125" s="50">
        <f>+'Volumetric new rates'!K41+'Volumetric new rates'!K42+'Volumetric new rates'!K43+'Volumetric new rates'!K44+'Volumetric new rates'!K45+'Volumetric new rates'!K46+'Volumetric new rates'!K47</f>
        <v>183.71000000000004</v>
      </c>
      <c r="M125" s="50">
        <f>+'Service Charges new rates'!K126+'Service Charges new rates'!K127+'Service Charges new rates'!K128+'Service Charges new rates'!K129+'Service Charges new rates'!K130+'Service Charges new rates'!K131+'Service Charges new rates'!K132</f>
        <v>241.35</v>
      </c>
      <c r="N125" s="51">
        <f>SUM(B125:M125)</f>
        <v>1160345.4800000002</v>
      </c>
    </row>
    <row r="126" spans="1:14" ht="12.75">
      <c r="A126" s="49" t="s">
        <v>109</v>
      </c>
      <c r="B126" s="66">
        <v>0</v>
      </c>
      <c r="C126" s="66">
        <v>0</v>
      </c>
      <c r="D126" s="66">
        <v>0</v>
      </c>
      <c r="E126" s="66">
        <v>0</v>
      </c>
      <c r="F126" s="66"/>
      <c r="G126" s="66"/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/>
    </row>
    <row r="127" spans="1:14" ht="12.75">
      <c r="A127" s="49" t="s">
        <v>100</v>
      </c>
      <c r="B127" s="51">
        <f aca="true" t="shared" si="48" ref="B127:M127">+B125+B126</f>
        <v>241454.92</v>
      </c>
      <c r="C127" s="51">
        <f t="shared" si="48"/>
        <v>363967.75000000006</v>
      </c>
      <c r="D127" s="51">
        <f t="shared" si="48"/>
        <v>48313.19</v>
      </c>
      <c r="E127" s="51">
        <f t="shared" si="48"/>
        <v>61232.53</v>
      </c>
      <c r="F127" s="51">
        <f>+F125+F126</f>
        <v>1278.48</v>
      </c>
      <c r="G127" s="51">
        <f>+G125+G126</f>
        <v>12734.12</v>
      </c>
      <c r="H127" s="51">
        <f t="shared" si="48"/>
        <v>302330.31</v>
      </c>
      <c r="I127" s="51">
        <f t="shared" si="48"/>
        <v>123132.75</v>
      </c>
      <c r="J127" s="51">
        <f t="shared" si="48"/>
        <v>2871.77</v>
      </c>
      <c r="K127" s="51">
        <f t="shared" si="48"/>
        <v>2604.6</v>
      </c>
      <c r="L127" s="51">
        <f t="shared" si="48"/>
        <v>183.71000000000004</v>
      </c>
      <c r="M127" s="51">
        <f t="shared" si="48"/>
        <v>241.35</v>
      </c>
      <c r="N127" s="51"/>
    </row>
    <row r="129" spans="1:13" ht="12.75">
      <c r="A129" s="49" t="s">
        <v>101</v>
      </c>
      <c r="B129" s="53">
        <f aca="true" t="shared" si="49" ref="B129:M129">+B127/B136</f>
        <v>22995706.666666668</v>
      </c>
      <c r="C129" s="53">
        <f t="shared" si="49"/>
        <v>31815.362762237768</v>
      </c>
      <c r="D129" s="53">
        <f t="shared" si="49"/>
        <v>8329860.344827587</v>
      </c>
      <c r="E129" s="53">
        <f t="shared" si="49"/>
        <v>2457.164125200642</v>
      </c>
      <c r="F129" s="53">
        <f t="shared" si="49"/>
        <v>220427.58620689658</v>
      </c>
      <c r="G129" s="53">
        <f t="shared" si="49"/>
        <v>511</v>
      </c>
      <c r="H129" s="53">
        <f t="shared" si="49"/>
        <v>123753.70855505526</v>
      </c>
      <c r="I129" s="53">
        <f t="shared" si="49"/>
        <v>390.60001903311763</v>
      </c>
      <c r="J129" s="53">
        <f t="shared" si="49"/>
        <v>1611.0007853696848</v>
      </c>
      <c r="K129" s="53">
        <f t="shared" si="49"/>
        <v>8682</v>
      </c>
      <c r="L129" s="53">
        <f t="shared" si="49"/>
        <v>146.079834605598</v>
      </c>
      <c r="M129" s="53">
        <f t="shared" si="49"/>
        <v>778.5483870967741</v>
      </c>
    </row>
    <row r="130" spans="2:13" ht="12.7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</row>
    <row r="131" spans="1:13" ht="12.75" hidden="1">
      <c r="A131" s="49" t="s">
        <v>102</v>
      </c>
      <c r="B131" s="49">
        <f>B136-SUM(B132:B135)</f>
        <v>0.008483701578661906</v>
      </c>
      <c r="C131" s="49">
        <v>9.559660800731313</v>
      </c>
      <c r="D131" s="49">
        <v>0.003822302936326567</v>
      </c>
      <c r="E131" s="49">
        <v>21.086801262737474</v>
      </c>
      <c r="F131" s="49">
        <v>0.003822302936326567</v>
      </c>
      <c r="G131" s="49">
        <v>21.086801262737474</v>
      </c>
      <c r="H131" s="49">
        <v>1.6736846179655207</v>
      </c>
      <c r="I131" s="49">
        <v>265.22392433367145</v>
      </c>
      <c r="J131" s="49">
        <v>0.9054668148022766</v>
      </c>
      <c r="K131" s="49">
        <v>0.25491696919646656</v>
      </c>
      <c r="L131" s="49">
        <v>0.8361829790427533</v>
      </c>
      <c r="M131" s="49">
        <v>0.26607964226321296</v>
      </c>
    </row>
    <row r="132" spans="1:13" ht="12.75" hidden="1">
      <c r="A132" s="49" t="s">
        <v>110</v>
      </c>
      <c r="B132" s="49">
        <v>0.0027897684213380935</v>
      </c>
      <c r="C132" s="49">
        <v>0</v>
      </c>
      <c r="D132" s="49">
        <v>0.0015725370636734328</v>
      </c>
      <c r="E132" s="49">
        <v>0</v>
      </c>
      <c r="F132" s="49">
        <v>0.0015725370636734328</v>
      </c>
      <c r="G132" s="49">
        <v>0</v>
      </c>
      <c r="H132" s="49">
        <v>0.35860338203447933</v>
      </c>
      <c r="I132" s="49">
        <v>0</v>
      </c>
      <c r="J132" s="49">
        <v>0.5304609851977236</v>
      </c>
      <c r="K132" s="49">
        <v>0</v>
      </c>
      <c r="L132" s="49">
        <v>0.1670048389572467</v>
      </c>
      <c r="M132" s="49">
        <v>0</v>
      </c>
    </row>
    <row r="133" spans="1:12" ht="12.75" hidden="1">
      <c r="A133" s="49" t="s">
        <v>111</v>
      </c>
      <c r="B133" s="49">
        <v>0.001412</v>
      </c>
      <c r="D133" s="49">
        <v>0.001412</v>
      </c>
      <c r="F133" s="49">
        <v>0.001412</v>
      </c>
      <c r="H133" s="49">
        <v>0.544419</v>
      </c>
      <c r="J133" s="49">
        <v>0.511894</v>
      </c>
      <c r="L133" s="49">
        <v>0.553139</v>
      </c>
    </row>
    <row r="134" spans="1:12" ht="12.75" hidden="1">
      <c r="A134" s="49" t="s">
        <v>112</v>
      </c>
      <c r="B134" s="49">
        <v>0.000301</v>
      </c>
      <c r="D134" s="49">
        <v>0.00017</v>
      </c>
      <c r="F134" s="49">
        <v>0.00017</v>
      </c>
      <c r="H134" s="49">
        <v>0.038694</v>
      </c>
      <c r="J134" s="49">
        <v>0.057238</v>
      </c>
      <c r="L134" s="49">
        <v>0.01802</v>
      </c>
    </row>
    <row r="135" spans="1:13" ht="12.75" hidden="1">
      <c r="A135" s="49" t="s">
        <v>113</v>
      </c>
      <c r="B135" s="49">
        <v>-0.00248647</v>
      </c>
      <c r="C135" s="49">
        <v>1.8803391992686862</v>
      </c>
      <c r="D135" s="49">
        <v>-0.00117684</v>
      </c>
      <c r="E135" s="49">
        <v>3.833198737262528</v>
      </c>
      <c r="F135" s="49">
        <v>-0.00117684</v>
      </c>
      <c r="G135" s="49">
        <v>3.833198737262528</v>
      </c>
      <c r="H135" s="49">
        <v>-0.172401</v>
      </c>
      <c r="I135" s="49">
        <v>50.01607566632856</v>
      </c>
      <c r="J135" s="49">
        <v>-0.2224598</v>
      </c>
      <c r="K135" s="49">
        <v>0.04508303080353343</v>
      </c>
      <c r="L135" s="49">
        <v>-0.316746818</v>
      </c>
      <c r="M135" s="49">
        <v>0.04392035773678704</v>
      </c>
    </row>
    <row r="136" spans="1:13" ht="12.75" hidden="1">
      <c r="A136" s="49" t="s">
        <v>106</v>
      </c>
      <c r="B136" s="54">
        <v>0.0105</v>
      </c>
      <c r="C136" s="54">
        <v>11.44</v>
      </c>
      <c r="D136" s="54">
        <v>0.0058</v>
      </c>
      <c r="E136" s="54">
        <v>24.92</v>
      </c>
      <c r="F136" s="54">
        <v>0.0058</v>
      </c>
      <c r="G136" s="54">
        <v>24.92</v>
      </c>
      <c r="H136" s="54">
        <v>2.443</v>
      </c>
      <c r="I136" s="54">
        <v>315.24</v>
      </c>
      <c r="J136" s="54">
        <v>1.7826</v>
      </c>
      <c r="K136" s="55">
        <v>0.3</v>
      </c>
      <c r="L136" s="54">
        <v>1.2576</v>
      </c>
      <c r="M136" s="55">
        <v>0.31</v>
      </c>
    </row>
    <row r="137" spans="3:14" ht="12.75" hidden="1">
      <c r="C137" s="56"/>
      <c r="D137" s="69"/>
      <c r="E137" s="56"/>
      <c r="G137" s="56"/>
      <c r="I137" s="56"/>
      <c r="K137" s="56"/>
      <c r="M137" s="56"/>
      <c r="N137" s="70">
        <f>+A125</f>
        <v>38260</v>
      </c>
    </row>
    <row r="138" spans="1:14" ht="12.75">
      <c r="A138" s="58" t="s">
        <v>102</v>
      </c>
      <c r="B138" s="59">
        <f>ROUND(B129*B131,2)</f>
        <v>195088.71</v>
      </c>
      <c r="C138" s="59">
        <f aca="true" t="shared" si="50" ref="C138:M138">ROUND(C129*C131,2)</f>
        <v>304144.08</v>
      </c>
      <c r="D138" s="59">
        <f t="shared" si="50"/>
        <v>31839.25</v>
      </c>
      <c r="E138" s="59">
        <f t="shared" si="50"/>
        <v>51813.73</v>
      </c>
      <c r="F138" s="59">
        <f t="shared" si="50"/>
        <v>842.54</v>
      </c>
      <c r="G138" s="59">
        <f t="shared" si="50"/>
        <v>10775.36</v>
      </c>
      <c r="H138" s="59">
        <f t="shared" si="50"/>
        <v>207124.68</v>
      </c>
      <c r="I138" s="59">
        <f t="shared" si="50"/>
        <v>103596.47</v>
      </c>
      <c r="J138" s="59">
        <f t="shared" si="50"/>
        <v>1458.71</v>
      </c>
      <c r="K138" s="59">
        <f t="shared" si="50"/>
        <v>2213.19</v>
      </c>
      <c r="L138" s="59">
        <f t="shared" si="50"/>
        <v>122.15</v>
      </c>
      <c r="M138" s="59">
        <f t="shared" si="50"/>
        <v>207.16</v>
      </c>
      <c r="N138" s="60">
        <f>SUM(B138:M138)</f>
        <v>909226.03</v>
      </c>
    </row>
    <row r="139" spans="1:15" ht="12.75">
      <c r="A139" s="61" t="s">
        <v>114</v>
      </c>
      <c r="B139" s="62">
        <f>ROUND(B129*B132,2)</f>
        <v>64152.7</v>
      </c>
      <c r="C139" s="62">
        <f aca="true" t="shared" si="51" ref="C139:M139">ROUND(C129*C132,2)</f>
        <v>0</v>
      </c>
      <c r="D139" s="62">
        <f t="shared" si="51"/>
        <v>13099.01</v>
      </c>
      <c r="E139" s="62">
        <f t="shared" si="51"/>
        <v>0</v>
      </c>
      <c r="F139" s="62">
        <f t="shared" si="51"/>
        <v>346.63</v>
      </c>
      <c r="G139" s="62">
        <f t="shared" si="51"/>
        <v>0</v>
      </c>
      <c r="H139" s="62">
        <f t="shared" si="51"/>
        <v>44378.5</v>
      </c>
      <c r="I139" s="62">
        <f t="shared" si="51"/>
        <v>0</v>
      </c>
      <c r="J139" s="62">
        <f t="shared" si="51"/>
        <v>854.57</v>
      </c>
      <c r="K139" s="62">
        <f t="shared" si="51"/>
        <v>0</v>
      </c>
      <c r="L139" s="62">
        <f t="shared" si="51"/>
        <v>24.4</v>
      </c>
      <c r="M139" s="62">
        <f t="shared" si="51"/>
        <v>0</v>
      </c>
      <c r="N139" s="63">
        <f>SUM(B139:M139)</f>
        <v>122855.81</v>
      </c>
      <c r="O139" s="32"/>
    </row>
    <row r="140" spans="1:15" ht="12.75">
      <c r="A140" s="64" t="s">
        <v>111</v>
      </c>
      <c r="B140" s="62">
        <f>ROUND(B129*B133,2)</f>
        <v>32469.94</v>
      </c>
      <c r="C140" s="62">
        <f aca="true" t="shared" si="52" ref="C140:M140">ROUND(C129*C133,2)</f>
        <v>0</v>
      </c>
      <c r="D140" s="62">
        <f t="shared" si="52"/>
        <v>11761.76</v>
      </c>
      <c r="E140" s="62">
        <f t="shared" si="52"/>
        <v>0</v>
      </c>
      <c r="F140" s="62">
        <f t="shared" si="52"/>
        <v>311.24</v>
      </c>
      <c r="G140" s="62">
        <f t="shared" si="52"/>
        <v>0</v>
      </c>
      <c r="H140" s="62">
        <f t="shared" si="52"/>
        <v>67373.87</v>
      </c>
      <c r="I140" s="62">
        <f t="shared" si="52"/>
        <v>0</v>
      </c>
      <c r="J140" s="62">
        <f t="shared" si="52"/>
        <v>824.66</v>
      </c>
      <c r="K140" s="62">
        <f t="shared" si="52"/>
        <v>0</v>
      </c>
      <c r="L140" s="62">
        <f t="shared" si="52"/>
        <v>80.8</v>
      </c>
      <c r="M140" s="62">
        <f t="shared" si="52"/>
        <v>0</v>
      </c>
      <c r="N140" s="63">
        <f>SUM(B140:M140)</f>
        <v>112822.27</v>
      </c>
      <c r="O140" s="24"/>
    </row>
    <row r="141" spans="1:15" ht="12.75">
      <c r="A141" s="64" t="s">
        <v>112</v>
      </c>
      <c r="B141" s="62">
        <f>ROUND(B129*B134,2)</f>
        <v>6921.71</v>
      </c>
      <c r="C141" s="62">
        <f aca="true" t="shared" si="53" ref="C141:M141">ROUND(C129*C134,2)</f>
        <v>0</v>
      </c>
      <c r="D141" s="62">
        <f t="shared" si="53"/>
        <v>1416.08</v>
      </c>
      <c r="E141" s="62">
        <f t="shared" si="53"/>
        <v>0</v>
      </c>
      <c r="F141" s="62">
        <f t="shared" si="53"/>
        <v>37.47</v>
      </c>
      <c r="G141" s="62">
        <f t="shared" si="53"/>
        <v>0</v>
      </c>
      <c r="H141" s="62">
        <f t="shared" si="53"/>
        <v>4788.53</v>
      </c>
      <c r="I141" s="62">
        <f t="shared" si="53"/>
        <v>0</v>
      </c>
      <c r="J141" s="62">
        <f t="shared" si="53"/>
        <v>92.21</v>
      </c>
      <c r="K141" s="62">
        <f t="shared" si="53"/>
        <v>0</v>
      </c>
      <c r="L141" s="62">
        <f t="shared" si="53"/>
        <v>2.63</v>
      </c>
      <c r="M141" s="62">
        <f t="shared" si="53"/>
        <v>0</v>
      </c>
      <c r="N141" s="63">
        <f>SUM(B141:M141)</f>
        <v>13258.63</v>
      </c>
      <c r="O141" s="24"/>
    </row>
    <row r="142" spans="1:15" ht="12.75">
      <c r="A142" s="65" t="s">
        <v>113</v>
      </c>
      <c r="B142" s="66">
        <f aca="true" t="shared" si="54" ref="B142:M142">ROUND(B129*B135,2)</f>
        <v>-57178.13</v>
      </c>
      <c r="C142" s="66">
        <f t="shared" si="54"/>
        <v>59823.67</v>
      </c>
      <c r="D142" s="66">
        <f t="shared" si="54"/>
        <v>-9802.91</v>
      </c>
      <c r="E142" s="66">
        <f t="shared" si="54"/>
        <v>9418.8</v>
      </c>
      <c r="F142" s="66">
        <f t="shared" si="54"/>
        <v>-259.41</v>
      </c>
      <c r="G142" s="66">
        <f t="shared" si="54"/>
        <v>1958.76</v>
      </c>
      <c r="H142" s="66">
        <f t="shared" si="54"/>
        <v>-21335.26</v>
      </c>
      <c r="I142" s="66">
        <f t="shared" si="54"/>
        <v>19536.28</v>
      </c>
      <c r="J142" s="66">
        <f t="shared" si="54"/>
        <v>-358.38</v>
      </c>
      <c r="K142" s="66">
        <f t="shared" si="54"/>
        <v>391.41</v>
      </c>
      <c r="L142" s="66">
        <f t="shared" si="54"/>
        <v>-46.27</v>
      </c>
      <c r="M142" s="66">
        <f t="shared" si="54"/>
        <v>34.19</v>
      </c>
      <c r="N142" s="67">
        <f>SUM(B142:M142)</f>
        <v>2182.749999999999</v>
      </c>
      <c r="O142" s="24"/>
    </row>
    <row r="143" spans="2:14" ht="12.75">
      <c r="B143" s="68">
        <f aca="true" t="shared" si="55" ref="B143:N143">SUM(B138:B142)-B125</f>
        <v>0.009999999980209395</v>
      </c>
      <c r="C143" s="68">
        <f t="shared" si="55"/>
        <v>0</v>
      </c>
      <c r="D143" s="68">
        <f t="shared" si="55"/>
        <v>0</v>
      </c>
      <c r="E143" s="68">
        <f t="shared" si="55"/>
        <v>0</v>
      </c>
      <c r="F143" s="68">
        <f>SUM(F138:F142)-F125</f>
        <v>-0.009999999999990905</v>
      </c>
      <c r="G143" s="68">
        <f>SUM(G138:G142)-G125</f>
        <v>0</v>
      </c>
      <c r="H143" s="68">
        <f t="shared" si="55"/>
        <v>0.010000000009313226</v>
      </c>
      <c r="I143" s="68">
        <f t="shared" si="55"/>
        <v>0</v>
      </c>
      <c r="J143" s="68">
        <f t="shared" si="55"/>
        <v>0</v>
      </c>
      <c r="K143" s="68">
        <f t="shared" si="55"/>
        <v>0</v>
      </c>
      <c r="L143" s="68">
        <f t="shared" si="55"/>
        <v>0</v>
      </c>
      <c r="M143" s="68">
        <f t="shared" si="55"/>
        <v>0</v>
      </c>
      <c r="N143" s="68">
        <f t="shared" si="55"/>
        <v>0.009999999776482582</v>
      </c>
    </row>
    <row r="145" spans="1:14" ht="12.75">
      <c r="A145" s="40">
        <v>38291</v>
      </c>
      <c r="B145" s="50">
        <f>+'Volumetric new rates'!K111+'Volumetric new rates'!K112</f>
        <v>226045.37</v>
      </c>
      <c r="C145" s="50">
        <f>+'Service Charges new rates'!K64+'Service Charges new rates'!K65+'Service Charges new rates'!K66</f>
        <v>365034.23000000004</v>
      </c>
      <c r="D145" s="50">
        <f>+'Volumetric new rates'!K91+'Volumetric new rates'!K92</f>
        <v>45897.53</v>
      </c>
      <c r="E145" s="50">
        <f>+'Service Charges new rates'!K37+'Service Charges new rates'!K38</f>
        <v>61059.85</v>
      </c>
      <c r="F145" s="50">
        <f>+'Volumetric new rates'!K90</f>
        <v>1278.48</v>
      </c>
      <c r="G145" s="50">
        <f>+'Service Charges new rates'!K39</f>
        <v>12734.12</v>
      </c>
      <c r="H145" s="50">
        <f>+'Volumetric new rates'!K139+'Volumetric new rates'!K140</f>
        <v>296549.22</v>
      </c>
      <c r="I145" s="50">
        <f>+'Service Charges new rates'!K14+'Service Charges new rates'!K15</f>
        <v>122176.51</v>
      </c>
      <c r="J145" s="50">
        <f>+'Volumetric new rates'!K123</f>
        <v>2871.77</v>
      </c>
      <c r="K145" s="50">
        <f>+'Service Charges new rates'!K80</f>
        <v>2604.6</v>
      </c>
      <c r="L145" s="50">
        <f>+'Volumetric new rates'!K49+'Volumetric new rates'!K50+'Volumetric new rates'!K51+'Volumetric new rates'!K52+'Volumetric new rates'!K53+'Volumetric new rates'!K54+'Volumetric new rates'!K55</f>
        <v>184.02000000000004</v>
      </c>
      <c r="M145" s="50">
        <f>+'Service Charges new rates'!K134+'Service Charges new rates'!K135+'Service Charges new rates'!K136+'Service Charges new rates'!K137+'Service Charges new rates'!K138+'Service Charges new rates'!K139+'Service Charges new rates'!K140</f>
        <v>241.69</v>
      </c>
      <c r="N145" s="51">
        <f>SUM(B145:M145)</f>
        <v>1136677.3900000001</v>
      </c>
    </row>
    <row r="146" spans="1:14" ht="12.75">
      <c r="A146" s="49" t="s">
        <v>109</v>
      </c>
      <c r="B146" s="66">
        <v>0</v>
      </c>
      <c r="C146" s="66">
        <v>0</v>
      </c>
      <c r="D146" s="66">
        <v>0</v>
      </c>
      <c r="E146" s="66">
        <v>0</v>
      </c>
      <c r="F146" s="66"/>
      <c r="G146" s="66"/>
      <c r="H146" s="66">
        <v>0</v>
      </c>
      <c r="I146" s="66">
        <v>0</v>
      </c>
      <c r="J146" s="66">
        <v>0</v>
      </c>
      <c r="K146" s="66">
        <v>0</v>
      </c>
      <c r="L146" s="66">
        <v>0</v>
      </c>
      <c r="M146" s="66">
        <v>0</v>
      </c>
      <c r="N146" s="66"/>
    </row>
    <row r="147" spans="1:14" ht="12.75">
      <c r="A147" s="49" t="s">
        <v>100</v>
      </c>
      <c r="B147" s="51">
        <f aca="true" t="shared" si="56" ref="B147:M147">+B145+B146</f>
        <v>226045.37</v>
      </c>
      <c r="C147" s="51">
        <f t="shared" si="56"/>
        <v>365034.23000000004</v>
      </c>
      <c r="D147" s="51">
        <f t="shared" si="56"/>
        <v>45897.53</v>
      </c>
      <c r="E147" s="51">
        <f t="shared" si="56"/>
        <v>61059.85</v>
      </c>
      <c r="F147" s="51">
        <f>+F145+F146</f>
        <v>1278.48</v>
      </c>
      <c r="G147" s="51">
        <f>+G145+G146</f>
        <v>12734.12</v>
      </c>
      <c r="H147" s="51">
        <f t="shared" si="56"/>
        <v>296549.22</v>
      </c>
      <c r="I147" s="51">
        <f t="shared" si="56"/>
        <v>122176.51</v>
      </c>
      <c r="J147" s="51">
        <f t="shared" si="56"/>
        <v>2871.77</v>
      </c>
      <c r="K147" s="51">
        <f t="shared" si="56"/>
        <v>2604.6</v>
      </c>
      <c r="L147" s="51">
        <f t="shared" si="56"/>
        <v>184.02000000000004</v>
      </c>
      <c r="M147" s="51">
        <f t="shared" si="56"/>
        <v>241.69</v>
      </c>
      <c r="N147" s="51"/>
    </row>
    <row r="149" spans="1:13" ht="12.75">
      <c r="A149" s="49" t="s">
        <v>101</v>
      </c>
      <c r="B149" s="53">
        <f aca="true" t="shared" si="57" ref="B149:M149">+B147/B156</f>
        <v>21528130.476190474</v>
      </c>
      <c r="C149" s="53">
        <f t="shared" si="57"/>
        <v>31908.586538461543</v>
      </c>
      <c r="D149" s="53">
        <f t="shared" si="57"/>
        <v>7913367.24137931</v>
      </c>
      <c r="E149" s="53">
        <f t="shared" si="57"/>
        <v>2450.2347512038523</v>
      </c>
      <c r="F149" s="53">
        <f t="shared" si="57"/>
        <v>220427.58620689658</v>
      </c>
      <c r="G149" s="53">
        <f t="shared" si="57"/>
        <v>511</v>
      </c>
      <c r="H149" s="53">
        <f t="shared" si="57"/>
        <v>121387.31887024149</v>
      </c>
      <c r="I149" s="53">
        <f t="shared" si="57"/>
        <v>387.566647633549</v>
      </c>
      <c r="J149" s="53">
        <f t="shared" si="57"/>
        <v>1611.0007853696848</v>
      </c>
      <c r="K149" s="53">
        <f t="shared" si="57"/>
        <v>8682</v>
      </c>
      <c r="L149" s="53">
        <f t="shared" si="57"/>
        <v>146.32633587786262</v>
      </c>
      <c r="M149" s="53">
        <f t="shared" si="57"/>
        <v>779.6451612903226</v>
      </c>
    </row>
    <row r="150" spans="2:13" ht="12.7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</row>
    <row r="151" spans="1:13" ht="12.75" hidden="1">
      <c r="A151" s="49" t="s">
        <v>102</v>
      </c>
      <c r="B151" s="49">
        <f>B156-SUM(B152:B155)</f>
        <v>0.008483701578661906</v>
      </c>
      <c r="C151" s="49">
        <v>9.559660800731313</v>
      </c>
      <c r="D151" s="49">
        <v>0.003822302936326567</v>
      </c>
      <c r="E151" s="49">
        <v>21.086801262737474</v>
      </c>
      <c r="F151" s="49">
        <v>0.003822302936326567</v>
      </c>
      <c r="G151" s="49">
        <v>21.086801262737474</v>
      </c>
      <c r="H151" s="49">
        <v>1.6736846179655207</v>
      </c>
      <c r="I151" s="49">
        <v>265.22392433367145</v>
      </c>
      <c r="J151" s="49">
        <v>0.9054668148022766</v>
      </c>
      <c r="K151" s="49">
        <v>0.25491696919646656</v>
      </c>
      <c r="L151" s="49">
        <v>0.8361829790427533</v>
      </c>
      <c r="M151" s="49">
        <v>0.26607964226321296</v>
      </c>
    </row>
    <row r="152" spans="1:13" ht="12.75" hidden="1">
      <c r="A152" s="49" t="s">
        <v>110</v>
      </c>
      <c r="B152" s="49">
        <v>0.0027897684213380935</v>
      </c>
      <c r="C152" s="49">
        <v>0</v>
      </c>
      <c r="D152" s="49">
        <v>0.0015725370636734328</v>
      </c>
      <c r="E152" s="49">
        <v>0</v>
      </c>
      <c r="F152" s="49">
        <v>0.0015725370636734328</v>
      </c>
      <c r="G152" s="49">
        <v>0</v>
      </c>
      <c r="H152" s="49">
        <v>0.35860338203447933</v>
      </c>
      <c r="I152" s="49">
        <v>0</v>
      </c>
      <c r="J152" s="49">
        <v>0.5304609851977236</v>
      </c>
      <c r="K152" s="49">
        <v>0</v>
      </c>
      <c r="L152" s="49">
        <v>0.1670048389572467</v>
      </c>
      <c r="M152" s="49">
        <v>0</v>
      </c>
    </row>
    <row r="153" spans="1:12" ht="12.75" hidden="1">
      <c r="A153" s="49" t="s">
        <v>111</v>
      </c>
      <c r="B153" s="49">
        <v>0.001412</v>
      </c>
      <c r="D153" s="49">
        <v>0.001412</v>
      </c>
      <c r="F153" s="49">
        <v>0.001412</v>
      </c>
      <c r="H153" s="49">
        <v>0.544419</v>
      </c>
      <c r="J153" s="49">
        <v>0.511894</v>
      </c>
      <c r="L153" s="49">
        <v>0.553139</v>
      </c>
    </row>
    <row r="154" spans="1:12" ht="12.75" hidden="1">
      <c r="A154" s="49" t="s">
        <v>112</v>
      </c>
      <c r="B154" s="49">
        <v>0.000301</v>
      </c>
      <c r="D154" s="49">
        <v>0.00017</v>
      </c>
      <c r="F154" s="49">
        <v>0.00017</v>
      </c>
      <c r="H154" s="49">
        <v>0.038694</v>
      </c>
      <c r="J154" s="49">
        <v>0.057238</v>
      </c>
      <c r="L154" s="49">
        <v>0.01802</v>
      </c>
    </row>
    <row r="155" spans="1:13" ht="12.75" hidden="1">
      <c r="A155" s="49" t="s">
        <v>113</v>
      </c>
      <c r="B155" s="49">
        <v>-0.00248647</v>
      </c>
      <c r="C155" s="49">
        <v>1.8803391992686862</v>
      </c>
      <c r="D155" s="49">
        <v>-0.00117684</v>
      </c>
      <c r="E155" s="49">
        <v>3.833198737262528</v>
      </c>
      <c r="F155" s="49">
        <v>-0.00117684</v>
      </c>
      <c r="G155" s="49">
        <v>3.833198737262528</v>
      </c>
      <c r="H155" s="49">
        <v>-0.172401</v>
      </c>
      <c r="I155" s="49">
        <v>50.01607566632856</v>
      </c>
      <c r="J155" s="49">
        <v>-0.2224598</v>
      </c>
      <c r="K155" s="49">
        <v>0.04508303080353343</v>
      </c>
      <c r="L155" s="49">
        <v>-0.316746818</v>
      </c>
      <c r="M155" s="49">
        <v>0.04392035773678704</v>
      </c>
    </row>
    <row r="156" spans="1:13" ht="12.75" hidden="1">
      <c r="A156" s="49" t="s">
        <v>106</v>
      </c>
      <c r="B156" s="54">
        <v>0.0105</v>
      </c>
      <c r="C156" s="54">
        <v>11.44</v>
      </c>
      <c r="D156" s="54">
        <v>0.0058</v>
      </c>
      <c r="E156" s="54">
        <v>24.92</v>
      </c>
      <c r="F156" s="54">
        <v>0.0058</v>
      </c>
      <c r="G156" s="54">
        <v>24.92</v>
      </c>
      <c r="H156" s="54">
        <v>2.443</v>
      </c>
      <c r="I156" s="54">
        <v>315.24</v>
      </c>
      <c r="J156" s="54">
        <v>1.7826</v>
      </c>
      <c r="K156" s="55">
        <v>0.3</v>
      </c>
      <c r="L156" s="54">
        <v>1.2576</v>
      </c>
      <c r="M156" s="55">
        <v>0.31</v>
      </c>
    </row>
    <row r="157" spans="3:14" ht="12.75" hidden="1">
      <c r="C157" s="56"/>
      <c r="D157" s="69"/>
      <c r="E157" s="56"/>
      <c r="G157" s="56"/>
      <c r="I157" s="56"/>
      <c r="K157" s="56"/>
      <c r="M157" s="56"/>
      <c r="N157" s="70">
        <f>+A145</f>
        <v>38291</v>
      </c>
    </row>
    <row r="158" spans="1:14" ht="12.75">
      <c r="A158" s="58" t="s">
        <v>102</v>
      </c>
      <c r="B158" s="59">
        <f>ROUND(B149*B151,2)</f>
        <v>182638.23</v>
      </c>
      <c r="C158" s="59">
        <f aca="true" t="shared" si="58" ref="C158:M158">ROUND(C149*C151,2)</f>
        <v>305035.26</v>
      </c>
      <c r="D158" s="59">
        <f t="shared" si="58"/>
        <v>30247.29</v>
      </c>
      <c r="E158" s="59">
        <f t="shared" si="58"/>
        <v>51667.61</v>
      </c>
      <c r="F158" s="59">
        <f t="shared" si="58"/>
        <v>842.54</v>
      </c>
      <c r="G158" s="59">
        <f t="shared" si="58"/>
        <v>10775.36</v>
      </c>
      <c r="H158" s="59">
        <f t="shared" si="58"/>
        <v>203164.09</v>
      </c>
      <c r="I158" s="59">
        <f t="shared" si="58"/>
        <v>102791.95</v>
      </c>
      <c r="J158" s="59">
        <f t="shared" si="58"/>
        <v>1458.71</v>
      </c>
      <c r="K158" s="59">
        <f t="shared" si="58"/>
        <v>2213.19</v>
      </c>
      <c r="L158" s="59">
        <f t="shared" si="58"/>
        <v>122.36</v>
      </c>
      <c r="M158" s="59">
        <f t="shared" si="58"/>
        <v>207.45</v>
      </c>
      <c r="N158" s="60">
        <f>SUM(B158:M158)</f>
        <v>891164.0399999998</v>
      </c>
    </row>
    <row r="159" spans="1:15" ht="12.75">
      <c r="A159" s="61" t="s">
        <v>114</v>
      </c>
      <c r="B159" s="62">
        <f>ROUND(B149*B152,2)</f>
        <v>60058.5</v>
      </c>
      <c r="C159" s="62">
        <f aca="true" t="shared" si="59" ref="C159:M159">ROUND(C149*C152,2)</f>
        <v>0</v>
      </c>
      <c r="D159" s="62">
        <f t="shared" si="59"/>
        <v>12444.06</v>
      </c>
      <c r="E159" s="62">
        <f t="shared" si="59"/>
        <v>0</v>
      </c>
      <c r="F159" s="62">
        <f t="shared" si="59"/>
        <v>346.63</v>
      </c>
      <c r="G159" s="62">
        <f t="shared" si="59"/>
        <v>0</v>
      </c>
      <c r="H159" s="62">
        <f t="shared" si="59"/>
        <v>43529.9</v>
      </c>
      <c r="I159" s="62">
        <f t="shared" si="59"/>
        <v>0</v>
      </c>
      <c r="J159" s="62">
        <f t="shared" si="59"/>
        <v>854.57</v>
      </c>
      <c r="K159" s="62">
        <f t="shared" si="59"/>
        <v>0</v>
      </c>
      <c r="L159" s="62">
        <f t="shared" si="59"/>
        <v>24.44</v>
      </c>
      <c r="M159" s="62">
        <f t="shared" si="59"/>
        <v>0</v>
      </c>
      <c r="N159" s="63">
        <f>SUM(B159:M159)</f>
        <v>117258.1</v>
      </c>
      <c r="O159" s="32"/>
    </row>
    <row r="160" spans="1:15" ht="12.75">
      <c r="A160" s="64" t="s">
        <v>111</v>
      </c>
      <c r="B160" s="62">
        <f>ROUND(B149*B153,2)</f>
        <v>30397.72</v>
      </c>
      <c r="C160" s="62">
        <f aca="true" t="shared" si="60" ref="C160:M160">ROUND(C149*C153,2)</f>
        <v>0</v>
      </c>
      <c r="D160" s="62">
        <f t="shared" si="60"/>
        <v>11173.67</v>
      </c>
      <c r="E160" s="62">
        <f t="shared" si="60"/>
        <v>0</v>
      </c>
      <c r="F160" s="62">
        <f t="shared" si="60"/>
        <v>311.24</v>
      </c>
      <c r="G160" s="62">
        <f t="shared" si="60"/>
        <v>0</v>
      </c>
      <c r="H160" s="62">
        <f t="shared" si="60"/>
        <v>66085.56</v>
      </c>
      <c r="I160" s="62">
        <f t="shared" si="60"/>
        <v>0</v>
      </c>
      <c r="J160" s="62">
        <f t="shared" si="60"/>
        <v>824.66</v>
      </c>
      <c r="K160" s="62">
        <f t="shared" si="60"/>
        <v>0</v>
      </c>
      <c r="L160" s="62">
        <f t="shared" si="60"/>
        <v>80.94</v>
      </c>
      <c r="M160" s="62">
        <f t="shared" si="60"/>
        <v>0</v>
      </c>
      <c r="N160" s="63">
        <f>SUM(B160:M160)</f>
        <v>108873.79000000001</v>
      </c>
      <c r="O160" s="24"/>
    </row>
    <row r="161" spans="1:15" ht="12.75">
      <c r="A161" s="64" t="s">
        <v>112</v>
      </c>
      <c r="B161" s="62">
        <f>ROUND(B149*B154,2)</f>
        <v>6479.97</v>
      </c>
      <c r="C161" s="62">
        <f aca="true" t="shared" si="61" ref="C161:M161">ROUND(C149*C154,2)</f>
        <v>0</v>
      </c>
      <c r="D161" s="62">
        <f t="shared" si="61"/>
        <v>1345.27</v>
      </c>
      <c r="E161" s="62">
        <f t="shared" si="61"/>
        <v>0</v>
      </c>
      <c r="F161" s="62">
        <f t="shared" si="61"/>
        <v>37.47</v>
      </c>
      <c r="G161" s="62">
        <f t="shared" si="61"/>
        <v>0</v>
      </c>
      <c r="H161" s="62">
        <f t="shared" si="61"/>
        <v>4696.96</v>
      </c>
      <c r="I161" s="62">
        <f t="shared" si="61"/>
        <v>0</v>
      </c>
      <c r="J161" s="62">
        <f t="shared" si="61"/>
        <v>92.21</v>
      </c>
      <c r="K161" s="62">
        <f t="shared" si="61"/>
        <v>0</v>
      </c>
      <c r="L161" s="62">
        <f t="shared" si="61"/>
        <v>2.64</v>
      </c>
      <c r="M161" s="62">
        <f t="shared" si="61"/>
        <v>0</v>
      </c>
      <c r="N161" s="63">
        <f>SUM(B161:M161)</f>
        <v>12654.519999999999</v>
      </c>
      <c r="O161" s="24"/>
    </row>
    <row r="162" spans="1:15" ht="12.75">
      <c r="A162" s="65" t="s">
        <v>113</v>
      </c>
      <c r="B162" s="66">
        <f aca="true" t="shared" si="62" ref="B162:M162">ROUND(B149*B155,2)</f>
        <v>-53529.05</v>
      </c>
      <c r="C162" s="66">
        <f t="shared" si="62"/>
        <v>59998.97</v>
      </c>
      <c r="D162" s="66">
        <f t="shared" si="62"/>
        <v>-9312.77</v>
      </c>
      <c r="E162" s="66">
        <f t="shared" si="62"/>
        <v>9392.24</v>
      </c>
      <c r="F162" s="66">
        <f t="shared" si="62"/>
        <v>-259.41</v>
      </c>
      <c r="G162" s="66">
        <f t="shared" si="62"/>
        <v>1958.76</v>
      </c>
      <c r="H162" s="66">
        <f t="shared" si="62"/>
        <v>-20927.3</v>
      </c>
      <c r="I162" s="66">
        <f t="shared" si="62"/>
        <v>19384.56</v>
      </c>
      <c r="J162" s="66">
        <f t="shared" si="62"/>
        <v>-358.38</v>
      </c>
      <c r="K162" s="66">
        <f t="shared" si="62"/>
        <v>391.41</v>
      </c>
      <c r="L162" s="66">
        <f t="shared" si="62"/>
        <v>-46.35</v>
      </c>
      <c r="M162" s="66">
        <f t="shared" si="62"/>
        <v>34.24</v>
      </c>
      <c r="N162" s="67">
        <f>SUM(B162:M162)</f>
        <v>6726.919999999999</v>
      </c>
      <c r="O162" s="24"/>
    </row>
    <row r="163" spans="2:14" ht="12.75">
      <c r="B163" s="68">
        <f aca="true" t="shared" si="63" ref="B163:N163">SUM(B158:B162)-B145</f>
        <v>0</v>
      </c>
      <c r="C163" s="68">
        <f t="shared" si="63"/>
        <v>0</v>
      </c>
      <c r="D163" s="68">
        <f t="shared" si="63"/>
        <v>-0.010000000009313226</v>
      </c>
      <c r="E163" s="68">
        <f t="shared" si="63"/>
        <v>0</v>
      </c>
      <c r="F163" s="68">
        <f>SUM(F158:F162)-F145</f>
        <v>-0.009999999999990905</v>
      </c>
      <c r="G163" s="68">
        <f>SUM(G158:G162)-G145</f>
        <v>0</v>
      </c>
      <c r="H163" s="68">
        <f t="shared" si="63"/>
        <v>-0.009999999951105565</v>
      </c>
      <c r="I163" s="68">
        <f t="shared" si="63"/>
        <v>0</v>
      </c>
      <c r="J163" s="68">
        <f t="shared" si="63"/>
        <v>0</v>
      </c>
      <c r="K163" s="68">
        <f t="shared" si="63"/>
        <v>0</v>
      </c>
      <c r="L163" s="68">
        <f t="shared" si="63"/>
        <v>0.009999999999962483</v>
      </c>
      <c r="M163" s="68">
        <f t="shared" si="63"/>
        <v>0</v>
      </c>
      <c r="N163" s="68">
        <f t="shared" si="63"/>
        <v>-0.02000000048428774</v>
      </c>
    </row>
    <row r="165" spans="1:14" ht="12.75">
      <c r="A165" s="40">
        <v>38321</v>
      </c>
      <c r="B165" s="50">
        <f>+'Volumetric new rates'!K113+'Volumetric new rates'!K114</f>
        <v>204320.36000000002</v>
      </c>
      <c r="C165" s="50">
        <f>+'Service Charges new rates'!K67+'Service Charges new rates'!K68+'Service Charges new rates'!K69</f>
        <v>365792.20000000007</v>
      </c>
      <c r="D165" s="50">
        <f>+'Volumetric new rates'!K94+'Volumetric new rates'!K95</f>
        <v>42294.61</v>
      </c>
      <c r="E165" s="50">
        <f>+'Service Charges new rates'!K40</f>
        <v>61489.3</v>
      </c>
      <c r="F165" s="50">
        <f>+'Volumetric new rates'!K93</f>
        <v>1259.02</v>
      </c>
      <c r="G165" s="50">
        <f>+'Service Charges new rates'!K41</f>
        <v>12734.12</v>
      </c>
      <c r="H165" s="50">
        <f>+'Volumetric new rates'!K141+'Volumetric new rates'!K142</f>
        <v>287940.76</v>
      </c>
      <c r="I165" s="50">
        <f>+'Service Charges new rates'!K16+'Service Charges new rates'!K17</f>
        <v>123342.88</v>
      </c>
      <c r="J165" s="50">
        <f>+'Volumetric new rates'!K124</f>
        <v>2871.77</v>
      </c>
      <c r="K165" s="50">
        <f>+'Service Charges new rates'!K81</f>
        <v>2604.6</v>
      </c>
      <c r="L165" s="50">
        <f>+'Volumetric new rates'!K57+'Volumetric new rates'!K58+'Volumetric new rates'!K59+'Volumetric new rates'!K60+'Volumetric new rates'!K61+'Volumetric new rates'!K62+'Volumetric new rates'!K63</f>
        <v>183.47</v>
      </c>
      <c r="M165" s="50">
        <f>+'Service Charges new rates'!K142+'Service Charges new rates'!K143+'Service Charges new rates'!K144+'Service Charges new rates'!K145+'Service Charges new rates'!K146+'Service Charges new rates'!K147+'Service Charges new rates'!K148</f>
        <v>241.49</v>
      </c>
      <c r="N165" s="51">
        <f>SUM(B165:M165)</f>
        <v>1105074.58</v>
      </c>
    </row>
    <row r="166" spans="1:14" ht="12.75">
      <c r="A166" s="49" t="s">
        <v>109</v>
      </c>
      <c r="B166" s="66">
        <v>0</v>
      </c>
      <c r="C166" s="66">
        <v>0</v>
      </c>
      <c r="D166" s="66">
        <v>0</v>
      </c>
      <c r="E166" s="66">
        <v>0</v>
      </c>
      <c r="F166" s="66"/>
      <c r="G166" s="66"/>
      <c r="H166" s="66">
        <v>0</v>
      </c>
      <c r="I166" s="66">
        <v>0</v>
      </c>
      <c r="J166" s="66">
        <v>0</v>
      </c>
      <c r="K166" s="66">
        <v>0</v>
      </c>
      <c r="L166" s="66">
        <v>0</v>
      </c>
      <c r="M166" s="66">
        <v>0</v>
      </c>
      <c r="N166" s="66"/>
    </row>
    <row r="167" spans="1:14" ht="12.75">
      <c r="A167" s="49" t="s">
        <v>100</v>
      </c>
      <c r="B167" s="51">
        <f aca="true" t="shared" si="64" ref="B167:M167">+B165+B166</f>
        <v>204320.36000000002</v>
      </c>
      <c r="C167" s="51">
        <f t="shared" si="64"/>
        <v>365792.20000000007</v>
      </c>
      <c r="D167" s="51">
        <f t="shared" si="64"/>
        <v>42294.61</v>
      </c>
      <c r="E167" s="51">
        <f t="shared" si="64"/>
        <v>61489.3</v>
      </c>
      <c r="F167" s="51">
        <f>+F165+F166</f>
        <v>1259.02</v>
      </c>
      <c r="G167" s="51">
        <f>+G165+G166</f>
        <v>12734.12</v>
      </c>
      <c r="H167" s="51">
        <f t="shared" si="64"/>
        <v>287940.76</v>
      </c>
      <c r="I167" s="51">
        <f t="shared" si="64"/>
        <v>123342.88</v>
      </c>
      <c r="J167" s="51">
        <f t="shared" si="64"/>
        <v>2871.77</v>
      </c>
      <c r="K167" s="51">
        <f t="shared" si="64"/>
        <v>2604.6</v>
      </c>
      <c r="L167" s="51">
        <f t="shared" si="64"/>
        <v>183.47</v>
      </c>
      <c r="M167" s="51">
        <f t="shared" si="64"/>
        <v>241.49</v>
      </c>
      <c r="N167" s="51"/>
    </row>
    <row r="169" spans="1:13" ht="12.75">
      <c r="A169" s="49" t="s">
        <v>101</v>
      </c>
      <c r="B169" s="53">
        <f aca="true" t="shared" si="65" ref="B169:M169">+B167/B176</f>
        <v>19459081.904761907</v>
      </c>
      <c r="C169" s="53">
        <f t="shared" si="65"/>
        <v>31974.842657342666</v>
      </c>
      <c r="D169" s="53">
        <f t="shared" si="65"/>
        <v>7292174.137931035</v>
      </c>
      <c r="E169" s="53">
        <f t="shared" si="65"/>
        <v>2467.467897271268</v>
      </c>
      <c r="F169" s="53">
        <f t="shared" si="65"/>
        <v>217072.41379310345</v>
      </c>
      <c r="G169" s="53">
        <f t="shared" si="65"/>
        <v>511</v>
      </c>
      <c r="H169" s="53">
        <f t="shared" si="65"/>
        <v>117863.59394187474</v>
      </c>
      <c r="I169" s="53">
        <f t="shared" si="65"/>
        <v>391.26659053419615</v>
      </c>
      <c r="J169" s="53">
        <f t="shared" si="65"/>
        <v>1611.0007853696848</v>
      </c>
      <c r="K169" s="53">
        <f t="shared" si="65"/>
        <v>8682</v>
      </c>
      <c r="L169" s="53">
        <f t="shared" si="65"/>
        <v>145.88899491094148</v>
      </c>
      <c r="M169" s="53">
        <f t="shared" si="65"/>
        <v>779</v>
      </c>
    </row>
    <row r="170" spans="2:13" ht="12.7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</row>
    <row r="171" spans="1:13" ht="12.75" hidden="1">
      <c r="A171" s="49" t="s">
        <v>102</v>
      </c>
      <c r="B171" s="49">
        <f>B176-SUM(B172:B175)</f>
        <v>0.008483701578661906</v>
      </c>
      <c r="C171" s="49">
        <v>9.559660800731313</v>
      </c>
      <c r="D171" s="49">
        <v>0.003822302936326567</v>
      </c>
      <c r="E171" s="49">
        <v>21.086801262737474</v>
      </c>
      <c r="F171" s="49">
        <v>0.003822302936326567</v>
      </c>
      <c r="G171" s="49">
        <v>21.086801262737474</v>
      </c>
      <c r="H171" s="49">
        <v>1.6736846179655207</v>
      </c>
      <c r="I171" s="49">
        <v>265.22392433367145</v>
      </c>
      <c r="J171" s="49">
        <v>0.9054668148022766</v>
      </c>
      <c r="K171" s="49">
        <v>0.25491696919646656</v>
      </c>
      <c r="L171" s="49">
        <v>0.8361829790427533</v>
      </c>
      <c r="M171" s="49">
        <v>0.26607964226321296</v>
      </c>
    </row>
    <row r="172" spans="1:13" ht="12.75" hidden="1">
      <c r="A172" s="49" t="s">
        <v>110</v>
      </c>
      <c r="B172" s="49">
        <v>0.0027897684213380935</v>
      </c>
      <c r="C172" s="49">
        <v>0</v>
      </c>
      <c r="D172" s="49">
        <v>0.0015725370636734328</v>
      </c>
      <c r="E172" s="49">
        <v>0</v>
      </c>
      <c r="F172" s="49">
        <v>0.0015725370636734328</v>
      </c>
      <c r="G172" s="49">
        <v>0</v>
      </c>
      <c r="H172" s="49">
        <v>0.35860338203447933</v>
      </c>
      <c r="I172" s="49">
        <v>0</v>
      </c>
      <c r="J172" s="49">
        <v>0.5304609851977236</v>
      </c>
      <c r="K172" s="49">
        <v>0</v>
      </c>
      <c r="L172" s="49">
        <v>0.1670048389572467</v>
      </c>
      <c r="M172" s="49">
        <v>0</v>
      </c>
    </row>
    <row r="173" spans="1:12" ht="12.75" hidden="1">
      <c r="A173" s="49" t="s">
        <v>111</v>
      </c>
      <c r="B173" s="49">
        <v>0.001412</v>
      </c>
      <c r="D173" s="49">
        <v>0.001412</v>
      </c>
      <c r="F173" s="49">
        <v>0.001412</v>
      </c>
      <c r="H173" s="49">
        <v>0.544419</v>
      </c>
      <c r="J173" s="49">
        <v>0.511894</v>
      </c>
      <c r="L173" s="49">
        <v>0.553139</v>
      </c>
    </row>
    <row r="174" spans="1:12" ht="12.75" hidden="1">
      <c r="A174" s="49" t="s">
        <v>112</v>
      </c>
      <c r="B174" s="49">
        <v>0.000301</v>
      </c>
      <c r="D174" s="49">
        <v>0.00017</v>
      </c>
      <c r="F174" s="49">
        <v>0.00017</v>
      </c>
      <c r="H174" s="49">
        <v>0.038694</v>
      </c>
      <c r="J174" s="49">
        <v>0.057238</v>
      </c>
      <c r="L174" s="49">
        <v>0.01802</v>
      </c>
    </row>
    <row r="175" spans="1:13" ht="12.75" hidden="1">
      <c r="A175" s="49" t="s">
        <v>113</v>
      </c>
      <c r="B175" s="49">
        <v>-0.00248647</v>
      </c>
      <c r="C175" s="49">
        <v>1.8803391992686862</v>
      </c>
      <c r="D175" s="49">
        <v>-0.00117684</v>
      </c>
      <c r="E175" s="49">
        <v>3.833198737262528</v>
      </c>
      <c r="F175" s="49">
        <v>-0.00117684</v>
      </c>
      <c r="G175" s="49">
        <v>3.833198737262528</v>
      </c>
      <c r="H175" s="49">
        <v>-0.172401</v>
      </c>
      <c r="I175" s="49">
        <v>50.01607566632856</v>
      </c>
      <c r="J175" s="49">
        <v>-0.2224598</v>
      </c>
      <c r="K175" s="49">
        <v>0.04508303080353343</v>
      </c>
      <c r="L175" s="49">
        <v>-0.316746818</v>
      </c>
      <c r="M175" s="49">
        <v>0.04392035773678704</v>
      </c>
    </row>
    <row r="176" spans="1:13" ht="12.75" hidden="1">
      <c r="A176" s="49" t="s">
        <v>106</v>
      </c>
      <c r="B176" s="54">
        <v>0.0105</v>
      </c>
      <c r="C176" s="54">
        <v>11.44</v>
      </c>
      <c r="D176" s="54">
        <v>0.0058</v>
      </c>
      <c r="E176" s="54">
        <v>24.92</v>
      </c>
      <c r="F176" s="54">
        <v>0.0058</v>
      </c>
      <c r="G176" s="54">
        <v>24.92</v>
      </c>
      <c r="H176" s="54">
        <v>2.443</v>
      </c>
      <c r="I176" s="54">
        <v>315.24</v>
      </c>
      <c r="J176" s="54">
        <v>1.7826</v>
      </c>
      <c r="K176" s="55">
        <v>0.3</v>
      </c>
      <c r="L176" s="54">
        <v>1.2576</v>
      </c>
      <c r="M176" s="55">
        <v>0.31</v>
      </c>
    </row>
    <row r="177" spans="3:14" ht="12.75" hidden="1">
      <c r="C177" s="56"/>
      <c r="D177" s="69"/>
      <c r="E177" s="56"/>
      <c r="G177" s="56"/>
      <c r="I177" s="56"/>
      <c r="K177" s="56"/>
      <c r="M177" s="56"/>
      <c r="N177" s="70">
        <f>+A165</f>
        <v>38321</v>
      </c>
    </row>
    <row r="178" spans="1:14" ht="12.75">
      <c r="A178" s="58" t="s">
        <v>102</v>
      </c>
      <c r="B178" s="59">
        <f>ROUND(B169*B171,2)</f>
        <v>165085.04</v>
      </c>
      <c r="C178" s="59">
        <f aca="true" t="shared" si="66" ref="C178:M178">ROUND(C169*C171,2)</f>
        <v>305668.65</v>
      </c>
      <c r="D178" s="59">
        <f t="shared" si="66"/>
        <v>27872.9</v>
      </c>
      <c r="E178" s="59">
        <f t="shared" si="66"/>
        <v>52031.01</v>
      </c>
      <c r="F178" s="59">
        <f t="shared" si="66"/>
        <v>829.72</v>
      </c>
      <c r="G178" s="59">
        <f t="shared" si="66"/>
        <v>10775.36</v>
      </c>
      <c r="H178" s="59">
        <f t="shared" si="66"/>
        <v>197266.48</v>
      </c>
      <c r="I178" s="59">
        <f t="shared" si="66"/>
        <v>103773.26</v>
      </c>
      <c r="J178" s="59">
        <f t="shared" si="66"/>
        <v>1458.71</v>
      </c>
      <c r="K178" s="59">
        <f t="shared" si="66"/>
        <v>2213.19</v>
      </c>
      <c r="L178" s="59">
        <f t="shared" si="66"/>
        <v>121.99</v>
      </c>
      <c r="M178" s="59">
        <f t="shared" si="66"/>
        <v>207.28</v>
      </c>
      <c r="N178" s="60">
        <f>SUM(B178:M178)</f>
        <v>867303.59</v>
      </c>
    </row>
    <row r="179" spans="1:15" ht="12.75">
      <c r="A179" s="61" t="s">
        <v>114</v>
      </c>
      <c r="B179" s="62">
        <f>ROUND(B169*B172,2)</f>
        <v>54286.33</v>
      </c>
      <c r="C179" s="62">
        <f aca="true" t="shared" si="67" ref="C179:M179">ROUND(C169*C172,2)</f>
        <v>0</v>
      </c>
      <c r="D179" s="62">
        <f t="shared" si="67"/>
        <v>11467.21</v>
      </c>
      <c r="E179" s="62">
        <f t="shared" si="67"/>
        <v>0</v>
      </c>
      <c r="F179" s="62">
        <f t="shared" si="67"/>
        <v>341.35</v>
      </c>
      <c r="G179" s="62">
        <f t="shared" si="67"/>
        <v>0</v>
      </c>
      <c r="H179" s="62">
        <f t="shared" si="67"/>
        <v>42266.28</v>
      </c>
      <c r="I179" s="62">
        <f t="shared" si="67"/>
        <v>0</v>
      </c>
      <c r="J179" s="62">
        <f t="shared" si="67"/>
        <v>854.57</v>
      </c>
      <c r="K179" s="62">
        <f t="shared" si="67"/>
        <v>0</v>
      </c>
      <c r="L179" s="62">
        <f t="shared" si="67"/>
        <v>24.36</v>
      </c>
      <c r="M179" s="62">
        <f t="shared" si="67"/>
        <v>0</v>
      </c>
      <c r="N179" s="63">
        <f>SUM(B179:M179)</f>
        <v>109240.10000000002</v>
      </c>
      <c r="O179" s="32"/>
    </row>
    <row r="180" spans="1:15" ht="12.75">
      <c r="A180" s="64" t="s">
        <v>111</v>
      </c>
      <c r="B180" s="62">
        <f>ROUND(B169*B173,2)</f>
        <v>27476.22</v>
      </c>
      <c r="C180" s="62">
        <f aca="true" t="shared" si="68" ref="C180:M180">ROUND(C169*C173,2)</f>
        <v>0</v>
      </c>
      <c r="D180" s="62">
        <f t="shared" si="68"/>
        <v>10296.55</v>
      </c>
      <c r="E180" s="62">
        <f t="shared" si="68"/>
        <v>0</v>
      </c>
      <c r="F180" s="62">
        <f t="shared" si="68"/>
        <v>306.51</v>
      </c>
      <c r="G180" s="62">
        <f t="shared" si="68"/>
        <v>0</v>
      </c>
      <c r="H180" s="62">
        <f t="shared" si="68"/>
        <v>64167.18</v>
      </c>
      <c r="I180" s="62">
        <f t="shared" si="68"/>
        <v>0</v>
      </c>
      <c r="J180" s="62">
        <f t="shared" si="68"/>
        <v>824.66</v>
      </c>
      <c r="K180" s="62">
        <f t="shared" si="68"/>
        <v>0</v>
      </c>
      <c r="L180" s="62">
        <f t="shared" si="68"/>
        <v>80.7</v>
      </c>
      <c r="M180" s="62">
        <f t="shared" si="68"/>
        <v>0</v>
      </c>
      <c r="N180" s="63">
        <f>SUM(B180:M180)</f>
        <v>103151.82</v>
      </c>
      <c r="O180" s="24"/>
    </row>
    <row r="181" spans="1:15" ht="12.75">
      <c r="A181" s="64" t="s">
        <v>112</v>
      </c>
      <c r="B181" s="62">
        <f>ROUND(B169*B174,2)</f>
        <v>5857.18</v>
      </c>
      <c r="C181" s="62">
        <f aca="true" t="shared" si="69" ref="C181:M181">ROUND(C169*C174,2)</f>
        <v>0</v>
      </c>
      <c r="D181" s="62">
        <f t="shared" si="69"/>
        <v>1239.67</v>
      </c>
      <c r="E181" s="62">
        <f t="shared" si="69"/>
        <v>0</v>
      </c>
      <c r="F181" s="62">
        <f t="shared" si="69"/>
        <v>36.9</v>
      </c>
      <c r="G181" s="62">
        <f t="shared" si="69"/>
        <v>0</v>
      </c>
      <c r="H181" s="62">
        <f t="shared" si="69"/>
        <v>4560.61</v>
      </c>
      <c r="I181" s="62">
        <f t="shared" si="69"/>
        <v>0</v>
      </c>
      <c r="J181" s="62">
        <f t="shared" si="69"/>
        <v>92.21</v>
      </c>
      <c r="K181" s="62">
        <f t="shared" si="69"/>
        <v>0</v>
      </c>
      <c r="L181" s="62">
        <f t="shared" si="69"/>
        <v>2.63</v>
      </c>
      <c r="M181" s="62">
        <f t="shared" si="69"/>
        <v>0</v>
      </c>
      <c r="N181" s="63">
        <f>SUM(B181:M181)</f>
        <v>11789.199999999999</v>
      </c>
      <c r="O181" s="24"/>
    </row>
    <row r="182" spans="1:15" ht="12.75">
      <c r="A182" s="65" t="s">
        <v>113</v>
      </c>
      <c r="B182" s="66">
        <f aca="true" t="shared" si="70" ref="B182:M182">ROUND(B169*B175,2)</f>
        <v>-48384.42</v>
      </c>
      <c r="C182" s="66">
        <f t="shared" si="70"/>
        <v>60123.55</v>
      </c>
      <c r="D182" s="66">
        <f t="shared" si="70"/>
        <v>-8581.72</v>
      </c>
      <c r="E182" s="66">
        <f t="shared" si="70"/>
        <v>9458.29</v>
      </c>
      <c r="F182" s="66">
        <f t="shared" si="70"/>
        <v>-255.46</v>
      </c>
      <c r="G182" s="66">
        <f t="shared" si="70"/>
        <v>1958.76</v>
      </c>
      <c r="H182" s="66">
        <f t="shared" si="70"/>
        <v>-20319.8</v>
      </c>
      <c r="I182" s="66">
        <f t="shared" si="70"/>
        <v>19569.62</v>
      </c>
      <c r="J182" s="66">
        <f t="shared" si="70"/>
        <v>-358.38</v>
      </c>
      <c r="K182" s="66">
        <f t="shared" si="70"/>
        <v>391.41</v>
      </c>
      <c r="L182" s="66">
        <f t="shared" si="70"/>
        <v>-46.21</v>
      </c>
      <c r="M182" s="66">
        <f t="shared" si="70"/>
        <v>34.21</v>
      </c>
      <c r="N182" s="67">
        <f>SUM(B182:M182)</f>
        <v>13589.850000000008</v>
      </c>
      <c r="O182" s="24"/>
    </row>
    <row r="183" spans="2:14" ht="12.75">
      <c r="B183" s="68">
        <f aca="true" t="shared" si="71" ref="B183:N183">SUM(B178:B182)-B165</f>
        <v>-0.010000000038417056</v>
      </c>
      <c r="C183" s="68">
        <f t="shared" si="71"/>
        <v>0</v>
      </c>
      <c r="D183" s="68">
        <f t="shared" si="71"/>
        <v>0</v>
      </c>
      <c r="E183" s="68">
        <f t="shared" si="71"/>
        <v>0</v>
      </c>
      <c r="F183" s="68">
        <f>SUM(F178:F182)-F165</f>
        <v>0</v>
      </c>
      <c r="G183" s="68">
        <f>SUM(G178:G182)-G165</f>
        <v>0</v>
      </c>
      <c r="H183" s="68">
        <f t="shared" si="71"/>
        <v>-0.010000000009313226</v>
      </c>
      <c r="I183" s="68">
        <f t="shared" si="71"/>
        <v>0</v>
      </c>
      <c r="J183" s="68">
        <f t="shared" si="71"/>
        <v>0</v>
      </c>
      <c r="K183" s="68">
        <f t="shared" si="71"/>
        <v>0</v>
      </c>
      <c r="L183" s="68">
        <f t="shared" si="71"/>
        <v>0</v>
      </c>
      <c r="M183" s="68">
        <f t="shared" si="71"/>
        <v>0</v>
      </c>
      <c r="N183" s="68">
        <f t="shared" si="71"/>
        <v>-0.02000000001862645</v>
      </c>
    </row>
    <row r="185" spans="1:14" ht="12.75">
      <c r="A185" s="40">
        <v>38352</v>
      </c>
      <c r="B185" s="50">
        <f>+'Volumetric new rates'!K115</f>
        <v>232750.89</v>
      </c>
      <c r="C185" s="50">
        <f>+'Service Charges new rates'!K70+'Service Charges new rates'!K71</f>
        <v>366223.27</v>
      </c>
      <c r="D185" s="50">
        <f>+'Volumetric new rates'!K97</f>
        <v>46792.44</v>
      </c>
      <c r="E185" s="50">
        <f>+'Service Charges new rates'!K42</f>
        <v>61395.37</v>
      </c>
      <c r="F185" s="50">
        <f>+'Volumetric new rates'!K96</f>
        <v>1232.73</v>
      </c>
      <c r="G185" s="50">
        <f>+'Service Charges new rates'!K43</f>
        <v>12710.86</v>
      </c>
      <c r="H185" s="50">
        <f>+'Volumetric new rates'!K143+'Volumetric new rates'!K144</f>
        <v>289342.87</v>
      </c>
      <c r="I185" s="50">
        <f>+'Service Charges new rates'!K18+'Service Charges new rates'!K19</f>
        <v>123647.63</v>
      </c>
      <c r="J185" s="50">
        <f>+'Volumetric new rates'!K125</f>
        <v>2871.77</v>
      </c>
      <c r="K185" s="50">
        <f>+'Service Charges new rates'!K82</f>
        <v>2604.6</v>
      </c>
      <c r="L185" s="50">
        <f>+'Volumetric new rates'!K65+'Volumetric new rates'!K66+'Volumetric new rates'!K67+'Volumetric new rates'!K68+'Volumetric new rates'!K69+'Volumetric new rates'!K70+'Volumetric new rates'!K71</f>
        <v>179.86</v>
      </c>
      <c r="M185" s="50">
        <f>+'Service Charges new rates'!K150+'Service Charges new rates'!K151+'Service Charges new rates'!K152+'Service Charges new rates'!K153+'Service Charges new rates'!K154+'Service Charges new rates'!K155+'Service Charges new rates'!K156</f>
        <v>235.22</v>
      </c>
      <c r="N185" s="51">
        <f>SUM(B185:M185)</f>
        <v>1139987.5100000002</v>
      </c>
    </row>
    <row r="186" spans="1:14" ht="12.75">
      <c r="A186" s="49" t="s">
        <v>109</v>
      </c>
      <c r="B186" s="66">
        <v>0</v>
      </c>
      <c r="C186" s="66">
        <v>0</v>
      </c>
      <c r="D186" s="66">
        <v>0</v>
      </c>
      <c r="E186" s="66">
        <v>0</v>
      </c>
      <c r="F186" s="66"/>
      <c r="G186" s="66"/>
      <c r="H186" s="66">
        <v>0</v>
      </c>
      <c r="I186" s="66">
        <v>0</v>
      </c>
      <c r="J186" s="66">
        <v>0</v>
      </c>
      <c r="K186" s="66">
        <v>0</v>
      </c>
      <c r="L186" s="66">
        <v>0</v>
      </c>
      <c r="M186" s="66">
        <v>0</v>
      </c>
      <c r="N186" s="66"/>
    </row>
    <row r="187" spans="1:14" ht="12.75">
      <c r="A187" s="49" t="s">
        <v>100</v>
      </c>
      <c r="B187" s="51">
        <f aca="true" t="shared" si="72" ref="B187:M187">+B185+B186</f>
        <v>232750.89</v>
      </c>
      <c r="C187" s="51">
        <f t="shared" si="72"/>
        <v>366223.27</v>
      </c>
      <c r="D187" s="51">
        <f t="shared" si="72"/>
        <v>46792.44</v>
      </c>
      <c r="E187" s="51">
        <f t="shared" si="72"/>
        <v>61395.37</v>
      </c>
      <c r="F187" s="51">
        <f>+F185+F186</f>
        <v>1232.73</v>
      </c>
      <c r="G187" s="51">
        <f>+G185+G186</f>
        <v>12710.86</v>
      </c>
      <c r="H187" s="51">
        <f t="shared" si="72"/>
        <v>289342.87</v>
      </c>
      <c r="I187" s="51">
        <f t="shared" si="72"/>
        <v>123647.63</v>
      </c>
      <c r="J187" s="51">
        <f t="shared" si="72"/>
        <v>2871.77</v>
      </c>
      <c r="K187" s="51">
        <f t="shared" si="72"/>
        <v>2604.6</v>
      </c>
      <c r="L187" s="51">
        <f t="shared" si="72"/>
        <v>179.86</v>
      </c>
      <c r="M187" s="51">
        <f t="shared" si="72"/>
        <v>235.22</v>
      </c>
      <c r="N187" s="51"/>
    </row>
    <row r="189" spans="1:13" ht="12.75">
      <c r="A189" s="49" t="s">
        <v>101</v>
      </c>
      <c r="B189" s="53">
        <f aca="true" t="shared" si="73" ref="B189:M189">+B187/B196</f>
        <v>22166751.42857143</v>
      </c>
      <c r="C189" s="53">
        <f t="shared" si="73"/>
        <v>32012.523601398603</v>
      </c>
      <c r="D189" s="53">
        <f t="shared" si="73"/>
        <v>8067662.068965518</v>
      </c>
      <c r="E189" s="53">
        <f t="shared" si="73"/>
        <v>2463.698635634029</v>
      </c>
      <c r="F189" s="53">
        <f t="shared" si="73"/>
        <v>212539.6551724138</v>
      </c>
      <c r="G189" s="53">
        <f t="shared" si="73"/>
        <v>510.06661316211876</v>
      </c>
      <c r="H189" s="53">
        <f t="shared" si="73"/>
        <v>118437.52353663529</v>
      </c>
      <c r="I189" s="53">
        <f t="shared" si="73"/>
        <v>392.23331430021574</v>
      </c>
      <c r="J189" s="53">
        <f t="shared" si="73"/>
        <v>1611.0007853696848</v>
      </c>
      <c r="K189" s="53">
        <f t="shared" si="73"/>
        <v>8682</v>
      </c>
      <c r="L189" s="53">
        <f t="shared" si="73"/>
        <v>143.01844783715012</v>
      </c>
      <c r="M189" s="53">
        <f t="shared" si="73"/>
        <v>758.7741935483871</v>
      </c>
    </row>
    <row r="190" spans="2:13" ht="12.75"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</row>
    <row r="191" spans="1:13" ht="12.75" hidden="1">
      <c r="A191" s="49" t="s">
        <v>102</v>
      </c>
      <c r="B191" s="49">
        <f>B196-SUM(B192:B195)</f>
        <v>0.008483701578661906</v>
      </c>
      <c r="C191" s="49">
        <v>9.559660800731313</v>
      </c>
      <c r="D191" s="49">
        <v>0.003822302936326567</v>
      </c>
      <c r="E191" s="49">
        <v>21.086801262737474</v>
      </c>
      <c r="F191" s="49">
        <v>0.003822302936326567</v>
      </c>
      <c r="G191" s="49">
        <v>21.086801262737474</v>
      </c>
      <c r="H191" s="49">
        <v>1.6736846179655207</v>
      </c>
      <c r="I191" s="49">
        <v>265.22392433367145</v>
      </c>
      <c r="J191" s="49">
        <v>0.9054668148022766</v>
      </c>
      <c r="K191" s="49">
        <v>0.25491696919646656</v>
      </c>
      <c r="L191" s="49">
        <v>0.8361829790427533</v>
      </c>
      <c r="M191" s="49">
        <v>0.26607964226321296</v>
      </c>
    </row>
    <row r="192" spans="1:13" ht="12.75" hidden="1">
      <c r="A192" s="49" t="s">
        <v>110</v>
      </c>
      <c r="B192" s="49">
        <v>0.0027897684213380935</v>
      </c>
      <c r="C192" s="49">
        <v>0</v>
      </c>
      <c r="D192" s="49">
        <v>0.0015725370636734328</v>
      </c>
      <c r="E192" s="49">
        <v>0</v>
      </c>
      <c r="F192" s="49">
        <v>0.0015725370636734328</v>
      </c>
      <c r="G192" s="49">
        <v>0</v>
      </c>
      <c r="H192" s="49">
        <v>0.35860338203447933</v>
      </c>
      <c r="I192" s="49">
        <v>0</v>
      </c>
      <c r="J192" s="49">
        <v>0.5304609851977236</v>
      </c>
      <c r="K192" s="49">
        <v>0</v>
      </c>
      <c r="L192" s="49">
        <v>0.1670048389572467</v>
      </c>
      <c r="M192" s="49">
        <v>0</v>
      </c>
    </row>
    <row r="193" spans="1:12" ht="12.75" hidden="1">
      <c r="A193" s="49" t="s">
        <v>111</v>
      </c>
      <c r="B193" s="49">
        <v>0.001412</v>
      </c>
      <c r="D193" s="49">
        <v>0.001412</v>
      </c>
      <c r="F193" s="49">
        <v>0.001412</v>
      </c>
      <c r="H193" s="49">
        <v>0.544419</v>
      </c>
      <c r="J193" s="49">
        <v>0.511894</v>
      </c>
      <c r="L193" s="49">
        <v>0.553139</v>
      </c>
    </row>
    <row r="194" spans="1:12" ht="12.75" hidden="1">
      <c r="A194" s="49" t="s">
        <v>112</v>
      </c>
      <c r="B194" s="49">
        <v>0.000301</v>
      </c>
      <c r="D194" s="49">
        <v>0.00017</v>
      </c>
      <c r="F194" s="49">
        <v>0.00017</v>
      </c>
      <c r="H194" s="49">
        <v>0.038694</v>
      </c>
      <c r="J194" s="49">
        <v>0.057238</v>
      </c>
      <c r="L194" s="49">
        <v>0.01802</v>
      </c>
    </row>
    <row r="195" spans="1:13" ht="12.75" hidden="1">
      <c r="A195" s="49" t="s">
        <v>113</v>
      </c>
      <c r="B195" s="49">
        <v>-0.00248647</v>
      </c>
      <c r="C195" s="49">
        <v>1.8803391992686862</v>
      </c>
      <c r="D195" s="49">
        <v>-0.00117684</v>
      </c>
      <c r="E195" s="49">
        <v>3.833198737262528</v>
      </c>
      <c r="F195" s="49">
        <v>-0.00117684</v>
      </c>
      <c r="G195" s="49">
        <v>3.833198737262528</v>
      </c>
      <c r="H195" s="49">
        <v>-0.172401</v>
      </c>
      <c r="I195" s="49">
        <v>50.01607566632856</v>
      </c>
      <c r="J195" s="49">
        <v>-0.2224598</v>
      </c>
      <c r="K195" s="49">
        <v>0.04508303080353343</v>
      </c>
      <c r="L195" s="49">
        <v>-0.316746818</v>
      </c>
      <c r="M195" s="49">
        <v>0.04392035773678704</v>
      </c>
    </row>
    <row r="196" spans="1:13" ht="12.75" hidden="1">
      <c r="A196" s="49" t="s">
        <v>106</v>
      </c>
      <c r="B196" s="54">
        <v>0.0105</v>
      </c>
      <c r="C196" s="54">
        <v>11.44</v>
      </c>
      <c r="D196" s="54">
        <v>0.0058</v>
      </c>
      <c r="E196" s="54">
        <v>24.92</v>
      </c>
      <c r="F196" s="54">
        <v>0.0058</v>
      </c>
      <c r="G196" s="54">
        <v>24.92</v>
      </c>
      <c r="H196" s="54">
        <v>2.443</v>
      </c>
      <c r="I196" s="54">
        <v>315.24</v>
      </c>
      <c r="J196" s="54">
        <v>1.7826</v>
      </c>
      <c r="K196" s="55">
        <v>0.3</v>
      </c>
      <c r="L196" s="54">
        <v>1.2576</v>
      </c>
      <c r="M196" s="55">
        <v>0.31</v>
      </c>
    </row>
    <row r="197" spans="3:14" ht="12.75" hidden="1">
      <c r="C197" s="56"/>
      <c r="D197" s="69"/>
      <c r="E197" s="56"/>
      <c r="G197" s="56"/>
      <c r="I197" s="56"/>
      <c r="K197" s="56"/>
      <c r="M197" s="56"/>
      <c r="N197" s="70">
        <f>+A185</f>
        <v>38352</v>
      </c>
    </row>
    <row r="198" spans="1:14" ht="12.75">
      <c r="A198" s="58" t="s">
        <v>102</v>
      </c>
      <c r="B198" s="59">
        <f>ROUND(B189*B191,2)</f>
        <v>188056.1</v>
      </c>
      <c r="C198" s="59">
        <f aca="true" t="shared" si="74" ref="C198:M198">ROUND(C189*C191,2)</f>
        <v>306028.87</v>
      </c>
      <c r="D198" s="59">
        <f t="shared" si="74"/>
        <v>30837.05</v>
      </c>
      <c r="E198" s="59">
        <f t="shared" si="74"/>
        <v>51951.52</v>
      </c>
      <c r="F198" s="59">
        <f t="shared" si="74"/>
        <v>812.39</v>
      </c>
      <c r="G198" s="59">
        <f t="shared" si="74"/>
        <v>10755.67</v>
      </c>
      <c r="H198" s="59">
        <f t="shared" si="74"/>
        <v>198227.06</v>
      </c>
      <c r="I198" s="59">
        <f t="shared" si="74"/>
        <v>104029.66</v>
      </c>
      <c r="J198" s="59">
        <f t="shared" si="74"/>
        <v>1458.71</v>
      </c>
      <c r="K198" s="59">
        <f t="shared" si="74"/>
        <v>2213.19</v>
      </c>
      <c r="L198" s="59">
        <f t="shared" si="74"/>
        <v>119.59</v>
      </c>
      <c r="M198" s="59">
        <f t="shared" si="74"/>
        <v>201.89</v>
      </c>
      <c r="N198" s="60">
        <f>SUM(B198:M198)</f>
        <v>894691.7000000001</v>
      </c>
    </row>
    <row r="199" spans="1:15" ht="12.75">
      <c r="A199" s="61" t="s">
        <v>114</v>
      </c>
      <c r="B199" s="62">
        <f>ROUND(B189*B192,2)</f>
        <v>61840.1</v>
      </c>
      <c r="C199" s="62">
        <f aca="true" t="shared" si="75" ref="C199:M199">ROUND(C189*C192,2)</f>
        <v>0</v>
      </c>
      <c r="D199" s="62">
        <f t="shared" si="75"/>
        <v>12686.7</v>
      </c>
      <c r="E199" s="62">
        <f t="shared" si="75"/>
        <v>0</v>
      </c>
      <c r="F199" s="62">
        <f t="shared" si="75"/>
        <v>334.23</v>
      </c>
      <c r="G199" s="62">
        <f t="shared" si="75"/>
        <v>0</v>
      </c>
      <c r="H199" s="62">
        <f t="shared" si="75"/>
        <v>42472.1</v>
      </c>
      <c r="I199" s="62">
        <f t="shared" si="75"/>
        <v>0</v>
      </c>
      <c r="J199" s="62">
        <f t="shared" si="75"/>
        <v>854.57</v>
      </c>
      <c r="K199" s="62">
        <f t="shared" si="75"/>
        <v>0</v>
      </c>
      <c r="L199" s="62">
        <f t="shared" si="75"/>
        <v>23.88</v>
      </c>
      <c r="M199" s="62">
        <f t="shared" si="75"/>
        <v>0</v>
      </c>
      <c r="N199" s="63">
        <f>SUM(B199:M199)</f>
        <v>118211.58000000002</v>
      </c>
      <c r="O199" s="32"/>
    </row>
    <row r="200" spans="1:15" ht="12.75">
      <c r="A200" s="64" t="s">
        <v>111</v>
      </c>
      <c r="B200" s="62">
        <f>ROUND(B189*B193,2)</f>
        <v>31299.45</v>
      </c>
      <c r="C200" s="62">
        <f aca="true" t="shared" si="76" ref="C200:M200">ROUND(C189*C193,2)</f>
        <v>0</v>
      </c>
      <c r="D200" s="62">
        <f t="shared" si="76"/>
        <v>11391.54</v>
      </c>
      <c r="E200" s="62">
        <f t="shared" si="76"/>
        <v>0</v>
      </c>
      <c r="F200" s="62">
        <f t="shared" si="76"/>
        <v>300.11</v>
      </c>
      <c r="G200" s="62">
        <f t="shared" si="76"/>
        <v>0</v>
      </c>
      <c r="H200" s="62">
        <f t="shared" si="76"/>
        <v>64479.64</v>
      </c>
      <c r="I200" s="62">
        <f t="shared" si="76"/>
        <v>0</v>
      </c>
      <c r="J200" s="62">
        <f t="shared" si="76"/>
        <v>824.66</v>
      </c>
      <c r="K200" s="62">
        <f t="shared" si="76"/>
        <v>0</v>
      </c>
      <c r="L200" s="62">
        <f t="shared" si="76"/>
        <v>79.11</v>
      </c>
      <c r="M200" s="62">
        <f t="shared" si="76"/>
        <v>0</v>
      </c>
      <c r="N200" s="63">
        <f>SUM(B200:M200)</f>
        <v>108374.51000000001</v>
      </c>
      <c r="O200" s="24"/>
    </row>
    <row r="201" spans="1:15" ht="12.75">
      <c r="A201" s="64" t="s">
        <v>112</v>
      </c>
      <c r="B201" s="62">
        <f>ROUND(B189*B194,2)</f>
        <v>6672.19</v>
      </c>
      <c r="C201" s="62">
        <f aca="true" t="shared" si="77" ref="C201:M201">ROUND(C189*C194,2)</f>
        <v>0</v>
      </c>
      <c r="D201" s="62">
        <f t="shared" si="77"/>
        <v>1371.5</v>
      </c>
      <c r="E201" s="62">
        <f t="shared" si="77"/>
        <v>0</v>
      </c>
      <c r="F201" s="62">
        <f t="shared" si="77"/>
        <v>36.13</v>
      </c>
      <c r="G201" s="62">
        <f t="shared" si="77"/>
        <v>0</v>
      </c>
      <c r="H201" s="62">
        <f t="shared" si="77"/>
        <v>4582.82</v>
      </c>
      <c r="I201" s="62">
        <f t="shared" si="77"/>
        <v>0</v>
      </c>
      <c r="J201" s="62">
        <f t="shared" si="77"/>
        <v>92.21</v>
      </c>
      <c r="K201" s="62">
        <f t="shared" si="77"/>
        <v>0</v>
      </c>
      <c r="L201" s="62">
        <f t="shared" si="77"/>
        <v>2.58</v>
      </c>
      <c r="M201" s="62">
        <f t="shared" si="77"/>
        <v>0</v>
      </c>
      <c r="N201" s="63">
        <f>SUM(B201:M201)</f>
        <v>12757.429999999998</v>
      </c>
      <c r="O201" s="24"/>
    </row>
    <row r="202" spans="1:15" ht="12.75">
      <c r="A202" s="65" t="s">
        <v>113</v>
      </c>
      <c r="B202" s="66">
        <f aca="true" t="shared" si="78" ref="B202:M202">ROUND(B189*B195,2)</f>
        <v>-55116.96</v>
      </c>
      <c r="C202" s="66">
        <f t="shared" si="78"/>
        <v>60194.4</v>
      </c>
      <c r="D202" s="66">
        <f t="shared" si="78"/>
        <v>-9494.35</v>
      </c>
      <c r="E202" s="66">
        <f t="shared" si="78"/>
        <v>9443.85</v>
      </c>
      <c r="F202" s="66">
        <f t="shared" si="78"/>
        <v>-250.13</v>
      </c>
      <c r="G202" s="66">
        <f t="shared" si="78"/>
        <v>1955.19</v>
      </c>
      <c r="H202" s="66">
        <f t="shared" si="78"/>
        <v>-20418.75</v>
      </c>
      <c r="I202" s="66">
        <f t="shared" si="78"/>
        <v>19617.97</v>
      </c>
      <c r="J202" s="66">
        <f t="shared" si="78"/>
        <v>-358.38</v>
      </c>
      <c r="K202" s="66">
        <f t="shared" si="78"/>
        <v>391.41</v>
      </c>
      <c r="L202" s="66">
        <f t="shared" si="78"/>
        <v>-45.3</v>
      </c>
      <c r="M202" s="66">
        <f t="shared" si="78"/>
        <v>33.33</v>
      </c>
      <c r="N202" s="67">
        <f>SUM(B202:M202)</f>
        <v>5952.2800000000025</v>
      </c>
      <c r="O202" s="24"/>
    </row>
    <row r="203" spans="2:14" ht="12.75">
      <c r="B203" s="68">
        <f aca="true" t="shared" si="79" ref="B203:N203">SUM(B198:B202)-B185</f>
        <v>-0.009999999980209395</v>
      </c>
      <c r="C203" s="68">
        <f t="shared" si="79"/>
        <v>0</v>
      </c>
      <c r="D203" s="68">
        <f t="shared" si="79"/>
        <v>0</v>
      </c>
      <c r="E203" s="68">
        <f t="shared" si="79"/>
        <v>0</v>
      </c>
      <c r="F203" s="68">
        <f>SUM(F198:F202)-F185</f>
        <v>0</v>
      </c>
      <c r="G203" s="68">
        <f>SUM(G198:G202)-G185</f>
        <v>0</v>
      </c>
      <c r="H203" s="68">
        <f t="shared" si="79"/>
        <v>0</v>
      </c>
      <c r="I203" s="68">
        <f t="shared" si="79"/>
        <v>0</v>
      </c>
      <c r="J203" s="68">
        <f t="shared" si="79"/>
        <v>0</v>
      </c>
      <c r="K203" s="68">
        <f t="shared" si="79"/>
        <v>0</v>
      </c>
      <c r="L203" s="68">
        <f t="shared" si="79"/>
        <v>0</v>
      </c>
      <c r="M203" s="68">
        <f t="shared" si="79"/>
        <v>0</v>
      </c>
      <c r="N203" s="68">
        <f t="shared" si="79"/>
        <v>-0.01000000024214387</v>
      </c>
    </row>
    <row r="205" ht="12.75">
      <c r="A205" s="71" t="s">
        <v>107</v>
      </c>
    </row>
    <row r="206" spans="1:14" ht="12.75">
      <c r="A206" s="45" t="s">
        <v>98</v>
      </c>
      <c r="B206" s="72">
        <f>+B5-B25-B45-B65-B85-B105-B125-B145-B165-B185</f>
        <v>-2.6193447411060333E-10</v>
      </c>
      <c r="C206" s="72">
        <f aca="true" t="shared" si="80" ref="C206:M206">+C5-C25-C45-C65-C85-C105-C125-C145-C165-C185</f>
        <v>0.0049999995389953256</v>
      </c>
      <c r="D206" s="72">
        <f t="shared" si="80"/>
        <v>0</v>
      </c>
      <c r="E206" s="72">
        <f t="shared" si="80"/>
        <v>0.0050000000119325705</v>
      </c>
      <c r="F206" s="72">
        <f>+F5-F25-F45-F65-F85-F105-F125-F145-F165-F185</f>
        <v>0</v>
      </c>
      <c r="G206" s="72">
        <f>+G5-G25-G45-G65-G85-G105-G125-G145-G165-G185</f>
        <v>-3.456079866737127E-11</v>
      </c>
      <c r="H206" s="72">
        <f t="shared" si="80"/>
        <v>0</v>
      </c>
      <c r="I206" s="72">
        <f t="shared" si="80"/>
        <v>0.005000000004656613</v>
      </c>
      <c r="J206" s="72">
        <f t="shared" si="80"/>
        <v>0</v>
      </c>
      <c r="K206" s="72">
        <f t="shared" si="80"/>
        <v>0</v>
      </c>
      <c r="L206" s="72">
        <f t="shared" si="80"/>
        <v>-3.694822225952521E-13</v>
      </c>
      <c r="M206" s="72">
        <f t="shared" si="80"/>
        <v>-2.5579538487363607E-13</v>
      </c>
      <c r="N206" s="72">
        <f>SUM(B206:M206)</f>
        <v>0.014999999258463959</v>
      </c>
    </row>
    <row r="207" spans="1:14" ht="12.75">
      <c r="A207" s="49" t="s">
        <v>109</v>
      </c>
      <c r="B207" s="52">
        <v>0</v>
      </c>
      <c r="C207" s="52">
        <v>0</v>
      </c>
      <c r="D207" s="52">
        <v>0</v>
      </c>
      <c r="E207" s="52">
        <v>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0</v>
      </c>
      <c r="L207" s="52">
        <v>0</v>
      </c>
      <c r="M207" s="52">
        <v>0</v>
      </c>
      <c r="N207" s="52"/>
    </row>
    <row r="208" spans="1:14" ht="12.75">
      <c r="A208" s="49" t="s">
        <v>100</v>
      </c>
      <c r="B208" s="53">
        <f aca="true" t="shared" si="81" ref="B208:M208">+B206+B207</f>
        <v>-2.6193447411060333E-10</v>
      </c>
      <c r="C208" s="53">
        <f t="shared" si="81"/>
        <v>0.0049999995389953256</v>
      </c>
      <c r="D208" s="53">
        <f t="shared" si="81"/>
        <v>0</v>
      </c>
      <c r="E208" s="53">
        <f t="shared" si="81"/>
        <v>0.0050000000119325705</v>
      </c>
      <c r="F208" s="53">
        <f>+F206+F207</f>
        <v>0</v>
      </c>
      <c r="G208" s="53">
        <f>+G206+G207</f>
        <v>-3.456079866737127E-11</v>
      </c>
      <c r="H208" s="53">
        <f t="shared" si="81"/>
        <v>0</v>
      </c>
      <c r="I208" s="53">
        <f t="shared" si="81"/>
        <v>0.005000000004656613</v>
      </c>
      <c r="J208" s="53">
        <f t="shared" si="81"/>
        <v>0</v>
      </c>
      <c r="K208" s="53">
        <f t="shared" si="81"/>
        <v>0</v>
      </c>
      <c r="L208" s="53">
        <f t="shared" si="81"/>
        <v>-3.694822225952521E-13</v>
      </c>
      <c r="M208" s="53">
        <f t="shared" si="81"/>
        <v>-2.5579538487363607E-13</v>
      </c>
      <c r="N208" s="53"/>
    </row>
    <row r="210" spans="1:13" ht="12.75">
      <c r="A210" s="49" t="s">
        <v>101</v>
      </c>
      <c r="B210" s="53">
        <f aca="true" t="shared" si="82" ref="B210:M210">+B208/B216</f>
        <v>-2.5679850403000324E-08</v>
      </c>
      <c r="C210" s="53">
        <f t="shared" si="82"/>
        <v>0.0004370628967653257</v>
      </c>
      <c r="D210" s="53">
        <f t="shared" si="82"/>
        <v>0</v>
      </c>
      <c r="E210" s="53">
        <f t="shared" si="82"/>
        <v>0.0002006420550534739</v>
      </c>
      <c r="F210" s="53">
        <f>+F208/F216</f>
        <v>0</v>
      </c>
      <c r="G210" s="53">
        <f>+G208/G216</f>
        <v>-1.3868699304723625E-12</v>
      </c>
      <c r="H210" s="53">
        <f t="shared" si="82"/>
        <v>0</v>
      </c>
      <c r="I210" s="53">
        <f t="shared" si="82"/>
        <v>1.5860931368660744E-05</v>
      </c>
      <c r="J210" s="53">
        <f t="shared" si="82"/>
        <v>0</v>
      </c>
      <c r="K210" s="53">
        <f t="shared" si="82"/>
        <v>0</v>
      </c>
      <c r="L210" s="53">
        <f t="shared" si="82"/>
        <v>-3.6801018186778095E-13</v>
      </c>
      <c r="M210" s="53">
        <f t="shared" si="82"/>
        <v>-8.251464028181808E-13</v>
      </c>
    </row>
    <row r="211" spans="2:13" ht="12.75"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</row>
    <row r="212" spans="1:13" ht="12.75">
      <c r="A212" s="49" t="s">
        <v>102</v>
      </c>
      <c r="B212" s="49">
        <f aca="true" t="shared" si="83" ref="B212:M212">B216-SUM(B213:B215)</f>
        <v>0.008468558494684131</v>
      </c>
      <c r="C212" s="49">
        <f t="shared" si="83"/>
        <v>9.55964309155355</v>
      </c>
      <c r="D212" s="73">
        <f t="shared" si="83"/>
        <v>0.0037992771375589987</v>
      </c>
      <c r="E212" s="49">
        <f t="shared" si="83"/>
        <v>21.08708218640508</v>
      </c>
      <c r="F212" s="73">
        <f>F216-SUM(F213:F215)</f>
        <v>0.0037992771375589987</v>
      </c>
      <c r="G212" s="49">
        <f>G216-SUM(G213:G215)</f>
        <v>21.08708218640508</v>
      </c>
      <c r="H212" s="49">
        <f t="shared" si="83"/>
        <v>1.6737319332604152</v>
      </c>
      <c r="I212" s="49">
        <f t="shared" si="83"/>
        <v>265.2229534799843</v>
      </c>
      <c r="J212" s="49">
        <f t="shared" si="83"/>
        <v>0.9054152316260093</v>
      </c>
      <c r="K212" s="49">
        <f t="shared" si="83"/>
        <v>0.2587681456863579</v>
      </c>
      <c r="L212" s="49">
        <f t="shared" si="83"/>
        <v>0.8361010451854844</v>
      </c>
      <c r="M212" s="49">
        <f t="shared" si="83"/>
        <v>0.25699301114125417</v>
      </c>
    </row>
    <row r="213" spans="1:13" ht="12.75">
      <c r="A213" s="49" t="s">
        <v>103</v>
      </c>
      <c r="B213" s="49">
        <v>0.0003616079243880993</v>
      </c>
      <c r="C213" s="56">
        <v>0.3927085937841714</v>
      </c>
      <c r="D213" s="73">
        <v>0.00018811407935885114</v>
      </c>
      <c r="E213" s="56">
        <v>0.8004968407358231</v>
      </c>
      <c r="F213" s="73">
        <v>0.00018811407935885114</v>
      </c>
      <c r="G213" s="56">
        <v>0.8004968407358231</v>
      </c>
      <c r="H213" s="49">
        <v>0.07217116545078593</v>
      </c>
      <c r="I213" s="56">
        <v>10.445955188550439</v>
      </c>
      <c r="J213" s="49">
        <v>0.05924696846950266</v>
      </c>
      <c r="K213" s="56">
        <v>0.008611186234852675</v>
      </c>
      <c r="L213" s="74">
        <v>0.035065344322060835</v>
      </c>
      <c r="M213" s="56">
        <v>0.011070398370620899</v>
      </c>
    </row>
    <row r="214" spans="1:13" ht="12.75">
      <c r="A214" s="49" t="s">
        <v>104</v>
      </c>
      <c r="B214" s="49">
        <v>0.001204240715064637</v>
      </c>
      <c r="C214" s="56">
        <v>1.3078133688329163</v>
      </c>
      <c r="D214" s="73">
        <v>0.0006264647928392694</v>
      </c>
      <c r="E214" s="56">
        <v>2.66584558268717</v>
      </c>
      <c r="F214" s="73">
        <v>0.0006264647928392694</v>
      </c>
      <c r="G214" s="56">
        <v>2.66584558268717</v>
      </c>
      <c r="H214" s="49">
        <v>0.24034721041186058</v>
      </c>
      <c r="I214" s="56">
        <v>34.78752454631531</v>
      </c>
      <c r="J214" s="49">
        <v>0.19730654906376266</v>
      </c>
      <c r="K214" s="56">
        <v>0.02867730591513283</v>
      </c>
      <c r="L214" s="49">
        <v>0.11677596776077721</v>
      </c>
      <c r="M214" s="56">
        <v>0.03686706941626318</v>
      </c>
    </row>
    <row r="215" spans="1:13" ht="12.75">
      <c r="A215" s="49" t="s">
        <v>105</v>
      </c>
      <c r="B215" s="49">
        <v>0.00016559286586313236</v>
      </c>
      <c r="C215" s="56">
        <v>0.17983494582936133</v>
      </c>
      <c r="D215" s="69">
        <v>8.614399024288101E-05</v>
      </c>
      <c r="E215" s="56">
        <v>0.3665753901719277</v>
      </c>
      <c r="F215" s="69">
        <v>8.614399024288101E-05</v>
      </c>
      <c r="G215" s="56">
        <v>0.3665753901719277</v>
      </c>
      <c r="H215" s="49">
        <v>0.033049690876938216</v>
      </c>
      <c r="I215" s="56">
        <v>4.783566785149945</v>
      </c>
      <c r="J215" s="49">
        <v>0.027131250840725405</v>
      </c>
      <c r="K215" s="56">
        <v>0.003943362163656555</v>
      </c>
      <c r="L215" s="49">
        <v>0.01605764273167756</v>
      </c>
      <c r="M215" s="56">
        <v>0.005069521071861766</v>
      </c>
    </row>
    <row r="216" spans="1:13" ht="12.75">
      <c r="A216" s="54" t="s">
        <v>106</v>
      </c>
      <c r="B216" s="54">
        <v>0.0102</v>
      </c>
      <c r="C216" s="75">
        <v>11.44</v>
      </c>
      <c r="D216" s="54">
        <v>0.0047</v>
      </c>
      <c r="E216" s="76">
        <v>24.92</v>
      </c>
      <c r="F216" s="54">
        <v>0.0047</v>
      </c>
      <c r="G216" s="76">
        <v>24.92</v>
      </c>
      <c r="H216" s="54">
        <v>2.0193</v>
      </c>
      <c r="I216" s="76">
        <v>315.24</v>
      </c>
      <c r="J216" s="54">
        <v>1.1891</v>
      </c>
      <c r="K216" s="76">
        <v>0.3</v>
      </c>
      <c r="L216" s="54">
        <v>1.004</v>
      </c>
      <c r="M216" s="76">
        <v>0.31</v>
      </c>
    </row>
    <row r="217" spans="3:13" ht="12.75">
      <c r="C217" s="56"/>
      <c r="D217" s="69"/>
      <c r="E217" s="56"/>
      <c r="F217" s="69"/>
      <c r="G217" s="56"/>
      <c r="I217" s="56"/>
      <c r="K217" s="56"/>
      <c r="M217" s="56"/>
    </row>
    <row r="218" spans="1:15" ht="12.75">
      <c r="A218" s="58" t="s">
        <v>102</v>
      </c>
      <c r="B218" s="72">
        <f>+B18-B38-B58-B78-B98-B118-B138-B158-B178-B198</f>
        <v>0.010000000125728548</v>
      </c>
      <c r="C218" s="72">
        <f aca="true" t="shared" si="84" ref="C218:M218">+C18-C38-C58-C78-C98-C118-C138-C158-C178-C198</f>
        <v>0</v>
      </c>
      <c r="D218" s="72">
        <f t="shared" si="84"/>
        <v>0</v>
      </c>
      <c r="E218" s="72">
        <f t="shared" si="84"/>
        <v>0.019999999916763045</v>
      </c>
      <c r="F218" s="72">
        <f aca="true" t="shared" si="85" ref="F218:G222">+F18-F38-F58-F78-F98-F118-F138-F158-F178-F198</f>
        <v>0.010000000000331966</v>
      </c>
      <c r="G218" s="72">
        <f t="shared" si="85"/>
        <v>-0.009999999989304342</v>
      </c>
      <c r="H218" s="72">
        <f t="shared" si="84"/>
        <v>3.7834979593753815E-10</v>
      </c>
      <c r="I218" s="72">
        <f t="shared" si="84"/>
        <v>-0.010000000023865141</v>
      </c>
      <c r="J218" s="72">
        <f t="shared" si="84"/>
        <v>-0.019999999999527063</v>
      </c>
      <c r="K218" s="72">
        <f t="shared" si="84"/>
        <v>0</v>
      </c>
      <c r="L218" s="72">
        <f t="shared" si="84"/>
        <v>0</v>
      </c>
      <c r="M218" s="72">
        <f t="shared" si="84"/>
        <v>-3.126388037344441E-13</v>
      </c>
      <c r="N218" s="72">
        <f>+N18-N38-N58-N78-N98-N118-N138-N158-N178-N198</f>
        <v>0</v>
      </c>
      <c r="O218" s="24"/>
    </row>
    <row r="219" spans="1:15" ht="12.75">
      <c r="A219" s="61" t="s">
        <v>114</v>
      </c>
      <c r="B219" s="72">
        <f aca="true" t="shared" si="86" ref="B219:M222">+B19-B39-B59-B79-B99-B119-B139-B159-B179-B199</f>
        <v>0</v>
      </c>
      <c r="C219" s="72">
        <f t="shared" si="86"/>
        <v>0</v>
      </c>
      <c r="D219" s="72">
        <f t="shared" si="86"/>
        <v>0.010000000020227162</v>
      </c>
      <c r="E219" s="72">
        <f t="shared" si="86"/>
        <v>0</v>
      </c>
      <c r="F219" s="72">
        <f t="shared" si="85"/>
        <v>0.00999999999942247</v>
      </c>
      <c r="G219" s="72">
        <f t="shared" si="85"/>
        <v>0</v>
      </c>
      <c r="H219" s="72">
        <f t="shared" si="86"/>
        <v>0.009999999987485353</v>
      </c>
      <c r="I219" s="72">
        <f t="shared" si="86"/>
        <v>0</v>
      </c>
      <c r="J219" s="72">
        <f t="shared" si="86"/>
        <v>-1.1368683772161603E-12</v>
      </c>
      <c r="K219" s="72">
        <f t="shared" si="86"/>
        <v>0</v>
      </c>
      <c r="L219" s="72">
        <f t="shared" si="86"/>
        <v>0</v>
      </c>
      <c r="M219" s="72">
        <f t="shared" si="86"/>
        <v>0</v>
      </c>
      <c r="N219" s="72">
        <f>+N19-N39-N59-N79-N99-N119-N139-N159-N179-N199</f>
        <v>0.02999999983876478</v>
      </c>
      <c r="O219" s="24"/>
    </row>
    <row r="220" spans="1:15" ht="12.75">
      <c r="A220" s="64" t="s">
        <v>111</v>
      </c>
      <c r="B220" s="72">
        <f t="shared" si="86"/>
        <v>0.009999999976571416</v>
      </c>
      <c r="C220" s="72">
        <f t="shared" si="86"/>
        <v>0</v>
      </c>
      <c r="D220" s="72">
        <f t="shared" si="86"/>
        <v>0</v>
      </c>
      <c r="E220" s="72">
        <f t="shared" si="86"/>
        <v>0</v>
      </c>
      <c r="F220" s="72">
        <f t="shared" si="85"/>
        <v>0</v>
      </c>
      <c r="G220" s="72">
        <f t="shared" si="85"/>
        <v>0</v>
      </c>
      <c r="H220" s="72">
        <f t="shared" si="86"/>
        <v>6.548361852765083E-11</v>
      </c>
      <c r="I220" s="72">
        <f t="shared" si="86"/>
        <v>0</v>
      </c>
      <c r="J220" s="72">
        <f t="shared" si="86"/>
        <v>0</v>
      </c>
      <c r="K220" s="72">
        <f t="shared" si="86"/>
        <v>0</v>
      </c>
      <c r="L220" s="72">
        <f t="shared" si="86"/>
        <v>0.009999999999934062</v>
      </c>
      <c r="M220" s="72">
        <f t="shared" si="86"/>
        <v>0</v>
      </c>
      <c r="N220" s="72">
        <f>+N20-N40-N60-N80-N100-N120-N140-N160-N180-N200</f>
        <v>0.01999999993131496</v>
      </c>
      <c r="O220" s="24"/>
    </row>
    <row r="221" spans="1:15" ht="12.75">
      <c r="A221" s="64" t="s">
        <v>112</v>
      </c>
      <c r="B221" s="72">
        <f t="shared" si="86"/>
        <v>-0.009999999999308784</v>
      </c>
      <c r="C221" s="72">
        <f t="shared" si="86"/>
        <v>0</v>
      </c>
      <c r="D221" s="72">
        <f t="shared" si="86"/>
        <v>0</v>
      </c>
      <c r="E221" s="72">
        <f t="shared" si="86"/>
        <v>0</v>
      </c>
      <c r="F221" s="72">
        <f t="shared" si="85"/>
        <v>0</v>
      </c>
      <c r="G221" s="72">
        <f t="shared" si="85"/>
        <v>0</v>
      </c>
      <c r="H221" s="72">
        <f t="shared" si="86"/>
        <v>0.010000000006584742</v>
      </c>
      <c r="I221" s="72">
        <f t="shared" si="86"/>
        <v>0</v>
      </c>
      <c r="J221" s="72">
        <f t="shared" si="86"/>
        <v>0</v>
      </c>
      <c r="K221" s="72">
        <f t="shared" si="86"/>
        <v>0</v>
      </c>
      <c r="L221" s="72">
        <f t="shared" si="86"/>
        <v>4.440892098500626E-15</v>
      </c>
      <c r="M221" s="72">
        <f t="shared" si="86"/>
        <v>0</v>
      </c>
      <c r="N221" s="72">
        <f>+N21-N41-N61-N81-N101-N121-N141-N161-N181-N201</f>
        <v>0</v>
      </c>
      <c r="O221" s="24"/>
    </row>
    <row r="222" spans="1:15" ht="12.75">
      <c r="A222" s="65" t="s">
        <v>113</v>
      </c>
      <c r="B222" s="72">
        <f t="shared" si="86"/>
        <v>-0.009999999972933438</v>
      </c>
      <c r="C222" s="72">
        <f t="shared" si="86"/>
        <v>0.010000000045693014</v>
      </c>
      <c r="D222" s="72">
        <f t="shared" si="86"/>
        <v>-1.4551915228366852E-11</v>
      </c>
      <c r="E222" s="72">
        <f t="shared" si="86"/>
        <v>-0.019999999984065653</v>
      </c>
      <c r="F222" s="72">
        <f t="shared" si="85"/>
        <v>0.02000000000046498</v>
      </c>
      <c r="G222" s="72">
        <f t="shared" si="85"/>
        <v>0.009999999997262421</v>
      </c>
      <c r="H222" s="72">
        <f t="shared" si="86"/>
        <v>0.020000000000436557</v>
      </c>
      <c r="I222" s="72">
        <f t="shared" si="86"/>
        <v>0.020000000014988473</v>
      </c>
      <c r="J222" s="72">
        <f t="shared" si="86"/>
        <v>0</v>
      </c>
      <c r="K222" s="72">
        <f t="shared" si="86"/>
        <v>0</v>
      </c>
      <c r="L222" s="72">
        <f t="shared" si="86"/>
        <v>0</v>
      </c>
      <c r="M222" s="72">
        <f t="shared" si="86"/>
        <v>-9.237055564881302E-14</v>
      </c>
      <c r="N222" s="72">
        <f>+N22-N42-N62-N82-N102-N122-N142-N162-N182-N202</f>
        <v>0.05000000003747118</v>
      </c>
      <c r="O222" s="24"/>
    </row>
    <row r="223" spans="1:14" ht="13.5" thickBot="1">
      <c r="A223" s="77"/>
      <c r="B223" s="78">
        <f>+B206-B218-B220-B221-B222-B219</f>
        <v>-3.9199221646413207E-10</v>
      </c>
      <c r="C223" s="78">
        <f aca="true" t="shared" si="87" ref="C223:N223">+C206-C218-C220-C221-C222-C219</f>
        <v>-0.005000000506697688</v>
      </c>
      <c r="D223" s="78">
        <f t="shared" si="87"/>
        <v>-0.010000000005675247</v>
      </c>
      <c r="E223" s="78">
        <f t="shared" si="87"/>
        <v>0.005000000079235178</v>
      </c>
      <c r="F223" s="78">
        <f>+F206-F218-F220-F221-F222-F219</f>
        <v>-0.040000000000219416</v>
      </c>
      <c r="G223" s="78">
        <f>+G206-G218-G220-G221-G222-G219</f>
        <v>-4.2518877307884395E-11</v>
      </c>
      <c r="H223" s="78">
        <f t="shared" si="87"/>
        <v>-0.040000000438340066</v>
      </c>
      <c r="I223" s="78">
        <f t="shared" si="87"/>
        <v>-0.004999999986466719</v>
      </c>
      <c r="J223" s="78">
        <f t="shared" si="87"/>
        <v>0.02000000000066393</v>
      </c>
      <c r="K223" s="78">
        <f t="shared" si="87"/>
        <v>0</v>
      </c>
      <c r="L223" s="78">
        <f t="shared" si="87"/>
        <v>-0.010000000000307985</v>
      </c>
      <c r="M223" s="78">
        <f t="shared" si="87"/>
        <v>1.4921397450962104E-13</v>
      </c>
      <c r="N223" s="78">
        <f t="shared" si="87"/>
        <v>-0.08500000054908696</v>
      </c>
    </row>
  </sheetData>
  <sheetProtection/>
  <printOptions/>
  <pageMargins left="0.25" right="0" top="1" bottom="1" header="0.5" footer="0.5"/>
  <pageSetup fitToHeight="5" fitToWidth="1" horizontalDpi="600" verticalDpi="600" orientation="landscape" paperSize="5" scale="87" r:id="rId1"/>
  <headerFooter alignWithMargins="0">
    <oddFooter>&amp;L&amp;D&amp;C&amp;F&amp;R&amp;A</oddFooter>
  </headerFooter>
  <rowBreaks count="3" manualBreakCount="3">
    <brk id="84" max="11" man="1"/>
    <brk id="124" max="11" man="1"/>
    <brk id="164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57"/>
  <sheetViews>
    <sheetView zoomScalePageLayoutView="0" workbookViewId="0" topLeftCell="A1">
      <selection activeCell="A85" sqref="A85"/>
    </sheetView>
  </sheetViews>
  <sheetFormatPr defaultColWidth="9.33203125" defaultRowHeight="12.75"/>
  <cols>
    <col min="2" max="2" width="7.66015625" style="0" customWidth="1"/>
    <col min="3" max="3" width="3.66015625" style="0" customWidth="1"/>
    <col min="7" max="7" width="5.83203125" style="0" customWidth="1"/>
    <col min="8" max="8" width="3.16015625" style="0" customWidth="1"/>
    <col min="11" max="11" width="14" style="1" bestFit="1" customWidth="1"/>
    <col min="12" max="12" width="4.66015625" style="0" customWidth="1"/>
    <col min="14" max="14" width="29" style="0" bestFit="1" customWidth="1"/>
  </cols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t="s">
        <v>11</v>
      </c>
      <c r="M1" t="s">
        <v>12</v>
      </c>
      <c r="N1" t="s">
        <v>13</v>
      </c>
    </row>
    <row r="2" spans="1:14" ht="12.75">
      <c r="A2">
        <v>200404</v>
      </c>
      <c r="B2" t="s">
        <v>83</v>
      </c>
      <c r="D2" t="s">
        <v>33</v>
      </c>
      <c r="E2">
        <v>100</v>
      </c>
      <c r="F2" t="s">
        <v>25</v>
      </c>
      <c r="G2" t="s">
        <v>15</v>
      </c>
      <c r="H2">
        <v>0</v>
      </c>
      <c r="I2" t="s">
        <v>85</v>
      </c>
      <c r="J2">
        <v>0</v>
      </c>
      <c r="K2" s="36">
        <f>12924.84/2</f>
        <v>6462.42</v>
      </c>
      <c r="L2">
        <v>0</v>
      </c>
      <c r="M2" t="s">
        <v>34</v>
      </c>
      <c r="N2" t="s">
        <v>19</v>
      </c>
    </row>
    <row r="3" spans="1:14" ht="12.75">
      <c r="A3">
        <v>200404</v>
      </c>
      <c r="B3" t="s">
        <v>83</v>
      </c>
      <c r="D3" t="s">
        <v>24</v>
      </c>
      <c r="E3">
        <v>100</v>
      </c>
      <c r="F3" t="s">
        <v>25</v>
      </c>
      <c r="G3" t="s">
        <v>15</v>
      </c>
      <c r="H3">
        <v>0</v>
      </c>
      <c r="I3" t="s">
        <v>85</v>
      </c>
      <c r="J3">
        <v>0</v>
      </c>
      <c r="K3" s="36">
        <f>108747.31/2</f>
        <v>54373.655</v>
      </c>
      <c r="L3">
        <v>0</v>
      </c>
      <c r="M3" t="s">
        <v>26</v>
      </c>
      <c r="N3" t="s">
        <v>19</v>
      </c>
    </row>
    <row r="4" spans="1:14" ht="12.75">
      <c r="A4">
        <v>200405</v>
      </c>
      <c r="B4" t="s">
        <v>83</v>
      </c>
      <c r="D4" t="s">
        <v>33</v>
      </c>
      <c r="E4">
        <v>100</v>
      </c>
      <c r="F4" t="s">
        <v>25</v>
      </c>
      <c r="G4" t="s">
        <v>15</v>
      </c>
      <c r="H4">
        <v>0</v>
      </c>
      <c r="J4">
        <v>0</v>
      </c>
      <c r="K4" s="36">
        <v>12924.84</v>
      </c>
      <c r="L4">
        <v>0</v>
      </c>
      <c r="M4" t="s">
        <v>34</v>
      </c>
      <c r="N4" t="s">
        <v>19</v>
      </c>
    </row>
    <row r="5" spans="1:14" ht="12.75">
      <c r="A5">
        <v>200405</v>
      </c>
      <c r="B5" t="s">
        <v>83</v>
      </c>
      <c r="D5" t="s">
        <v>24</v>
      </c>
      <c r="E5">
        <v>100</v>
      </c>
      <c r="F5" t="s">
        <v>25</v>
      </c>
      <c r="G5" t="s">
        <v>15</v>
      </c>
      <c r="H5">
        <v>0</v>
      </c>
      <c r="J5">
        <v>0</v>
      </c>
      <c r="K5" s="36">
        <v>109368.47</v>
      </c>
      <c r="L5">
        <v>0</v>
      </c>
      <c r="M5" t="s">
        <v>26</v>
      </c>
      <c r="N5" t="s">
        <v>19</v>
      </c>
    </row>
    <row r="6" spans="1:14" ht="12.75">
      <c r="A6">
        <v>200406</v>
      </c>
      <c r="B6" t="s">
        <v>83</v>
      </c>
      <c r="D6" t="s">
        <v>33</v>
      </c>
      <c r="E6">
        <v>100</v>
      </c>
      <c r="F6" t="s">
        <v>25</v>
      </c>
      <c r="G6" t="s">
        <v>15</v>
      </c>
      <c r="H6">
        <v>0</v>
      </c>
      <c r="J6">
        <v>0</v>
      </c>
      <c r="K6" s="36">
        <v>12609.6</v>
      </c>
      <c r="L6">
        <v>0</v>
      </c>
      <c r="M6" t="s">
        <v>34</v>
      </c>
      <c r="N6" t="s">
        <v>19</v>
      </c>
    </row>
    <row r="7" spans="1:14" ht="12.75">
      <c r="A7">
        <v>200406</v>
      </c>
      <c r="B7" t="s">
        <v>83</v>
      </c>
      <c r="D7" t="s">
        <v>24</v>
      </c>
      <c r="E7">
        <v>100</v>
      </c>
      <c r="F7" t="s">
        <v>25</v>
      </c>
      <c r="G7" t="s">
        <v>15</v>
      </c>
      <c r="H7">
        <v>0</v>
      </c>
      <c r="J7">
        <v>0</v>
      </c>
      <c r="K7" s="36">
        <v>108925.93</v>
      </c>
      <c r="L7">
        <v>0</v>
      </c>
      <c r="M7" t="s">
        <v>26</v>
      </c>
      <c r="N7" t="s">
        <v>19</v>
      </c>
    </row>
    <row r="8" spans="1:14" ht="12.75">
      <c r="A8">
        <v>200407</v>
      </c>
      <c r="B8" t="s">
        <v>83</v>
      </c>
      <c r="D8" t="s">
        <v>33</v>
      </c>
      <c r="E8">
        <v>100</v>
      </c>
      <c r="F8" t="s">
        <v>25</v>
      </c>
      <c r="G8" t="s">
        <v>15</v>
      </c>
      <c r="H8">
        <v>0</v>
      </c>
      <c r="J8">
        <v>0</v>
      </c>
      <c r="K8" s="36">
        <v>12609.6</v>
      </c>
      <c r="L8">
        <v>0</v>
      </c>
      <c r="M8" t="s">
        <v>34</v>
      </c>
      <c r="N8" t="s">
        <v>19</v>
      </c>
    </row>
    <row r="9" spans="1:14" ht="12.75">
      <c r="A9">
        <v>200407</v>
      </c>
      <c r="B9" t="s">
        <v>83</v>
      </c>
      <c r="D9" t="s">
        <v>24</v>
      </c>
      <c r="E9">
        <v>100</v>
      </c>
      <c r="F9" t="s">
        <v>25</v>
      </c>
      <c r="G9" t="s">
        <v>15</v>
      </c>
      <c r="H9">
        <v>0</v>
      </c>
      <c r="J9">
        <v>0</v>
      </c>
      <c r="K9" s="36">
        <v>109850.64</v>
      </c>
      <c r="L9">
        <v>0</v>
      </c>
      <c r="M9" t="s">
        <v>26</v>
      </c>
      <c r="N9" t="s">
        <v>19</v>
      </c>
    </row>
    <row r="10" spans="1:14" ht="12.75">
      <c r="A10">
        <v>200408</v>
      </c>
      <c r="B10" t="s">
        <v>83</v>
      </c>
      <c r="D10" t="s">
        <v>33</v>
      </c>
      <c r="E10">
        <v>100</v>
      </c>
      <c r="F10" t="s">
        <v>25</v>
      </c>
      <c r="G10" t="s">
        <v>15</v>
      </c>
      <c r="H10">
        <v>0</v>
      </c>
      <c r="J10">
        <v>0</v>
      </c>
      <c r="K10" s="36">
        <v>12924.84</v>
      </c>
      <c r="L10">
        <v>0</v>
      </c>
      <c r="M10" t="s">
        <v>34</v>
      </c>
      <c r="N10" t="s">
        <v>19</v>
      </c>
    </row>
    <row r="11" spans="1:14" ht="12.75">
      <c r="A11">
        <v>200408</v>
      </c>
      <c r="B11" t="s">
        <v>83</v>
      </c>
      <c r="D11" t="s">
        <v>24</v>
      </c>
      <c r="E11">
        <v>100</v>
      </c>
      <c r="F11" t="s">
        <v>25</v>
      </c>
      <c r="G11" t="s">
        <v>15</v>
      </c>
      <c r="H11">
        <v>0</v>
      </c>
      <c r="J11">
        <v>0</v>
      </c>
      <c r="K11" s="36">
        <v>109052.01</v>
      </c>
      <c r="L11">
        <v>0</v>
      </c>
      <c r="M11" t="s">
        <v>26</v>
      </c>
      <c r="N11" t="s">
        <v>19</v>
      </c>
    </row>
    <row r="12" spans="1:14" ht="12.75">
      <c r="A12">
        <v>200409</v>
      </c>
      <c r="B12" t="s">
        <v>83</v>
      </c>
      <c r="D12" t="s">
        <v>33</v>
      </c>
      <c r="E12">
        <v>100</v>
      </c>
      <c r="F12" t="s">
        <v>25</v>
      </c>
      <c r="G12" t="s">
        <v>15</v>
      </c>
      <c r="H12">
        <v>0</v>
      </c>
      <c r="J12">
        <v>0</v>
      </c>
      <c r="K12" s="36">
        <v>12609.6</v>
      </c>
      <c r="L12">
        <v>0</v>
      </c>
      <c r="M12" t="s">
        <v>34</v>
      </c>
      <c r="N12" t="s">
        <v>19</v>
      </c>
    </row>
    <row r="13" spans="1:14" ht="12.75">
      <c r="A13">
        <v>200409</v>
      </c>
      <c r="B13" t="s">
        <v>83</v>
      </c>
      <c r="D13" t="s">
        <v>24</v>
      </c>
      <c r="E13">
        <v>100</v>
      </c>
      <c r="F13" t="s">
        <v>25</v>
      </c>
      <c r="G13" t="s">
        <v>15</v>
      </c>
      <c r="H13">
        <v>0</v>
      </c>
      <c r="J13">
        <v>0</v>
      </c>
      <c r="K13" s="36">
        <v>110523.15</v>
      </c>
      <c r="L13">
        <v>0</v>
      </c>
      <c r="M13" t="s">
        <v>26</v>
      </c>
      <c r="N13" t="s">
        <v>19</v>
      </c>
    </row>
    <row r="14" spans="1:14" ht="12.75">
      <c r="A14">
        <v>200410</v>
      </c>
      <c r="B14" t="s">
        <v>83</v>
      </c>
      <c r="D14" t="s">
        <v>33</v>
      </c>
      <c r="E14">
        <v>100</v>
      </c>
      <c r="F14" t="s">
        <v>25</v>
      </c>
      <c r="G14" t="s">
        <v>15</v>
      </c>
      <c r="H14">
        <v>0</v>
      </c>
      <c r="J14">
        <v>0</v>
      </c>
      <c r="K14" s="36">
        <v>13870.56</v>
      </c>
      <c r="L14">
        <v>0</v>
      </c>
      <c r="M14" t="s">
        <v>34</v>
      </c>
      <c r="N14" t="s">
        <v>19</v>
      </c>
    </row>
    <row r="15" spans="1:14" ht="12.75">
      <c r="A15">
        <v>200410</v>
      </c>
      <c r="B15" t="s">
        <v>83</v>
      </c>
      <c r="D15" t="s">
        <v>24</v>
      </c>
      <c r="E15">
        <v>100</v>
      </c>
      <c r="F15" t="s">
        <v>25</v>
      </c>
      <c r="G15" t="s">
        <v>15</v>
      </c>
      <c r="H15">
        <v>0</v>
      </c>
      <c r="J15">
        <v>0</v>
      </c>
      <c r="K15" s="36">
        <v>108305.95</v>
      </c>
      <c r="L15">
        <v>0</v>
      </c>
      <c r="M15" t="s">
        <v>26</v>
      </c>
      <c r="N15" t="s">
        <v>19</v>
      </c>
    </row>
    <row r="16" spans="1:14" ht="12.75">
      <c r="A16">
        <v>200411</v>
      </c>
      <c r="B16" t="s">
        <v>83</v>
      </c>
      <c r="D16" t="s">
        <v>33</v>
      </c>
      <c r="E16">
        <v>100</v>
      </c>
      <c r="F16" t="s">
        <v>25</v>
      </c>
      <c r="G16" t="s">
        <v>15</v>
      </c>
      <c r="H16">
        <v>0</v>
      </c>
      <c r="J16">
        <v>0</v>
      </c>
      <c r="K16" s="36">
        <v>13870.56</v>
      </c>
      <c r="L16">
        <v>0</v>
      </c>
      <c r="M16" t="s">
        <v>34</v>
      </c>
      <c r="N16" t="s">
        <v>19</v>
      </c>
    </row>
    <row r="17" spans="1:14" ht="12.75">
      <c r="A17">
        <v>200411</v>
      </c>
      <c r="B17" t="s">
        <v>83</v>
      </c>
      <c r="D17" t="s">
        <v>24</v>
      </c>
      <c r="E17">
        <v>100</v>
      </c>
      <c r="F17" t="s">
        <v>25</v>
      </c>
      <c r="G17" t="s">
        <v>15</v>
      </c>
      <c r="H17">
        <v>0</v>
      </c>
      <c r="J17">
        <v>0</v>
      </c>
      <c r="K17" s="36">
        <v>109472.32</v>
      </c>
      <c r="L17">
        <v>0</v>
      </c>
      <c r="M17" t="s">
        <v>26</v>
      </c>
      <c r="N17" t="s">
        <v>19</v>
      </c>
    </row>
    <row r="18" spans="1:14" ht="12.75">
      <c r="A18">
        <v>200412</v>
      </c>
      <c r="B18" t="s">
        <v>83</v>
      </c>
      <c r="D18" t="s">
        <v>33</v>
      </c>
      <c r="E18">
        <v>100</v>
      </c>
      <c r="F18" t="s">
        <v>25</v>
      </c>
      <c r="G18" t="s">
        <v>15</v>
      </c>
      <c r="H18">
        <v>0</v>
      </c>
      <c r="J18">
        <v>0</v>
      </c>
      <c r="K18" s="36">
        <v>14501.04</v>
      </c>
      <c r="L18">
        <v>0</v>
      </c>
      <c r="M18" t="s">
        <v>34</v>
      </c>
      <c r="N18" t="s">
        <v>19</v>
      </c>
    </row>
    <row r="19" spans="1:14" ht="12.75">
      <c r="A19">
        <v>200412</v>
      </c>
      <c r="B19" t="s">
        <v>83</v>
      </c>
      <c r="D19" t="s">
        <v>24</v>
      </c>
      <c r="E19">
        <v>100</v>
      </c>
      <c r="F19" t="s">
        <v>25</v>
      </c>
      <c r="G19" t="s">
        <v>15</v>
      </c>
      <c r="H19">
        <v>0</v>
      </c>
      <c r="J19">
        <v>0</v>
      </c>
      <c r="K19" s="36">
        <v>109146.59</v>
      </c>
      <c r="L19">
        <v>0</v>
      </c>
      <c r="M19" t="s">
        <v>26</v>
      </c>
      <c r="N19" t="s">
        <v>19</v>
      </c>
    </row>
    <row r="20" ht="12.75">
      <c r="K20" s="37">
        <f>SUM(K2:K19)</f>
        <v>1041401.775</v>
      </c>
    </row>
    <row r="21" ht="12.75">
      <c r="N21" s="90">
        <f>+K24+K26+K28+K31+K34+K36+K39+K41+K43</f>
        <v>107870.35999999999</v>
      </c>
    </row>
    <row r="22" spans="1:14" ht="12.75">
      <c r="A22">
        <v>200404</v>
      </c>
      <c r="B22" t="s">
        <v>84</v>
      </c>
      <c r="D22" t="s">
        <v>16</v>
      </c>
      <c r="E22">
        <v>100</v>
      </c>
      <c r="F22" t="s">
        <v>17</v>
      </c>
      <c r="G22" t="s">
        <v>15</v>
      </c>
      <c r="H22">
        <v>0</v>
      </c>
      <c r="I22" t="s">
        <v>85</v>
      </c>
      <c r="J22">
        <v>0</v>
      </c>
      <c r="K22" s="36">
        <f>60808.07/2</f>
        <v>30404.035</v>
      </c>
      <c r="L22">
        <v>0</v>
      </c>
      <c r="M22" t="s">
        <v>18</v>
      </c>
      <c r="N22" t="s">
        <v>19</v>
      </c>
    </row>
    <row r="23" spans="1:14" ht="12.75">
      <c r="A23">
        <v>200404</v>
      </c>
      <c r="B23" t="s">
        <v>84</v>
      </c>
      <c r="D23" t="s">
        <v>16</v>
      </c>
      <c r="E23">
        <v>100</v>
      </c>
      <c r="F23" t="s">
        <v>17</v>
      </c>
      <c r="G23" t="s">
        <v>15</v>
      </c>
      <c r="H23">
        <v>0</v>
      </c>
      <c r="I23" t="s">
        <v>85</v>
      </c>
      <c r="J23">
        <v>0</v>
      </c>
      <c r="K23" s="36">
        <f>49.84/2</f>
        <v>24.92</v>
      </c>
      <c r="L23">
        <v>0</v>
      </c>
      <c r="M23" t="s">
        <v>18</v>
      </c>
      <c r="N23" t="s">
        <v>19</v>
      </c>
    </row>
    <row r="24" spans="1:14" ht="12.75">
      <c r="A24">
        <v>200404</v>
      </c>
      <c r="B24" t="s">
        <v>84</v>
      </c>
      <c r="D24" t="s">
        <v>30</v>
      </c>
      <c r="E24">
        <v>100</v>
      </c>
      <c r="F24" t="s">
        <v>31</v>
      </c>
      <c r="G24" t="s">
        <v>15</v>
      </c>
      <c r="H24">
        <v>0</v>
      </c>
      <c r="I24" t="s">
        <v>85</v>
      </c>
      <c r="J24">
        <v>0</v>
      </c>
      <c r="K24" s="89">
        <f>12586.26/2</f>
        <v>6293.13</v>
      </c>
      <c r="L24">
        <v>0</v>
      </c>
      <c r="M24" t="s">
        <v>32</v>
      </c>
      <c r="N24" t="s">
        <v>19</v>
      </c>
    </row>
    <row r="25" spans="1:14" ht="12.75">
      <c r="A25">
        <v>200405</v>
      </c>
      <c r="B25" t="s">
        <v>84</v>
      </c>
      <c r="D25" t="s">
        <v>16</v>
      </c>
      <c r="E25">
        <v>100</v>
      </c>
      <c r="F25" t="s">
        <v>17</v>
      </c>
      <c r="G25" t="s">
        <v>15</v>
      </c>
      <c r="H25">
        <v>0</v>
      </c>
      <c r="J25">
        <v>0</v>
      </c>
      <c r="K25" s="36">
        <v>60893.87</v>
      </c>
      <c r="L25">
        <v>0</v>
      </c>
      <c r="M25" t="s">
        <v>18</v>
      </c>
      <c r="N25" t="s">
        <v>19</v>
      </c>
    </row>
    <row r="26" spans="1:14" ht="12.75">
      <c r="A26">
        <v>200405</v>
      </c>
      <c r="B26" t="s">
        <v>84</v>
      </c>
      <c r="D26" t="s">
        <v>30</v>
      </c>
      <c r="E26">
        <v>100</v>
      </c>
      <c r="F26" t="s">
        <v>31</v>
      </c>
      <c r="G26" t="s">
        <v>15</v>
      </c>
      <c r="H26">
        <v>0</v>
      </c>
      <c r="J26">
        <v>0</v>
      </c>
      <c r="K26" s="89">
        <v>12609.52</v>
      </c>
      <c r="L26">
        <v>0</v>
      </c>
      <c r="M26" t="s">
        <v>32</v>
      </c>
      <c r="N26" t="s">
        <v>19</v>
      </c>
    </row>
    <row r="27" spans="1:14" ht="12.75">
      <c r="A27">
        <v>200406</v>
      </c>
      <c r="B27" t="s">
        <v>84</v>
      </c>
      <c r="D27" t="s">
        <v>16</v>
      </c>
      <c r="E27">
        <v>100</v>
      </c>
      <c r="F27" t="s">
        <v>17</v>
      </c>
      <c r="G27" t="s">
        <v>15</v>
      </c>
      <c r="H27">
        <v>0</v>
      </c>
      <c r="J27">
        <v>0</v>
      </c>
      <c r="K27" s="36">
        <v>60838.03</v>
      </c>
      <c r="L27">
        <v>0</v>
      </c>
      <c r="M27" t="s">
        <v>18</v>
      </c>
      <c r="N27" t="s">
        <v>19</v>
      </c>
    </row>
    <row r="28" spans="1:14" ht="12.75">
      <c r="A28">
        <v>200406</v>
      </c>
      <c r="B28" t="s">
        <v>84</v>
      </c>
      <c r="D28" t="s">
        <v>30</v>
      </c>
      <c r="E28">
        <v>100</v>
      </c>
      <c r="F28" t="s">
        <v>31</v>
      </c>
      <c r="G28" t="s">
        <v>15</v>
      </c>
      <c r="H28">
        <v>0</v>
      </c>
      <c r="J28">
        <v>0</v>
      </c>
      <c r="K28" s="89">
        <v>12626.13</v>
      </c>
      <c r="L28">
        <v>0</v>
      </c>
      <c r="M28" t="s">
        <v>32</v>
      </c>
      <c r="N28" t="s">
        <v>19</v>
      </c>
    </row>
    <row r="29" spans="1:14" ht="12.75">
      <c r="A29">
        <v>200407</v>
      </c>
      <c r="B29" t="s">
        <v>84</v>
      </c>
      <c r="D29" t="s">
        <v>16</v>
      </c>
      <c r="E29">
        <v>100</v>
      </c>
      <c r="F29" t="s">
        <v>17</v>
      </c>
      <c r="G29" t="s">
        <v>15</v>
      </c>
      <c r="H29">
        <v>0</v>
      </c>
      <c r="J29">
        <v>0</v>
      </c>
      <c r="K29" s="36">
        <v>61115.45</v>
      </c>
      <c r="L29">
        <v>0</v>
      </c>
      <c r="M29" t="s">
        <v>18</v>
      </c>
      <c r="N29" t="s">
        <v>19</v>
      </c>
    </row>
    <row r="30" spans="1:14" ht="12.75">
      <c r="A30">
        <v>200407</v>
      </c>
      <c r="B30" t="s">
        <v>84</v>
      </c>
      <c r="D30" t="s">
        <v>16</v>
      </c>
      <c r="E30">
        <v>100</v>
      </c>
      <c r="F30" t="s">
        <v>17</v>
      </c>
      <c r="G30" t="s">
        <v>15</v>
      </c>
      <c r="H30">
        <v>0</v>
      </c>
      <c r="I30" t="s">
        <v>29</v>
      </c>
      <c r="J30">
        <v>0</v>
      </c>
      <c r="K30" s="36">
        <v>49.84</v>
      </c>
      <c r="L30">
        <v>0</v>
      </c>
      <c r="M30" t="s">
        <v>18</v>
      </c>
      <c r="N30" t="s">
        <v>19</v>
      </c>
    </row>
    <row r="31" spans="1:14" ht="12.75">
      <c r="A31">
        <v>200407</v>
      </c>
      <c r="B31" t="s">
        <v>84</v>
      </c>
      <c r="D31" t="s">
        <v>30</v>
      </c>
      <c r="E31">
        <v>100</v>
      </c>
      <c r="F31" t="s">
        <v>31</v>
      </c>
      <c r="G31" t="s">
        <v>15</v>
      </c>
      <c r="H31">
        <v>0</v>
      </c>
      <c r="J31">
        <v>0</v>
      </c>
      <c r="K31" s="89">
        <v>12717.5</v>
      </c>
      <c r="L31">
        <v>0</v>
      </c>
      <c r="M31" t="s">
        <v>32</v>
      </c>
      <c r="N31" t="s">
        <v>19</v>
      </c>
    </row>
    <row r="32" spans="1:14" ht="12.75">
      <c r="A32">
        <v>200408</v>
      </c>
      <c r="B32" t="s">
        <v>84</v>
      </c>
      <c r="D32" t="s">
        <v>16</v>
      </c>
      <c r="E32">
        <v>100</v>
      </c>
      <c r="F32" t="s">
        <v>17</v>
      </c>
      <c r="G32" t="s">
        <v>15</v>
      </c>
      <c r="H32">
        <v>0</v>
      </c>
      <c r="J32">
        <v>0</v>
      </c>
      <c r="K32" s="36">
        <v>60690.13</v>
      </c>
      <c r="L32">
        <v>0</v>
      </c>
      <c r="M32" t="s">
        <v>18</v>
      </c>
      <c r="N32" t="s">
        <v>19</v>
      </c>
    </row>
    <row r="33" spans="1:14" ht="12.75">
      <c r="A33">
        <v>200408</v>
      </c>
      <c r="B33" t="s">
        <v>84</v>
      </c>
      <c r="D33" t="s">
        <v>16</v>
      </c>
      <c r="E33">
        <v>100</v>
      </c>
      <c r="F33" t="s">
        <v>17</v>
      </c>
      <c r="G33" t="s">
        <v>15</v>
      </c>
      <c r="H33">
        <v>0</v>
      </c>
      <c r="I33" t="s">
        <v>29</v>
      </c>
      <c r="J33">
        <v>0</v>
      </c>
      <c r="K33" s="36">
        <v>20.77</v>
      </c>
      <c r="L33">
        <v>0</v>
      </c>
      <c r="M33" t="s">
        <v>18</v>
      </c>
      <c r="N33" t="s">
        <v>19</v>
      </c>
    </row>
    <row r="34" spans="1:14" ht="12.75">
      <c r="A34">
        <v>200408</v>
      </c>
      <c r="B34" t="s">
        <v>84</v>
      </c>
      <c r="D34" t="s">
        <v>30</v>
      </c>
      <c r="E34">
        <v>100</v>
      </c>
      <c r="F34" t="s">
        <v>31</v>
      </c>
      <c r="G34" t="s">
        <v>15</v>
      </c>
      <c r="H34">
        <v>0</v>
      </c>
      <c r="J34">
        <v>0</v>
      </c>
      <c r="K34" s="89">
        <v>12710.86</v>
      </c>
      <c r="L34">
        <v>0</v>
      </c>
      <c r="M34" t="s">
        <v>32</v>
      </c>
      <c r="N34" t="s">
        <v>19</v>
      </c>
    </row>
    <row r="35" spans="1:14" ht="12.75">
      <c r="A35">
        <v>200409</v>
      </c>
      <c r="B35" t="s">
        <v>84</v>
      </c>
      <c r="D35" t="s">
        <v>16</v>
      </c>
      <c r="E35">
        <v>100</v>
      </c>
      <c r="F35" t="s">
        <v>17</v>
      </c>
      <c r="G35" t="s">
        <v>15</v>
      </c>
      <c r="H35">
        <v>0</v>
      </c>
      <c r="J35">
        <v>0</v>
      </c>
      <c r="K35" s="36">
        <v>61232.53</v>
      </c>
      <c r="L35">
        <v>0</v>
      </c>
      <c r="M35" t="s">
        <v>18</v>
      </c>
      <c r="N35" t="s">
        <v>19</v>
      </c>
    </row>
    <row r="36" spans="1:14" ht="12.75">
      <c r="A36">
        <v>200409</v>
      </c>
      <c r="B36" t="s">
        <v>84</v>
      </c>
      <c r="D36" t="s">
        <v>30</v>
      </c>
      <c r="E36">
        <v>100</v>
      </c>
      <c r="F36" t="s">
        <v>31</v>
      </c>
      <c r="G36" t="s">
        <v>15</v>
      </c>
      <c r="H36">
        <v>0</v>
      </c>
      <c r="J36">
        <v>0</v>
      </c>
      <c r="K36" s="89">
        <v>12734.12</v>
      </c>
      <c r="L36">
        <v>0</v>
      </c>
      <c r="M36" t="s">
        <v>32</v>
      </c>
      <c r="N36" t="s">
        <v>19</v>
      </c>
    </row>
    <row r="37" spans="1:14" ht="12.75">
      <c r="A37">
        <v>200410</v>
      </c>
      <c r="B37" t="s">
        <v>84</v>
      </c>
      <c r="D37" t="s">
        <v>16</v>
      </c>
      <c r="E37">
        <v>100</v>
      </c>
      <c r="F37" t="s">
        <v>17</v>
      </c>
      <c r="G37" t="s">
        <v>15</v>
      </c>
      <c r="H37">
        <v>0</v>
      </c>
      <c r="J37">
        <v>0</v>
      </c>
      <c r="K37" s="36">
        <v>61034.93</v>
      </c>
      <c r="L37">
        <v>0</v>
      </c>
      <c r="M37" t="s">
        <v>18</v>
      </c>
      <c r="N37" t="s">
        <v>19</v>
      </c>
    </row>
    <row r="38" spans="1:14" ht="12.75">
      <c r="A38">
        <v>200410</v>
      </c>
      <c r="B38" t="s">
        <v>84</v>
      </c>
      <c r="D38" t="s">
        <v>16</v>
      </c>
      <c r="E38">
        <v>100</v>
      </c>
      <c r="F38" t="s">
        <v>17</v>
      </c>
      <c r="G38" t="s">
        <v>15</v>
      </c>
      <c r="H38">
        <v>0</v>
      </c>
      <c r="I38" t="s">
        <v>29</v>
      </c>
      <c r="J38">
        <v>0</v>
      </c>
      <c r="K38" s="36">
        <v>24.92</v>
      </c>
      <c r="L38">
        <v>0</v>
      </c>
      <c r="M38" t="s">
        <v>18</v>
      </c>
      <c r="N38" t="s">
        <v>19</v>
      </c>
    </row>
    <row r="39" spans="1:14" ht="12.75">
      <c r="A39">
        <v>200410</v>
      </c>
      <c r="B39" t="s">
        <v>84</v>
      </c>
      <c r="D39" t="s">
        <v>30</v>
      </c>
      <c r="E39">
        <v>100</v>
      </c>
      <c r="F39" t="s">
        <v>31</v>
      </c>
      <c r="G39" t="s">
        <v>15</v>
      </c>
      <c r="H39">
        <v>0</v>
      </c>
      <c r="J39">
        <v>0</v>
      </c>
      <c r="K39" s="89">
        <v>12734.12</v>
      </c>
      <c r="L39">
        <v>0</v>
      </c>
      <c r="M39" t="s">
        <v>32</v>
      </c>
      <c r="N39" t="s">
        <v>19</v>
      </c>
    </row>
    <row r="40" spans="1:14" ht="12.75">
      <c r="A40">
        <v>200411</v>
      </c>
      <c r="B40" t="s">
        <v>84</v>
      </c>
      <c r="D40" t="s">
        <v>16</v>
      </c>
      <c r="E40">
        <v>100</v>
      </c>
      <c r="F40" t="s">
        <v>17</v>
      </c>
      <c r="G40" t="s">
        <v>15</v>
      </c>
      <c r="H40">
        <v>0</v>
      </c>
      <c r="J40">
        <v>0</v>
      </c>
      <c r="K40" s="36">
        <v>61489.3</v>
      </c>
      <c r="L40">
        <v>0</v>
      </c>
      <c r="M40" t="s">
        <v>18</v>
      </c>
      <c r="N40" t="s">
        <v>19</v>
      </c>
    </row>
    <row r="41" spans="1:14" ht="12.75">
      <c r="A41">
        <v>200411</v>
      </c>
      <c r="B41" t="s">
        <v>84</v>
      </c>
      <c r="D41" t="s">
        <v>30</v>
      </c>
      <c r="E41">
        <v>100</v>
      </c>
      <c r="F41" t="s">
        <v>31</v>
      </c>
      <c r="G41" t="s">
        <v>15</v>
      </c>
      <c r="H41">
        <v>0</v>
      </c>
      <c r="J41">
        <v>0</v>
      </c>
      <c r="K41" s="89">
        <v>12734.12</v>
      </c>
      <c r="L41">
        <v>0</v>
      </c>
      <c r="M41" t="s">
        <v>32</v>
      </c>
      <c r="N41" t="s">
        <v>19</v>
      </c>
    </row>
    <row r="42" spans="1:14" ht="12.75">
      <c r="A42">
        <v>200412</v>
      </c>
      <c r="B42" t="s">
        <v>84</v>
      </c>
      <c r="D42" t="s">
        <v>16</v>
      </c>
      <c r="E42">
        <v>100</v>
      </c>
      <c r="F42" t="s">
        <v>17</v>
      </c>
      <c r="G42" t="s">
        <v>15</v>
      </c>
      <c r="H42">
        <v>0</v>
      </c>
      <c r="J42">
        <v>0</v>
      </c>
      <c r="K42" s="36">
        <v>61395.37</v>
      </c>
      <c r="L42">
        <v>0</v>
      </c>
      <c r="M42" t="s">
        <v>18</v>
      </c>
      <c r="N42" t="s">
        <v>19</v>
      </c>
    </row>
    <row r="43" spans="1:14" ht="12.75">
      <c r="A43">
        <v>200412</v>
      </c>
      <c r="B43" t="s">
        <v>84</v>
      </c>
      <c r="D43" t="s">
        <v>30</v>
      </c>
      <c r="E43">
        <v>100</v>
      </c>
      <c r="F43" t="s">
        <v>31</v>
      </c>
      <c r="G43" t="s">
        <v>15</v>
      </c>
      <c r="H43">
        <v>0</v>
      </c>
      <c r="J43">
        <v>0</v>
      </c>
      <c r="K43" s="89">
        <v>12710.86</v>
      </c>
      <c r="L43">
        <v>0</v>
      </c>
      <c r="M43" t="s">
        <v>32</v>
      </c>
      <c r="N43" t="s">
        <v>19</v>
      </c>
    </row>
    <row r="44" ht="12.75">
      <c r="K44" s="37">
        <f>SUM(K22:K43)</f>
        <v>627084.455</v>
      </c>
    </row>
    <row r="46" spans="1:14" ht="12.75">
      <c r="A46">
        <v>200404</v>
      </c>
      <c r="B46" t="s">
        <v>81</v>
      </c>
      <c r="D46" t="s">
        <v>62</v>
      </c>
      <c r="E46">
        <v>100</v>
      </c>
      <c r="F46" t="s">
        <v>60</v>
      </c>
      <c r="G46" t="s">
        <v>15</v>
      </c>
      <c r="H46">
        <v>0</v>
      </c>
      <c r="I46" t="s">
        <v>85</v>
      </c>
      <c r="J46">
        <v>0</v>
      </c>
      <c r="K46" s="36">
        <f>360044.93/2</f>
        <v>180022.465</v>
      </c>
      <c r="L46">
        <v>0</v>
      </c>
      <c r="M46" t="s">
        <v>63</v>
      </c>
      <c r="N46" t="s">
        <v>19</v>
      </c>
    </row>
    <row r="47" spans="1:14" ht="12.75">
      <c r="A47">
        <v>200404</v>
      </c>
      <c r="B47" t="s">
        <v>81</v>
      </c>
      <c r="D47" t="s">
        <v>62</v>
      </c>
      <c r="E47">
        <v>100</v>
      </c>
      <c r="F47" t="s">
        <v>60</v>
      </c>
      <c r="G47" t="s">
        <v>15</v>
      </c>
      <c r="H47">
        <v>0</v>
      </c>
      <c r="I47" t="s">
        <v>85</v>
      </c>
      <c r="J47">
        <v>0</v>
      </c>
      <c r="K47" s="36">
        <f>11.44/2</f>
        <v>5.72</v>
      </c>
      <c r="L47">
        <v>0</v>
      </c>
      <c r="M47" t="s">
        <v>63</v>
      </c>
      <c r="N47" t="s">
        <v>19</v>
      </c>
    </row>
    <row r="48" spans="1:14" ht="12.75">
      <c r="A48">
        <v>200404</v>
      </c>
      <c r="B48" t="s">
        <v>81</v>
      </c>
      <c r="D48" t="s">
        <v>59</v>
      </c>
      <c r="E48">
        <v>100</v>
      </c>
      <c r="F48" t="s">
        <v>60</v>
      </c>
      <c r="G48" t="s">
        <v>15</v>
      </c>
      <c r="H48">
        <v>0</v>
      </c>
      <c r="I48" t="s">
        <v>85</v>
      </c>
      <c r="J48">
        <v>0</v>
      </c>
      <c r="K48" s="36">
        <f>160.16/2</f>
        <v>80.08</v>
      </c>
      <c r="L48">
        <v>0</v>
      </c>
      <c r="M48" t="s">
        <v>61</v>
      </c>
      <c r="N48" t="s">
        <v>19</v>
      </c>
    </row>
    <row r="49" spans="1:14" ht="12.75">
      <c r="A49">
        <v>200405</v>
      </c>
      <c r="B49" t="s">
        <v>81</v>
      </c>
      <c r="D49" t="s">
        <v>62</v>
      </c>
      <c r="E49">
        <v>100</v>
      </c>
      <c r="F49" t="s">
        <v>60</v>
      </c>
      <c r="G49" t="s">
        <v>15</v>
      </c>
      <c r="H49">
        <v>0</v>
      </c>
      <c r="J49">
        <v>0</v>
      </c>
      <c r="K49" s="36">
        <v>362774.82</v>
      </c>
      <c r="L49">
        <v>0</v>
      </c>
      <c r="M49" t="s">
        <v>63</v>
      </c>
      <c r="N49" t="s">
        <v>19</v>
      </c>
    </row>
    <row r="50" spans="1:14" ht="12.75">
      <c r="A50">
        <v>200405</v>
      </c>
      <c r="B50" t="s">
        <v>81</v>
      </c>
      <c r="D50" t="s">
        <v>62</v>
      </c>
      <c r="E50">
        <v>100</v>
      </c>
      <c r="F50" t="s">
        <v>60</v>
      </c>
      <c r="G50" t="s">
        <v>15</v>
      </c>
      <c r="H50">
        <v>0</v>
      </c>
      <c r="I50" t="s">
        <v>29</v>
      </c>
      <c r="J50">
        <v>0</v>
      </c>
      <c r="K50" s="36">
        <v>16.29</v>
      </c>
      <c r="L50">
        <v>0</v>
      </c>
      <c r="M50" t="s">
        <v>63</v>
      </c>
      <c r="N50" t="s">
        <v>19</v>
      </c>
    </row>
    <row r="51" spans="1:14" ht="12.75">
      <c r="A51">
        <v>200405</v>
      </c>
      <c r="B51" t="s">
        <v>81</v>
      </c>
      <c r="D51" t="s">
        <v>59</v>
      </c>
      <c r="E51">
        <v>100</v>
      </c>
      <c r="F51" t="s">
        <v>60</v>
      </c>
      <c r="G51" t="s">
        <v>15</v>
      </c>
      <c r="H51">
        <v>0</v>
      </c>
      <c r="J51">
        <v>0</v>
      </c>
      <c r="K51" s="36">
        <v>160.16</v>
      </c>
      <c r="L51">
        <v>0</v>
      </c>
      <c r="M51" t="s">
        <v>61</v>
      </c>
      <c r="N51" t="s">
        <v>19</v>
      </c>
    </row>
    <row r="52" spans="1:14" ht="12.75">
      <c r="A52">
        <v>200406</v>
      </c>
      <c r="B52" t="s">
        <v>81</v>
      </c>
      <c r="D52" t="s">
        <v>62</v>
      </c>
      <c r="E52">
        <v>100</v>
      </c>
      <c r="F52" t="s">
        <v>60</v>
      </c>
      <c r="G52" t="s">
        <v>15</v>
      </c>
      <c r="H52">
        <v>0</v>
      </c>
      <c r="J52">
        <v>0</v>
      </c>
      <c r="K52" s="36">
        <v>361441.2</v>
      </c>
      <c r="L52">
        <v>0</v>
      </c>
      <c r="M52" t="s">
        <v>63</v>
      </c>
      <c r="N52" t="s">
        <v>19</v>
      </c>
    </row>
    <row r="53" spans="1:14" ht="12.75">
      <c r="A53">
        <v>200406</v>
      </c>
      <c r="B53" t="s">
        <v>81</v>
      </c>
      <c r="D53" t="s">
        <v>62</v>
      </c>
      <c r="E53">
        <v>100</v>
      </c>
      <c r="F53" t="s">
        <v>60</v>
      </c>
      <c r="G53" t="s">
        <v>15</v>
      </c>
      <c r="H53">
        <v>0</v>
      </c>
      <c r="I53" t="s">
        <v>29</v>
      </c>
      <c r="J53">
        <v>0</v>
      </c>
      <c r="K53" s="36">
        <v>68.64</v>
      </c>
      <c r="L53">
        <v>0</v>
      </c>
      <c r="M53" t="s">
        <v>63</v>
      </c>
      <c r="N53" t="s">
        <v>19</v>
      </c>
    </row>
    <row r="54" spans="1:14" ht="12.75">
      <c r="A54">
        <v>200406</v>
      </c>
      <c r="B54" t="s">
        <v>81</v>
      </c>
      <c r="D54" t="s">
        <v>59</v>
      </c>
      <c r="E54">
        <v>100</v>
      </c>
      <c r="F54" t="s">
        <v>60</v>
      </c>
      <c r="G54" t="s">
        <v>15</v>
      </c>
      <c r="H54">
        <v>0</v>
      </c>
      <c r="J54">
        <v>0</v>
      </c>
      <c r="K54" s="36">
        <v>158.63</v>
      </c>
      <c r="L54">
        <v>0</v>
      </c>
      <c r="M54" t="s">
        <v>61</v>
      </c>
      <c r="N54" t="s">
        <v>19</v>
      </c>
    </row>
    <row r="55" spans="1:14" ht="12.75">
      <c r="A55">
        <v>200407</v>
      </c>
      <c r="B55" t="s">
        <v>81</v>
      </c>
      <c r="D55" t="s">
        <v>62</v>
      </c>
      <c r="E55">
        <v>100</v>
      </c>
      <c r="F55" t="s">
        <v>60</v>
      </c>
      <c r="G55" t="s">
        <v>15</v>
      </c>
      <c r="H55">
        <v>0</v>
      </c>
      <c r="J55">
        <v>0</v>
      </c>
      <c r="K55" s="36">
        <v>362304.09</v>
      </c>
      <c r="L55">
        <v>0</v>
      </c>
      <c r="M55" t="s">
        <v>63</v>
      </c>
      <c r="N55" t="s">
        <v>19</v>
      </c>
    </row>
    <row r="56" spans="1:14" ht="12.75">
      <c r="A56">
        <v>200407</v>
      </c>
      <c r="B56" t="s">
        <v>81</v>
      </c>
      <c r="D56" t="s">
        <v>62</v>
      </c>
      <c r="E56">
        <v>100</v>
      </c>
      <c r="F56" t="s">
        <v>60</v>
      </c>
      <c r="G56" t="s">
        <v>15</v>
      </c>
      <c r="H56">
        <v>0</v>
      </c>
      <c r="I56" t="s">
        <v>29</v>
      </c>
      <c r="J56">
        <v>0</v>
      </c>
      <c r="K56" s="36">
        <v>42.71</v>
      </c>
      <c r="L56">
        <v>0</v>
      </c>
      <c r="M56" t="s">
        <v>63</v>
      </c>
      <c r="N56" t="s">
        <v>19</v>
      </c>
    </row>
    <row r="57" spans="1:14" ht="12.75">
      <c r="A57">
        <v>200407</v>
      </c>
      <c r="B57" t="s">
        <v>81</v>
      </c>
      <c r="D57" t="s">
        <v>59</v>
      </c>
      <c r="E57">
        <v>100</v>
      </c>
      <c r="F57" t="s">
        <v>60</v>
      </c>
      <c r="G57" t="s">
        <v>15</v>
      </c>
      <c r="H57">
        <v>0</v>
      </c>
      <c r="J57">
        <v>0</v>
      </c>
      <c r="K57" s="36">
        <v>162.07</v>
      </c>
      <c r="L57">
        <v>0</v>
      </c>
      <c r="M57" t="s">
        <v>61</v>
      </c>
      <c r="N57" t="s">
        <v>19</v>
      </c>
    </row>
    <row r="58" spans="1:14" ht="12.75">
      <c r="A58">
        <v>200408</v>
      </c>
      <c r="B58" t="s">
        <v>81</v>
      </c>
      <c r="D58" t="s">
        <v>62</v>
      </c>
      <c r="E58">
        <v>100</v>
      </c>
      <c r="F58" t="s">
        <v>60</v>
      </c>
      <c r="G58" t="s">
        <v>15</v>
      </c>
      <c r="H58">
        <v>0</v>
      </c>
      <c r="J58">
        <v>0</v>
      </c>
      <c r="K58" s="36">
        <v>362414.79</v>
      </c>
      <c r="L58">
        <v>0</v>
      </c>
      <c r="M58" t="s">
        <v>63</v>
      </c>
      <c r="N58" t="s">
        <v>19</v>
      </c>
    </row>
    <row r="59" spans="1:14" ht="12.75">
      <c r="A59">
        <v>200408</v>
      </c>
      <c r="B59" t="s">
        <v>81</v>
      </c>
      <c r="D59" t="s">
        <v>62</v>
      </c>
      <c r="E59">
        <v>100</v>
      </c>
      <c r="F59" t="s">
        <v>60</v>
      </c>
      <c r="G59" t="s">
        <v>15</v>
      </c>
      <c r="H59">
        <v>0</v>
      </c>
      <c r="I59" t="s">
        <v>29</v>
      </c>
      <c r="J59">
        <v>0</v>
      </c>
      <c r="K59" s="36">
        <v>52.62</v>
      </c>
      <c r="L59">
        <v>0</v>
      </c>
      <c r="M59" t="s">
        <v>63</v>
      </c>
      <c r="N59" t="s">
        <v>19</v>
      </c>
    </row>
    <row r="60" spans="1:14" ht="12.75">
      <c r="A60">
        <v>200408</v>
      </c>
      <c r="B60" t="s">
        <v>81</v>
      </c>
      <c r="D60" t="s">
        <v>59</v>
      </c>
      <c r="E60">
        <v>100</v>
      </c>
      <c r="F60" t="s">
        <v>60</v>
      </c>
      <c r="G60" t="s">
        <v>15</v>
      </c>
      <c r="H60">
        <v>0</v>
      </c>
      <c r="J60">
        <v>0</v>
      </c>
      <c r="K60" s="36">
        <v>163.21</v>
      </c>
      <c r="L60">
        <v>0</v>
      </c>
      <c r="M60" t="s">
        <v>61</v>
      </c>
      <c r="N60" t="s">
        <v>19</v>
      </c>
    </row>
    <row r="61" spans="1:14" ht="12.75">
      <c r="A61">
        <v>200409</v>
      </c>
      <c r="B61" t="s">
        <v>81</v>
      </c>
      <c r="D61" t="s">
        <v>62</v>
      </c>
      <c r="E61">
        <v>100</v>
      </c>
      <c r="F61" t="s">
        <v>60</v>
      </c>
      <c r="G61" t="s">
        <v>15</v>
      </c>
      <c r="H61">
        <v>0</v>
      </c>
      <c r="J61">
        <v>0</v>
      </c>
      <c r="K61" s="36">
        <v>363796.15</v>
      </c>
      <c r="L61">
        <v>0</v>
      </c>
      <c r="M61" t="s">
        <v>63</v>
      </c>
      <c r="N61" t="s">
        <v>19</v>
      </c>
    </row>
    <row r="62" spans="1:14" ht="12.75">
      <c r="A62">
        <v>200409</v>
      </c>
      <c r="B62" t="s">
        <v>81</v>
      </c>
      <c r="D62" t="s">
        <v>62</v>
      </c>
      <c r="E62">
        <v>100</v>
      </c>
      <c r="F62" t="s">
        <v>60</v>
      </c>
      <c r="G62" t="s">
        <v>15</v>
      </c>
      <c r="H62">
        <v>0</v>
      </c>
      <c r="I62" t="s">
        <v>29</v>
      </c>
      <c r="J62">
        <v>0</v>
      </c>
      <c r="K62" s="36">
        <v>34.32</v>
      </c>
      <c r="L62">
        <v>0</v>
      </c>
      <c r="M62" t="s">
        <v>63</v>
      </c>
      <c r="N62" t="s">
        <v>19</v>
      </c>
    </row>
    <row r="63" spans="1:14" ht="12.75">
      <c r="A63">
        <v>200409</v>
      </c>
      <c r="B63" t="s">
        <v>81</v>
      </c>
      <c r="D63" t="s">
        <v>59</v>
      </c>
      <c r="E63">
        <v>100</v>
      </c>
      <c r="F63" t="s">
        <v>60</v>
      </c>
      <c r="G63" t="s">
        <v>15</v>
      </c>
      <c r="H63">
        <v>0</v>
      </c>
      <c r="J63">
        <v>0</v>
      </c>
      <c r="K63" s="36">
        <v>137.28</v>
      </c>
      <c r="L63">
        <v>0</v>
      </c>
      <c r="M63" t="s">
        <v>61</v>
      </c>
      <c r="N63" t="s">
        <v>19</v>
      </c>
    </row>
    <row r="64" spans="1:14" ht="12.75">
      <c r="A64">
        <v>200410</v>
      </c>
      <c r="B64" t="s">
        <v>81</v>
      </c>
      <c r="D64" t="s">
        <v>62</v>
      </c>
      <c r="E64">
        <v>100</v>
      </c>
      <c r="F64" t="s">
        <v>60</v>
      </c>
      <c r="G64" t="s">
        <v>15</v>
      </c>
      <c r="H64">
        <v>0</v>
      </c>
      <c r="J64">
        <v>0</v>
      </c>
      <c r="K64" s="36">
        <v>364874.07</v>
      </c>
      <c r="L64">
        <v>0</v>
      </c>
      <c r="M64" t="s">
        <v>63</v>
      </c>
      <c r="N64" t="s">
        <v>19</v>
      </c>
    </row>
    <row r="65" spans="1:14" ht="12.75">
      <c r="A65">
        <v>200410</v>
      </c>
      <c r="B65" t="s">
        <v>81</v>
      </c>
      <c r="D65" t="s">
        <v>62</v>
      </c>
      <c r="E65">
        <v>100</v>
      </c>
      <c r="F65" t="s">
        <v>60</v>
      </c>
      <c r="G65" t="s">
        <v>15</v>
      </c>
      <c r="H65">
        <v>0</v>
      </c>
      <c r="I65" t="s">
        <v>29</v>
      </c>
      <c r="J65">
        <v>0</v>
      </c>
      <c r="K65" s="36">
        <v>22.88</v>
      </c>
      <c r="L65">
        <v>0</v>
      </c>
      <c r="M65" t="s">
        <v>63</v>
      </c>
      <c r="N65" t="s">
        <v>19</v>
      </c>
    </row>
    <row r="66" spans="1:14" ht="12.75">
      <c r="A66">
        <v>200410</v>
      </c>
      <c r="B66" t="s">
        <v>81</v>
      </c>
      <c r="D66" t="s">
        <v>59</v>
      </c>
      <c r="E66">
        <v>100</v>
      </c>
      <c r="F66" t="s">
        <v>60</v>
      </c>
      <c r="G66" t="s">
        <v>15</v>
      </c>
      <c r="H66">
        <v>0</v>
      </c>
      <c r="J66">
        <v>0</v>
      </c>
      <c r="K66" s="36">
        <v>137.28</v>
      </c>
      <c r="L66">
        <v>0</v>
      </c>
      <c r="M66" t="s">
        <v>61</v>
      </c>
      <c r="N66" t="s">
        <v>19</v>
      </c>
    </row>
    <row r="67" spans="1:14" ht="12.75">
      <c r="A67">
        <v>200411</v>
      </c>
      <c r="B67" t="s">
        <v>81</v>
      </c>
      <c r="D67" t="s">
        <v>62</v>
      </c>
      <c r="E67">
        <v>100</v>
      </c>
      <c r="F67" t="s">
        <v>60</v>
      </c>
      <c r="G67" t="s">
        <v>15</v>
      </c>
      <c r="H67">
        <v>0</v>
      </c>
      <c r="J67">
        <v>0</v>
      </c>
      <c r="K67" s="36">
        <v>365612.59</v>
      </c>
      <c r="L67">
        <v>0</v>
      </c>
      <c r="M67" t="s">
        <v>63</v>
      </c>
      <c r="N67" t="s">
        <v>19</v>
      </c>
    </row>
    <row r="68" spans="1:14" ht="12.75">
      <c r="A68">
        <v>200411</v>
      </c>
      <c r="B68" t="s">
        <v>81</v>
      </c>
      <c r="D68" t="s">
        <v>62</v>
      </c>
      <c r="E68">
        <v>100</v>
      </c>
      <c r="F68" t="s">
        <v>60</v>
      </c>
      <c r="G68" t="s">
        <v>15</v>
      </c>
      <c r="H68">
        <v>0</v>
      </c>
      <c r="I68" t="s">
        <v>29</v>
      </c>
      <c r="J68">
        <v>0</v>
      </c>
      <c r="K68" s="36">
        <v>42.33</v>
      </c>
      <c r="L68">
        <v>0</v>
      </c>
      <c r="M68" t="s">
        <v>63</v>
      </c>
      <c r="N68" t="s">
        <v>19</v>
      </c>
    </row>
    <row r="69" spans="1:14" ht="12.75">
      <c r="A69">
        <v>200411</v>
      </c>
      <c r="B69" t="s">
        <v>81</v>
      </c>
      <c r="D69" t="s">
        <v>59</v>
      </c>
      <c r="E69">
        <v>100</v>
      </c>
      <c r="F69" t="s">
        <v>60</v>
      </c>
      <c r="G69" t="s">
        <v>15</v>
      </c>
      <c r="H69">
        <v>0</v>
      </c>
      <c r="J69">
        <v>0</v>
      </c>
      <c r="K69" s="36">
        <v>137.28</v>
      </c>
      <c r="L69">
        <v>0</v>
      </c>
      <c r="M69" t="s">
        <v>61</v>
      </c>
      <c r="N69" t="s">
        <v>19</v>
      </c>
    </row>
    <row r="70" spans="1:14" ht="12.75">
      <c r="A70">
        <v>200412</v>
      </c>
      <c r="B70" t="s">
        <v>81</v>
      </c>
      <c r="D70" t="s">
        <v>62</v>
      </c>
      <c r="E70">
        <v>100</v>
      </c>
      <c r="F70" t="s">
        <v>60</v>
      </c>
      <c r="G70" t="s">
        <v>15</v>
      </c>
      <c r="H70">
        <v>0</v>
      </c>
      <c r="J70">
        <v>0</v>
      </c>
      <c r="K70" s="36">
        <v>366085.99</v>
      </c>
      <c r="L70">
        <v>0</v>
      </c>
      <c r="M70" t="s">
        <v>63</v>
      </c>
      <c r="N70" t="s">
        <v>19</v>
      </c>
    </row>
    <row r="71" spans="1:14" ht="12.75">
      <c r="A71">
        <v>200412</v>
      </c>
      <c r="B71" t="s">
        <v>81</v>
      </c>
      <c r="D71" t="s">
        <v>59</v>
      </c>
      <c r="E71">
        <v>100</v>
      </c>
      <c r="F71" t="s">
        <v>60</v>
      </c>
      <c r="G71" t="s">
        <v>15</v>
      </c>
      <c r="H71">
        <v>0</v>
      </c>
      <c r="J71">
        <v>0</v>
      </c>
      <c r="K71" s="36">
        <v>137.28</v>
      </c>
      <c r="L71">
        <v>0</v>
      </c>
      <c r="M71" t="s">
        <v>61</v>
      </c>
      <c r="N71" t="s">
        <v>19</v>
      </c>
    </row>
    <row r="72" ht="12.75">
      <c r="K72" s="37">
        <f>SUM(K46:K71)</f>
        <v>3090884.945</v>
      </c>
    </row>
    <row r="74" spans="1:14" ht="12.75">
      <c r="A74">
        <v>200404</v>
      </c>
      <c r="B74" t="s">
        <v>82</v>
      </c>
      <c r="D74" t="s">
        <v>35</v>
      </c>
      <c r="E74">
        <v>100</v>
      </c>
      <c r="F74" t="s">
        <v>36</v>
      </c>
      <c r="G74" t="s">
        <v>15</v>
      </c>
      <c r="H74">
        <v>0</v>
      </c>
      <c r="I74" t="s">
        <v>85</v>
      </c>
      <c r="J74">
        <v>0</v>
      </c>
      <c r="K74" s="36">
        <f>2519.7/2</f>
        <v>1259.85</v>
      </c>
      <c r="L74">
        <v>0</v>
      </c>
      <c r="M74" t="s">
        <v>37</v>
      </c>
      <c r="N74" t="s">
        <v>19</v>
      </c>
    </row>
    <row r="75" spans="1:14" ht="12.75">
      <c r="A75">
        <v>200405</v>
      </c>
      <c r="B75" t="s">
        <v>82</v>
      </c>
      <c r="D75" t="s">
        <v>35</v>
      </c>
      <c r="E75">
        <v>100</v>
      </c>
      <c r="F75" t="s">
        <v>36</v>
      </c>
      <c r="G75" t="s">
        <v>15</v>
      </c>
      <c r="H75">
        <v>0</v>
      </c>
      <c r="J75">
        <v>0</v>
      </c>
      <c r="K75" s="36">
        <v>2551.5</v>
      </c>
      <c r="L75">
        <v>0</v>
      </c>
      <c r="M75" t="s">
        <v>37</v>
      </c>
      <c r="N75" t="s">
        <v>19</v>
      </c>
    </row>
    <row r="76" spans="1:14" ht="12.75">
      <c r="A76">
        <v>200406</v>
      </c>
      <c r="B76" t="s">
        <v>82</v>
      </c>
      <c r="D76" t="s">
        <v>35</v>
      </c>
      <c r="E76">
        <v>100</v>
      </c>
      <c r="F76" t="s">
        <v>36</v>
      </c>
      <c r="G76" t="s">
        <v>15</v>
      </c>
      <c r="H76">
        <v>0</v>
      </c>
      <c r="J76">
        <v>0</v>
      </c>
      <c r="K76" s="36">
        <v>2551.5</v>
      </c>
      <c r="L76">
        <v>0</v>
      </c>
      <c r="M76" t="s">
        <v>37</v>
      </c>
      <c r="N76" t="s">
        <v>19</v>
      </c>
    </row>
    <row r="77" spans="1:14" ht="12.75">
      <c r="A77">
        <v>200407</v>
      </c>
      <c r="B77" t="s">
        <v>82</v>
      </c>
      <c r="D77" t="s">
        <v>35</v>
      </c>
      <c r="E77">
        <v>100</v>
      </c>
      <c r="F77" t="s">
        <v>36</v>
      </c>
      <c r="G77" t="s">
        <v>15</v>
      </c>
      <c r="H77">
        <v>0</v>
      </c>
      <c r="J77">
        <v>0</v>
      </c>
      <c r="K77" s="36">
        <v>2593.8</v>
      </c>
      <c r="L77">
        <v>0</v>
      </c>
      <c r="M77" t="s">
        <v>37</v>
      </c>
      <c r="N77" t="s">
        <v>19</v>
      </c>
    </row>
    <row r="78" spans="1:14" ht="12.75">
      <c r="A78">
        <v>200408</v>
      </c>
      <c r="B78" t="s">
        <v>82</v>
      </c>
      <c r="D78" t="s">
        <v>35</v>
      </c>
      <c r="E78">
        <v>100</v>
      </c>
      <c r="F78" t="s">
        <v>36</v>
      </c>
      <c r="G78" t="s">
        <v>15</v>
      </c>
      <c r="H78">
        <v>0</v>
      </c>
      <c r="J78">
        <v>0</v>
      </c>
      <c r="K78" s="36">
        <v>2604.6</v>
      </c>
      <c r="L78">
        <v>0</v>
      </c>
      <c r="M78" t="s">
        <v>37</v>
      </c>
      <c r="N78" t="s">
        <v>19</v>
      </c>
    </row>
    <row r="79" spans="1:14" ht="12.75">
      <c r="A79">
        <v>200409</v>
      </c>
      <c r="B79" t="s">
        <v>82</v>
      </c>
      <c r="D79" t="s">
        <v>35</v>
      </c>
      <c r="E79">
        <v>100</v>
      </c>
      <c r="F79" t="s">
        <v>36</v>
      </c>
      <c r="G79" t="s">
        <v>15</v>
      </c>
      <c r="H79">
        <v>0</v>
      </c>
      <c r="J79">
        <v>0</v>
      </c>
      <c r="K79" s="36">
        <v>2604.6</v>
      </c>
      <c r="L79">
        <v>0</v>
      </c>
      <c r="M79" t="s">
        <v>37</v>
      </c>
      <c r="N79" t="s">
        <v>19</v>
      </c>
    </row>
    <row r="80" spans="1:14" ht="12.75">
      <c r="A80">
        <v>200410</v>
      </c>
      <c r="B80" t="s">
        <v>82</v>
      </c>
      <c r="D80" t="s">
        <v>35</v>
      </c>
      <c r="E80">
        <v>100</v>
      </c>
      <c r="F80" t="s">
        <v>36</v>
      </c>
      <c r="G80" t="s">
        <v>15</v>
      </c>
      <c r="H80">
        <v>0</v>
      </c>
      <c r="J80">
        <v>0</v>
      </c>
      <c r="K80" s="36">
        <v>2604.6</v>
      </c>
      <c r="L80">
        <v>0</v>
      </c>
      <c r="M80" t="s">
        <v>37</v>
      </c>
      <c r="N80" t="s">
        <v>19</v>
      </c>
    </row>
    <row r="81" spans="1:14" ht="12.75">
      <c r="A81">
        <v>200411</v>
      </c>
      <c r="B81" t="s">
        <v>82</v>
      </c>
      <c r="D81" t="s">
        <v>35</v>
      </c>
      <c r="E81">
        <v>100</v>
      </c>
      <c r="F81" t="s">
        <v>36</v>
      </c>
      <c r="G81" t="s">
        <v>15</v>
      </c>
      <c r="H81">
        <v>0</v>
      </c>
      <c r="J81">
        <v>0</v>
      </c>
      <c r="K81" s="36">
        <v>2604.6</v>
      </c>
      <c r="L81">
        <v>0</v>
      </c>
      <c r="M81" t="s">
        <v>37</v>
      </c>
      <c r="N81" t="s">
        <v>19</v>
      </c>
    </row>
    <row r="82" spans="1:14" ht="12.75">
      <c r="A82">
        <v>200412</v>
      </c>
      <c r="B82" t="s">
        <v>82</v>
      </c>
      <c r="D82" t="s">
        <v>35</v>
      </c>
      <c r="E82">
        <v>100</v>
      </c>
      <c r="F82" t="s">
        <v>36</v>
      </c>
      <c r="G82" t="s">
        <v>15</v>
      </c>
      <c r="H82">
        <v>0</v>
      </c>
      <c r="J82">
        <v>0</v>
      </c>
      <c r="K82" s="36">
        <v>2604.6</v>
      </c>
      <c r="L82">
        <v>0</v>
      </c>
      <c r="M82" t="s">
        <v>37</v>
      </c>
      <c r="N82" t="s">
        <v>19</v>
      </c>
    </row>
    <row r="83" ht="12.75">
      <c r="K83" s="37">
        <f>SUM(K74:K82)</f>
        <v>21979.649999999998</v>
      </c>
    </row>
    <row r="85" spans="1:14" ht="12.75">
      <c r="A85">
        <v>200404</v>
      </c>
      <c r="B85" t="s">
        <v>86</v>
      </c>
      <c r="D85" t="s">
        <v>65</v>
      </c>
      <c r="E85">
        <v>103</v>
      </c>
      <c r="F85" t="s">
        <v>39</v>
      </c>
      <c r="G85" t="s">
        <v>40</v>
      </c>
      <c r="H85">
        <v>0</v>
      </c>
      <c r="I85" t="s">
        <v>85</v>
      </c>
      <c r="J85">
        <v>0</v>
      </c>
      <c r="K85" s="1">
        <f>65.1/2</f>
        <v>32.55</v>
      </c>
      <c r="L85">
        <v>0</v>
      </c>
      <c r="M85" t="s">
        <v>66</v>
      </c>
      <c r="N85" t="s">
        <v>42</v>
      </c>
    </row>
    <row r="86" spans="1:14" ht="12.75">
      <c r="A86">
        <v>200404</v>
      </c>
      <c r="B86" t="s">
        <v>86</v>
      </c>
      <c r="D86" t="s">
        <v>69</v>
      </c>
      <c r="E86">
        <v>103</v>
      </c>
      <c r="F86" t="s">
        <v>39</v>
      </c>
      <c r="G86" t="s">
        <v>40</v>
      </c>
      <c r="H86">
        <v>0</v>
      </c>
      <c r="I86" t="s">
        <v>85</v>
      </c>
      <c r="J86">
        <v>0</v>
      </c>
      <c r="K86" s="1">
        <f>3.1/2</f>
        <v>1.55</v>
      </c>
      <c r="L86">
        <v>0</v>
      </c>
      <c r="M86" t="s">
        <v>70</v>
      </c>
      <c r="N86" t="s">
        <v>42</v>
      </c>
    </row>
    <row r="87" spans="1:14" ht="12.75">
      <c r="A87">
        <v>200404</v>
      </c>
      <c r="B87" t="s">
        <v>86</v>
      </c>
      <c r="D87" t="s">
        <v>71</v>
      </c>
      <c r="E87">
        <v>103</v>
      </c>
      <c r="F87" t="s">
        <v>39</v>
      </c>
      <c r="G87" t="s">
        <v>40</v>
      </c>
      <c r="H87">
        <v>0</v>
      </c>
      <c r="I87" t="s">
        <v>85</v>
      </c>
      <c r="J87">
        <v>0</v>
      </c>
      <c r="K87" s="1">
        <f>3.41/2</f>
        <v>1.705</v>
      </c>
      <c r="L87">
        <v>0</v>
      </c>
      <c r="M87" t="s">
        <v>72</v>
      </c>
      <c r="N87" t="s">
        <v>42</v>
      </c>
    </row>
    <row r="88" spans="1:14" ht="12.75">
      <c r="A88">
        <v>200404</v>
      </c>
      <c r="B88" t="s">
        <v>86</v>
      </c>
      <c r="D88" t="s">
        <v>73</v>
      </c>
      <c r="E88">
        <v>103</v>
      </c>
      <c r="F88" t="s">
        <v>39</v>
      </c>
      <c r="G88" t="s">
        <v>40</v>
      </c>
      <c r="H88">
        <v>0</v>
      </c>
      <c r="I88" t="s">
        <v>85</v>
      </c>
      <c r="J88">
        <v>0</v>
      </c>
      <c r="K88" s="1">
        <f>30.38/2</f>
        <v>15.19</v>
      </c>
      <c r="L88">
        <v>0</v>
      </c>
      <c r="M88" t="s">
        <v>74</v>
      </c>
      <c r="N88" t="s">
        <v>42</v>
      </c>
    </row>
    <row r="89" spans="1:14" ht="12.75">
      <c r="A89">
        <v>200404</v>
      </c>
      <c r="B89" t="s">
        <v>86</v>
      </c>
      <c r="D89" t="s">
        <v>75</v>
      </c>
      <c r="E89">
        <v>103</v>
      </c>
      <c r="F89" t="s">
        <v>39</v>
      </c>
      <c r="G89" t="s">
        <v>40</v>
      </c>
      <c r="H89">
        <v>0</v>
      </c>
      <c r="I89" t="s">
        <v>85</v>
      </c>
      <c r="J89">
        <v>0</v>
      </c>
      <c r="K89" s="1">
        <f>88.04/2</f>
        <v>44.02</v>
      </c>
      <c r="L89">
        <v>0</v>
      </c>
      <c r="M89" t="s">
        <v>76</v>
      </c>
      <c r="N89" t="s">
        <v>42</v>
      </c>
    </row>
    <row r="90" spans="1:14" ht="12.75">
      <c r="A90">
        <v>200404</v>
      </c>
      <c r="B90" t="s">
        <v>86</v>
      </c>
      <c r="D90" t="s">
        <v>75</v>
      </c>
      <c r="E90">
        <v>103</v>
      </c>
      <c r="F90" t="s">
        <v>39</v>
      </c>
      <c r="G90" t="s">
        <v>40</v>
      </c>
      <c r="H90">
        <v>0</v>
      </c>
      <c r="I90" t="s">
        <v>85</v>
      </c>
      <c r="J90">
        <v>0</v>
      </c>
      <c r="K90" s="1">
        <f>0.31/2</f>
        <v>0.155</v>
      </c>
      <c r="L90">
        <v>0</v>
      </c>
      <c r="M90" t="s">
        <v>76</v>
      </c>
      <c r="N90" t="s">
        <v>42</v>
      </c>
    </row>
    <row r="91" spans="1:14" ht="12.75">
      <c r="A91">
        <v>200404</v>
      </c>
      <c r="B91" t="s">
        <v>86</v>
      </c>
      <c r="D91" t="s">
        <v>77</v>
      </c>
      <c r="E91">
        <v>103</v>
      </c>
      <c r="F91" t="s">
        <v>39</v>
      </c>
      <c r="G91" t="s">
        <v>40</v>
      </c>
      <c r="H91">
        <v>0</v>
      </c>
      <c r="I91" t="s">
        <v>85</v>
      </c>
      <c r="J91">
        <v>0</v>
      </c>
      <c r="K91" s="1">
        <f>45.26/2</f>
        <v>22.63</v>
      </c>
      <c r="L91">
        <v>0</v>
      </c>
      <c r="M91" t="s">
        <v>78</v>
      </c>
      <c r="N91" t="s">
        <v>42</v>
      </c>
    </row>
    <row r="92" spans="1:14" ht="12.75">
      <c r="A92">
        <v>200404</v>
      </c>
      <c r="B92" t="s">
        <v>86</v>
      </c>
      <c r="D92" t="s">
        <v>79</v>
      </c>
      <c r="E92">
        <v>103</v>
      </c>
      <c r="F92" t="s">
        <v>39</v>
      </c>
      <c r="G92" t="s">
        <v>40</v>
      </c>
      <c r="H92">
        <v>0</v>
      </c>
      <c r="I92" t="s">
        <v>85</v>
      </c>
      <c r="J92">
        <v>0</v>
      </c>
      <c r="K92" s="1">
        <f>1.24/2</f>
        <v>0.62</v>
      </c>
      <c r="L92">
        <v>0</v>
      </c>
      <c r="M92" t="s">
        <v>80</v>
      </c>
      <c r="N92" t="s">
        <v>42</v>
      </c>
    </row>
    <row r="94" spans="1:14" ht="12.75">
      <c r="A94">
        <v>200405</v>
      </c>
      <c r="B94" t="s">
        <v>86</v>
      </c>
      <c r="D94" t="s">
        <v>65</v>
      </c>
      <c r="E94">
        <v>103</v>
      </c>
      <c r="F94" t="s">
        <v>39</v>
      </c>
      <c r="G94" t="s">
        <v>40</v>
      </c>
      <c r="H94">
        <v>0</v>
      </c>
      <c r="J94">
        <v>0</v>
      </c>
      <c r="K94" s="1">
        <v>65.1</v>
      </c>
      <c r="L94">
        <v>0</v>
      </c>
      <c r="M94" t="s">
        <v>66</v>
      </c>
      <c r="N94" t="s">
        <v>42</v>
      </c>
    </row>
    <row r="95" spans="1:14" ht="12.75">
      <c r="A95">
        <v>200405</v>
      </c>
      <c r="B95" t="s">
        <v>86</v>
      </c>
      <c r="D95" t="s">
        <v>69</v>
      </c>
      <c r="E95">
        <v>103</v>
      </c>
      <c r="F95" t="s">
        <v>39</v>
      </c>
      <c r="G95" t="s">
        <v>40</v>
      </c>
      <c r="H95">
        <v>0</v>
      </c>
      <c r="J95">
        <v>0</v>
      </c>
      <c r="K95" s="1">
        <v>3.1</v>
      </c>
      <c r="L95">
        <v>0</v>
      </c>
      <c r="M95" t="s">
        <v>70</v>
      </c>
      <c r="N95" t="s">
        <v>42</v>
      </c>
    </row>
    <row r="96" spans="1:14" ht="12.75">
      <c r="A96">
        <v>200405</v>
      </c>
      <c r="B96" t="s">
        <v>86</v>
      </c>
      <c r="D96" t="s">
        <v>71</v>
      </c>
      <c r="E96">
        <v>103</v>
      </c>
      <c r="F96" t="s">
        <v>39</v>
      </c>
      <c r="G96" t="s">
        <v>40</v>
      </c>
      <c r="H96">
        <v>0</v>
      </c>
      <c r="J96">
        <v>0</v>
      </c>
      <c r="K96" s="1">
        <v>3.41</v>
      </c>
      <c r="L96">
        <v>0</v>
      </c>
      <c r="M96" t="s">
        <v>72</v>
      </c>
      <c r="N96" t="s">
        <v>42</v>
      </c>
    </row>
    <row r="97" spans="1:14" ht="12.75">
      <c r="A97">
        <v>200405</v>
      </c>
      <c r="B97" t="s">
        <v>86</v>
      </c>
      <c r="D97" t="s">
        <v>73</v>
      </c>
      <c r="E97">
        <v>103</v>
      </c>
      <c r="F97" t="s">
        <v>39</v>
      </c>
      <c r="G97" t="s">
        <v>40</v>
      </c>
      <c r="H97">
        <v>0</v>
      </c>
      <c r="J97">
        <v>0</v>
      </c>
      <c r="K97" s="1">
        <v>30.38</v>
      </c>
      <c r="L97">
        <v>0</v>
      </c>
      <c r="M97" t="s">
        <v>74</v>
      </c>
      <c r="N97" t="s">
        <v>42</v>
      </c>
    </row>
    <row r="98" spans="1:14" ht="12.75">
      <c r="A98">
        <v>200405</v>
      </c>
      <c r="B98" t="s">
        <v>86</v>
      </c>
      <c r="D98" t="s">
        <v>75</v>
      </c>
      <c r="E98">
        <v>103</v>
      </c>
      <c r="F98" t="s">
        <v>39</v>
      </c>
      <c r="G98" t="s">
        <v>40</v>
      </c>
      <c r="H98">
        <v>0</v>
      </c>
      <c r="J98">
        <v>0</v>
      </c>
      <c r="K98" s="1">
        <v>90.52</v>
      </c>
      <c r="L98">
        <v>0</v>
      </c>
      <c r="M98" t="s">
        <v>76</v>
      </c>
      <c r="N98" t="s">
        <v>42</v>
      </c>
    </row>
    <row r="99" spans="1:14" ht="12.75">
      <c r="A99">
        <v>200405</v>
      </c>
      <c r="B99" t="s">
        <v>86</v>
      </c>
      <c r="D99" t="s">
        <v>77</v>
      </c>
      <c r="E99">
        <v>103</v>
      </c>
      <c r="F99" t="s">
        <v>39</v>
      </c>
      <c r="G99" t="s">
        <v>40</v>
      </c>
      <c r="H99">
        <v>0</v>
      </c>
      <c r="J99">
        <v>0</v>
      </c>
      <c r="K99" s="1">
        <v>45.26</v>
      </c>
      <c r="L99">
        <v>0</v>
      </c>
      <c r="M99" t="s">
        <v>78</v>
      </c>
      <c r="N99" t="s">
        <v>42</v>
      </c>
    </row>
    <row r="100" spans="1:14" ht="12.75">
      <c r="A100">
        <v>200405</v>
      </c>
      <c r="B100" t="s">
        <v>86</v>
      </c>
      <c r="D100" t="s">
        <v>79</v>
      </c>
      <c r="E100">
        <v>103</v>
      </c>
      <c r="F100" t="s">
        <v>39</v>
      </c>
      <c r="G100" t="s">
        <v>40</v>
      </c>
      <c r="H100">
        <v>0</v>
      </c>
      <c r="J100">
        <v>0</v>
      </c>
      <c r="K100" s="1">
        <v>1.24</v>
      </c>
      <c r="L100">
        <v>0</v>
      </c>
      <c r="M100" t="s">
        <v>80</v>
      </c>
      <c r="N100" t="s">
        <v>42</v>
      </c>
    </row>
    <row r="102" spans="1:14" ht="12.75">
      <c r="A102">
        <v>200406</v>
      </c>
      <c r="B102" t="s">
        <v>86</v>
      </c>
      <c r="D102" t="s">
        <v>65</v>
      </c>
      <c r="E102">
        <v>103</v>
      </c>
      <c r="F102" t="s">
        <v>39</v>
      </c>
      <c r="G102" t="s">
        <v>40</v>
      </c>
      <c r="H102">
        <v>0</v>
      </c>
      <c r="J102">
        <v>0</v>
      </c>
      <c r="K102" s="1">
        <v>65.1</v>
      </c>
      <c r="L102">
        <v>0</v>
      </c>
      <c r="M102" t="s">
        <v>66</v>
      </c>
      <c r="N102" t="s">
        <v>42</v>
      </c>
    </row>
    <row r="103" spans="1:14" ht="12.75">
      <c r="A103">
        <v>200406</v>
      </c>
      <c r="B103" t="s">
        <v>86</v>
      </c>
      <c r="D103" t="s">
        <v>69</v>
      </c>
      <c r="E103">
        <v>103</v>
      </c>
      <c r="F103" t="s">
        <v>39</v>
      </c>
      <c r="G103" t="s">
        <v>40</v>
      </c>
      <c r="H103">
        <v>0</v>
      </c>
      <c r="J103">
        <v>0</v>
      </c>
      <c r="K103" s="1">
        <v>3.1</v>
      </c>
      <c r="L103">
        <v>0</v>
      </c>
      <c r="M103" t="s">
        <v>70</v>
      </c>
      <c r="N103" t="s">
        <v>42</v>
      </c>
    </row>
    <row r="104" spans="1:14" ht="12.75">
      <c r="A104">
        <v>200406</v>
      </c>
      <c r="B104" t="s">
        <v>86</v>
      </c>
      <c r="D104" t="s">
        <v>71</v>
      </c>
      <c r="E104">
        <v>103</v>
      </c>
      <c r="F104" t="s">
        <v>39</v>
      </c>
      <c r="G104" t="s">
        <v>40</v>
      </c>
      <c r="H104">
        <v>0</v>
      </c>
      <c r="J104">
        <v>0</v>
      </c>
      <c r="K104" s="1">
        <v>3.41</v>
      </c>
      <c r="L104">
        <v>0</v>
      </c>
      <c r="M104" t="s">
        <v>72</v>
      </c>
      <c r="N104" t="s">
        <v>42</v>
      </c>
    </row>
    <row r="105" spans="1:14" ht="12.75">
      <c r="A105">
        <v>200406</v>
      </c>
      <c r="B105" t="s">
        <v>86</v>
      </c>
      <c r="D105" t="s">
        <v>73</v>
      </c>
      <c r="E105">
        <v>103</v>
      </c>
      <c r="F105" t="s">
        <v>39</v>
      </c>
      <c r="G105" t="s">
        <v>40</v>
      </c>
      <c r="H105">
        <v>0</v>
      </c>
      <c r="J105">
        <v>0</v>
      </c>
      <c r="K105" s="1">
        <v>30.38</v>
      </c>
      <c r="L105">
        <v>0</v>
      </c>
      <c r="M105" t="s">
        <v>74</v>
      </c>
      <c r="N105" t="s">
        <v>42</v>
      </c>
    </row>
    <row r="106" spans="1:14" ht="12.75">
      <c r="A106">
        <v>200406</v>
      </c>
      <c r="B106" t="s">
        <v>86</v>
      </c>
      <c r="D106" t="s">
        <v>75</v>
      </c>
      <c r="E106">
        <v>103</v>
      </c>
      <c r="F106" t="s">
        <v>39</v>
      </c>
      <c r="G106" t="s">
        <v>40</v>
      </c>
      <c r="H106">
        <v>0</v>
      </c>
      <c r="J106">
        <v>0</v>
      </c>
      <c r="K106" s="1">
        <v>90.21</v>
      </c>
      <c r="L106">
        <v>0</v>
      </c>
      <c r="M106" t="s">
        <v>76</v>
      </c>
      <c r="N106" t="s">
        <v>42</v>
      </c>
    </row>
    <row r="107" spans="1:14" ht="12.75">
      <c r="A107">
        <v>200406</v>
      </c>
      <c r="B107" t="s">
        <v>86</v>
      </c>
      <c r="D107" t="s">
        <v>77</v>
      </c>
      <c r="E107">
        <v>103</v>
      </c>
      <c r="F107" t="s">
        <v>39</v>
      </c>
      <c r="G107" t="s">
        <v>40</v>
      </c>
      <c r="H107">
        <v>0</v>
      </c>
      <c r="J107">
        <v>0</v>
      </c>
      <c r="K107" s="1">
        <v>47.74</v>
      </c>
      <c r="L107">
        <v>0</v>
      </c>
      <c r="M107" t="s">
        <v>78</v>
      </c>
      <c r="N107" t="s">
        <v>42</v>
      </c>
    </row>
    <row r="108" spans="1:14" ht="12.75">
      <c r="A108">
        <v>200406</v>
      </c>
      <c r="B108" t="s">
        <v>86</v>
      </c>
      <c r="D108" t="s">
        <v>79</v>
      </c>
      <c r="E108">
        <v>103</v>
      </c>
      <c r="F108" t="s">
        <v>39</v>
      </c>
      <c r="G108" t="s">
        <v>40</v>
      </c>
      <c r="H108">
        <v>0</v>
      </c>
      <c r="J108">
        <v>0</v>
      </c>
      <c r="K108" s="1">
        <v>1.24</v>
      </c>
      <c r="L108">
        <v>0</v>
      </c>
      <c r="M108" t="s">
        <v>80</v>
      </c>
      <c r="N108" t="s">
        <v>42</v>
      </c>
    </row>
    <row r="110" spans="1:14" ht="12.75">
      <c r="A110">
        <v>200407</v>
      </c>
      <c r="B110" t="s">
        <v>86</v>
      </c>
      <c r="D110" t="s">
        <v>65</v>
      </c>
      <c r="E110">
        <v>103</v>
      </c>
      <c r="F110" t="s">
        <v>39</v>
      </c>
      <c r="G110" t="s">
        <v>40</v>
      </c>
      <c r="H110">
        <v>0</v>
      </c>
      <c r="J110">
        <v>0</v>
      </c>
      <c r="K110" s="1">
        <v>65.1</v>
      </c>
      <c r="L110">
        <v>0</v>
      </c>
      <c r="M110" t="s">
        <v>66</v>
      </c>
      <c r="N110" t="s">
        <v>42</v>
      </c>
    </row>
    <row r="111" spans="1:14" ht="12.75">
      <c r="A111">
        <v>200407</v>
      </c>
      <c r="B111" t="s">
        <v>86</v>
      </c>
      <c r="D111" t="s">
        <v>69</v>
      </c>
      <c r="E111">
        <v>103</v>
      </c>
      <c r="F111" t="s">
        <v>39</v>
      </c>
      <c r="G111" t="s">
        <v>40</v>
      </c>
      <c r="H111">
        <v>0</v>
      </c>
      <c r="J111">
        <v>0</v>
      </c>
      <c r="K111" s="1">
        <v>3.1</v>
      </c>
      <c r="L111">
        <v>0</v>
      </c>
      <c r="M111" t="s">
        <v>70</v>
      </c>
      <c r="N111" t="s">
        <v>42</v>
      </c>
    </row>
    <row r="112" spans="1:14" ht="12.75">
      <c r="A112">
        <v>200407</v>
      </c>
      <c r="B112" t="s">
        <v>86</v>
      </c>
      <c r="D112" t="s">
        <v>71</v>
      </c>
      <c r="E112">
        <v>103</v>
      </c>
      <c r="F112" t="s">
        <v>39</v>
      </c>
      <c r="G112" t="s">
        <v>40</v>
      </c>
      <c r="H112">
        <v>0</v>
      </c>
      <c r="J112">
        <v>0</v>
      </c>
      <c r="K112" s="1">
        <v>3.41</v>
      </c>
      <c r="L112">
        <v>0</v>
      </c>
      <c r="M112" t="s">
        <v>72</v>
      </c>
      <c r="N112" t="s">
        <v>42</v>
      </c>
    </row>
    <row r="113" spans="1:14" ht="12.75">
      <c r="A113">
        <v>200407</v>
      </c>
      <c r="B113" t="s">
        <v>86</v>
      </c>
      <c r="D113" t="s">
        <v>73</v>
      </c>
      <c r="E113">
        <v>103</v>
      </c>
      <c r="F113" t="s">
        <v>39</v>
      </c>
      <c r="G113" t="s">
        <v>40</v>
      </c>
      <c r="H113">
        <v>0</v>
      </c>
      <c r="J113">
        <v>0</v>
      </c>
      <c r="K113" s="1">
        <v>30.61</v>
      </c>
      <c r="L113">
        <v>0</v>
      </c>
      <c r="M113" t="s">
        <v>74</v>
      </c>
      <c r="N113" t="s">
        <v>42</v>
      </c>
    </row>
    <row r="114" spans="1:14" ht="12.75">
      <c r="A114">
        <v>200407</v>
      </c>
      <c r="B114" t="s">
        <v>86</v>
      </c>
      <c r="D114" t="s">
        <v>75</v>
      </c>
      <c r="E114">
        <v>103</v>
      </c>
      <c r="F114" t="s">
        <v>39</v>
      </c>
      <c r="G114" t="s">
        <v>40</v>
      </c>
      <c r="H114">
        <v>0</v>
      </c>
      <c r="J114">
        <v>0</v>
      </c>
      <c r="K114" s="1">
        <v>90.45</v>
      </c>
      <c r="L114">
        <v>0</v>
      </c>
      <c r="M114" t="s">
        <v>76</v>
      </c>
      <c r="N114" t="s">
        <v>42</v>
      </c>
    </row>
    <row r="115" spans="1:14" ht="12.75">
      <c r="A115">
        <v>200407</v>
      </c>
      <c r="B115" t="s">
        <v>86</v>
      </c>
      <c r="D115" t="s">
        <v>77</v>
      </c>
      <c r="E115">
        <v>103</v>
      </c>
      <c r="F115" t="s">
        <v>39</v>
      </c>
      <c r="G115" t="s">
        <v>40</v>
      </c>
      <c r="H115">
        <v>0</v>
      </c>
      <c r="J115">
        <v>0</v>
      </c>
      <c r="K115" s="1">
        <v>47.74</v>
      </c>
      <c r="L115">
        <v>0</v>
      </c>
      <c r="M115" t="s">
        <v>78</v>
      </c>
      <c r="N115" t="s">
        <v>42</v>
      </c>
    </row>
    <row r="116" spans="1:14" ht="12.75">
      <c r="A116">
        <v>200407</v>
      </c>
      <c r="B116" t="s">
        <v>86</v>
      </c>
      <c r="D116" t="s">
        <v>79</v>
      </c>
      <c r="E116">
        <v>103</v>
      </c>
      <c r="F116" t="s">
        <v>39</v>
      </c>
      <c r="G116" t="s">
        <v>40</v>
      </c>
      <c r="H116">
        <v>0</v>
      </c>
      <c r="J116">
        <v>0</v>
      </c>
      <c r="K116" s="1">
        <v>1.24</v>
      </c>
      <c r="L116">
        <v>0</v>
      </c>
      <c r="M116" t="s">
        <v>80</v>
      </c>
      <c r="N116" t="s">
        <v>42</v>
      </c>
    </row>
    <row r="118" spans="1:14" ht="12.75">
      <c r="A118">
        <v>200408</v>
      </c>
      <c r="B118" t="s">
        <v>86</v>
      </c>
      <c r="D118" t="s">
        <v>65</v>
      </c>
      <c r="E118">
        <v>103</v>
      </c>
      <c r="F118" t="s">
        <v>39</v>
      </c>
      <c r="G118" t="s">
        <v>40</v>
      </c>
      <c r="H118">
        <v>0</v>
      </c>
      <c r="J118">
        <v>0</v>
      </c>
      <c r="K118" s="1">
        <v>65.1</v>
      </c>
      <c r="L118">
        <v>0</v>
      </c>
      <c r="M118" t="s">
        <v>66</v>
      </c>
      <c r="N118" t="s">
        <v>42</v>
      </c>
    </row>
    <row r="119" spans="1:14" ht="12.75">
      <c r="A119">
        <v>200408</v>
      </c>
      <c r="B119" t="s">
        <v>86</v>
      </c>
      <c r="D119" t="s">
        <v>69</v>
      </c>
      <c r="E119">
        <v>103</v>
      </c>
      <c r="F119" t="s">
        <v>39</v>
      </c>
      <c r="G119" t="s">
        <v>40</v>
      </c>
      <c r="H119">
        <v>0</v>
      </c>
      <c r="J119">
        <v>0</v>
      </c>
      <c r="K119" s="1">
        <v>3.1</v>
      </c>
      <c r="L119">
        <v>0</v>
      </c>
      <c r="M119" t="s">
        <v>70</v>
      </c>
      <c r="N119" t="s">
        <v>42</v>
      </c>
    </row>
    <row r="120" spans="1:14" ht="12.75">
      <c r="A120">
        <v>200408</v>
      </c>
      <c r="B120" t="s">
        <v>86</v>
      </c>
      <c r="D120" t="s">
        <v>71</v>
      </c>
      <c r="E120">
        <v>103</v>
      </c>
      <c r="F120" t="s">
        <v>39</v>
      </c>
      <c r="G120" t="s">
        <v>40</v>
      </c>
      <c r="H120">
        <v>0</v>
      </c>
      <c r="J120">
        <v>0</v>
      </c>
      <c r="K120" s="1">
        <v>3.41</v>
      </c>
      <c r="L120">
        <v>0</v>
      </c>
      <c r="M120" t="s">
        <v>72</v>
      </c>
      <c r="N120" t="s">
        <v>42</v>
      </c>
    </row>
    <row r="121" spans="1:14" ht="12.75">
      <c r="A121">
        <v>200408</v>
      </c>
      <c r="B121" t="s">
        <v>86</v>
      </c>
      <c r="D121" t="s">
        <v>73</v>
      </c>
      <c r="E121">
        <v>103</v>
      </c>
      <c r="F121" t="s">
        <v>39</v>
      </c>
      <c r="G121" t="s">
        <v>40</v>
      </c>
      <c r="H121">
        <v>0</v>
      </c>
      <c r="J121">
        <v>0</v>
      </c>
      <c r="K121" s="1">
        <v>30.69</v>
      </c>
      <c r="L121">
        <v>0</v>
      </c>
      <c r="M121" t="s">
        <v>74</v>
      </c>
      <c r="N121" t="s">
        <v>42</v>
      </c>
    </row>
    <row r="122" spans="1:14" ht="12.75">
      <c r="A122">
        <v>200408</v>
      </c>
      <c r="B122" t="s">
        <v>86</v>
      </c>
      <c r="D122" t="s">
        <v>75</v>
      </c>
      <c r="E122">
        <v>103</v>
      </c>
      <c r="F122" t="s">
        <v>39</v>
      </c>
      <c r="G122" t="s">
        <v>40</v>
      </c>
      <c r="H122">
        <v>0</v>
      </c>
      <c r="J122">
        <v>0</v>
      </c>
      <c r="K122" s="1">
        <v>90.01</v>
      </c>
      <c r="L122">
        <v>0</v>
      </c>
      <c r="M122" t="s">
        <v>76</v>
      </c>
      <c r="N122" t="s">
        <v>42</v>
      </c>
    </row>
    <row r="123" spans="1:14" ht="12.75">
      <c r="A123">
        <v>200408</v>
      </c>
      <c r="B123" t="s">
        <v>86</v>
      </c>
      <c r="D123" t="s">
        <v>77</v>
      </c>
      <c r="E123">
        <v>103</v>
      </c>
      <c r="F123" t="s">
        <v>39</v>
      </c>
      <c r="G123" t="s">
        <v>40</v>
      </c>
      <c r="H123">
        <v>0</v>
      </c>
      <c r="J123">
        <v>0</v>
      </c>
      <c r="K123" s="1">
        <v>47.74</v>
      </c>
      <c r="L123">
        <v>0</v>
      </c>
      <c r="M123" t="s">
        <v>78</v>
      </c>
      <c r="N123" t="s">
        <v>42</v>
      </c>
    </row>
    <row r="124" spans="1:14" ht="12.75">
      <c r="A124">
        <v>200408</v>
      </c>
      <c r="B124" t="s">
        <v>86</v>
      </c>
      <c r="D124" t="s">
        <v>79</v>
      </c>
      <c r="E124">
        <v>103</v>
      </c>
      <c r="F124" t="s">
        <v>39</v>
      </c>
      <c r="G124" t="s">
        <v>40</v>
      </c>
      <c r="H124">
        <v>0</v>
      </c>
      <c r="J124">
        <v>0</v>
      </c>
      <c r="K124" s="1">
        <v>1.24</v>
      </c>
      <c r="L124">
        <v>0</v>
      </c>
      <c r="M124" t="s">
        <v>80</v>
      </c>
      <c r="N124" t="s">
        <v>42</v>
      </c>
    </row>
    <row r="126" spans="1:14" ht="12.75">
      <c r="A126">
        <v>200409</v>
      </c>
      <c r="B126" t="s">
        <v>86</v>
      </c>
      <c r="D126" t="s">
        <v>65</v>
      </c>
      <c r="E126">
        <v>103</v>
      </c>
      <c r="F126" t="s">
        <v>39</v>
      </c>
      <c r="G126" t="s">
        <v>40</v>
      </c>
      <c r="H126">
        <v>0</v>
      </c>
      <c r="J126">
        <v>0</v>
      </c>
      <c r="K126" s="1">
        <v>65.1</v>
      </c>
      <c r="L126">
        <v>0</v>
      </c>
      <c r="M126" t="s">
        <v>66</v>
      </c>
      <c r="N126" t="s">
        <v>42</v>
      </c>
    </row>
    <row r="127" spans="1:14" ht="12.75">
      <c r="A127">
        <v>200409</v>
      </c>
      <c r="B127" t="s">
        <v>86</v>
      </c>
      <c r="D127" t="s">
        <v>69</v>
      </c>
      <c r="E127">
        <v>103</v>
      </c>
      <c r="F127" t="s">
        <v>39</v>
      </c>
      <c r="G127" t="s">
        <v>40</v>
      </c>
      <c r="H127">
        <v>0</v>
      </c>
      <c r="J127">
        <v>0</v>
      </c>
      <c r="K127" s="1">
        <v>3.1</v>
      </c>
      <c r="L127">
        <v>0</v>
      </c>
      <c r="M127" t="s">
        <v>70</v>
      </c>
      <c r="N127" t="s">
        <v>42</v>
      </c>
    </row>
    <row r="128" spans="1:14" ht="12.75">
      <c r="A128">
        <v>200409</v>
      </c>
      <c r="B128" t="s">
        <v>86</v>
      </c>
      <c r="D128" t="s">
        <v>71</v>
      </c>
      <c r="E128">
        <v>103</v>
      </c>
      <c r="F128" t="s">
        <v>39</v>
      </c>
      <c r="G128" t="s">
        <v>40</v>
      </c>
      <c r="H128">
        <v>0</v>
      </c>
      <c r="J128">
        <v>0</v>
      </c>
      <c r="K128" s="1">
        <v>3.41</v>
      </c>
      <c r="L128">
        <v>0</v>
      </c>
      <c r="M128" t="s">
        <v>72</v>
      </c>
      <c r="N128" t="s">
        <v>42</v>
      </c>
    </row>
    <row r="129" spans="1:14" ht="12.75">
      <c r="A129">
        <v>200409</v>
      </c>
      <c r="B129" t="s">
        <v>86</v>
      </c>
      <c r="D129" t="s">
        <v>73</v>
      </c>
      <c r="E129">
        <v>103</v>
      </c>
      <c r="F129" t="s">
        <v>39</v>
      </c>
      <c r="G129" t="s">
        <v>40</v>
      </c>
      <c r="H129">
        <v>0</v>
      </c>
      <c r="J129">
        <v>0</v>
      </c>
      <c r="K129" s="1">
        <v>30.69</v>
      </c>
      <c r="L129">
        <v>0</v>
      </c>
      <c r="M129" t="s">
        <v>74</v>
      </c>
      <c r="N129" t="s">
        <v>42</v>
      </c>
    </row>
    <row r="130" spans="1:14" ht="12.75">
      <c r="A130">
        <v>200409</v>
      </c>
      <c r="B130" t="s">
        <v>86</v>
      </c>
      <c r="D130" t="s">
        <v>75</v>
      </c>
      <c r="E130">
        <v>103</v>
      </c>
      <c r="F130" t="s">
        <v>39</v>
      </c>
      <c r="G130" t="s">
        <v>40</v>
      </c>
      <c r="H130">
        <v>0</v>
      </c>
      <c r="J130">
        <v>0</v>
      </c>
      <c r="K130" s="1">
        <v>90.07</v>
      </c>
      <c r="L130">
        <v>0</v>
      </c>
      <c r="M130" t="s">
        <v>76</v>
      </c>
      <c r="N130" t="s">
        <v>42</v>
      </c>
    </row>
    <row r="131" spans="1:14" ht="12.75">
      <c r="A131">
        <v>200409</v>
      </c>
      <c r="B131" t="s">
        <v>86</v>
      </c>
      <c r="D131" t="s">
        <v>77</v>
      </c>
      <c r="E131">
        <v>103</v>
      </c>
      <c r="F131" t="s">
        <v>39</v>
      </c>
      <c r="G131" t="s">
        <v>40</v>
      </c>
      <c r="H131">
        <v>0</v>
      </c>
      <c r="J131">
        <v>0</v>
      </c>
      <c r="K131" s="1">
        <v>47.74</v>
      </c>
      <c r="L131">
        <v>0</v>
      </c>
      <c r="M131" t="s">
        <v>78</v>
      </c>
      <c r="N131" t="s">
        <v>42</v>
      </c>
    </row>
    <row r="132" spans="1:14" ht="12.75">
      <c r="A132">
        <v>200409</v>
      </c>
      <c r="B132" t="s">
        <v>86</v>
      </c>
      <c r="D132" t="s">
        <v>79</v>
      </c>
      <c r="E132">
        <v>103</v>
      </c>
      <c r="F132" t="s">
        <v>39</v>
      </c>
      <c r="G132" t="s">
        <v>40</v>
      </c>
      <c r="H132">
        <v>0</v>
      </c>
      <c r="J132">
        <v>0</v>
      </c>
      <c r="K132" s="1">
        <v>1.24</v>
      </c>
      <c r="L132">
        <v>0</v>
      </c>
      <c r="M132" t="s">
        <v>80</v>
      </c>
      <c r="N132" t="s">
        <v>42</v>
      </c>
    </row>
    <row r="134" spans="1:14" ht="12.75">
      <c r="A134">
        <v>200410</v>
      </c>
      <c r="B134" t="s">
        <v>86</v>
      </c>
      <c r="D134" t="s">
        <v>65</v>
      </c>
      <c r="E134">
        <v>103</v>
      </c>
      <c r="F134" t="s">
        <v>39</v>
      </c>
      <c r="G134" t="s">
        <v>40</v>
      </c>
      <c r="H134">
        <v>0</v>
      </c>
      <c r="J134">
        <v>0</v>
      </c>
      <c r="K134" s="1">
        <v>65.1</v>
      </c>
      <c r="L134">
        <v>0</v>
      </c>
      <c r="M134" t="s">
        <v>66</v>
      </c>
      <c r="N134" t="s">
        <v>42</v>
      </c>
    </row>
    <row r="135" spans="1:14" ht="12.75">
      <c r="A135">
        <v>200410</v>
      </c>
      <c r="B135" t="s">
        <v>86</v>
      </c>
      <c r="D135" t="s">
        <v>69</v>
      </c>
      <c r="E135">
        <v>103</v>
      </c>
      <c r="F135" t="s">
        <v>39</v>
      </c>
      <c r="G135" t="s">
        <v>40</v>
      </c>
      <c r="H135">
        <v>0</v>
      </c>
      <c r="J135">
        <v>0</v>
      </c>
      <c r="K135" s="1">
        <v>3.1</v>
      </c>
      <c r="L135">
        <v>0</v>
      </c>
      <c r="M135" t="s">
        <v>70</v>
      </c>
      <c r="N135" t="s">
        <v>42</v>
      </c>
    </row>
    <row r="136" spans="1:14" ht="12.75">
      <c r="A136">
        <v>200410</v>
      </c>
      <c r="B136" t="s">
        <v>86</v>
      </c>
      <c r="D136" t="s">
        <v>71</v>
      </c>
      <c r="E136">
        <v>103</v>
      </c>
      <c r="F136" t="s">
        <v>39</v>
      </c>
      <c r="G136" t="s">
        <v>40</v>
      </c>
      <c r="H136">
        <v>0</v>
      </c>
      <c r="J136">
        <v>0</v>
      </c>
      <c r="K136" s="1">
        <v>3.41</v>
      </c>
      <c r="L136">
        <v>0</v>
      </c>
      <c r="M136" t="s">
        <v>72</v>
      </c>
      <c r="N136" t="s">
        <v>42</v>
      </c>
    </row>
    <row r="137" spans="1:14" ht="12.75">
      <c r="A137">
        <v>200410</v>
      </c>
      <c r="B137" t="s">
        <v>86</v>
      </c>
      <c r="D137" t="s">
        <v>73</v>
      </c>
      <c r="E137">
        <v>103</v>
      </c>
      <c r="F137" t="s">
        <v>39</v>
      </c>
      <c r="G137" t="s">
        <v>40</v>
      </c>
      <c r="H137">
        <v>0</v>
      </c>
      <c r="J137">
        <v>0</v>
      </c>
      <c r="K137" s="1">
        <v>30.71</v>
      </c>
      <c r="L137">
        <v>0</v>
      </c>
      <c r="M137" t="s">
        <v>74</v>
      </c>
      <c r="N137" t="s">
        <v>42</v>
      </c>
    </row>
    <row r="138" spans="1:14" ht="12.75">
      <c r="A138">
        <v>200410</v>
      </c>
      <c r="B138" t="s">
        <v>86</v>
      </c>
      <c r="D138" t="s">
        <v>75</v>
      </c>
      <c r="E138">
        <v>103</v>
      </c>
      <c r="F138" t="s">
        <v>39</v>
      </c>
      <c r="G138" t="s">
        <v>40</v>
      </c>
      <c r="H138">
        <v>0</v>
      </c>
      <c r="J138">
        <v>0</v>
      </c>
      <c r="K138" s="1">
        <v>90.39</v>
      </c>
      <c r="L138">
        <v>0</v>
      </c>
      <c r="M138" t="s">
        <v>76</v>
      </c>
      <c r="N138" t="s">
        <v>42</v>
      </c>
    </row>
    <row r="139" spans="1:14" ht="12.75">
      <c r="A139">
        <v>200410</v>
      </c>
      <c r="B139" t="s">
        <v>86</v>
      </c>
      <c r="D139" t="s">
        <v>77</v>
      </c>
      <c r="E139">
        <v>103</v>
      </c>
      <c r="F139" t="s">
        <v>39</v>
      </c>
      <c r="G139" t="s">
        <v>40</v>
      </c>
      <c r="H139">
        <v>0</v>
      </c>
      <c r="J139">
        <v>0</v>
      </c>
      <c r="K139" s="1">
        <v>47.74</v>
      </c>
      <c r="L139">
        <v>0</v>
      </c>
      <c r="M139" t="s">
        <v>78</v>
      </c>
      <c r="N139" t="s">
        <v>42</v>
      </c>
    </row>
    <row r="140" spans="1:14" ht="12.75">
      <c r="A140">
        <v>200410</v>
      </c>
      <c r="B140" t="s">
        <v>86</v>
      </c>
      <c r="D140" t="s">
        <v>79</v>
      </c>
      <c r="E140">
        <v>103</v>
      </c>
      <c r="F140" t="s">
        <v>39</v>
      </c>
      <c r="G140" t="s">
        <v>40</v>
      </c>
      <c r="H140">
        <v>0</v>
      </c>
      <c r="J140">
        <v>0</v>
      </c>
      <c r="K140" s="1">
        <v>1.24</v>
      </c>
      <c r="L140">
        <v>0</v>
      </c>
      <c r="M140" t="s">
        <v>80</v>
      </c>
      <c r="N140" t="s">
        <v>42</v>
      </c>
    </row>
    <row r="142" spans="1:14" ht="12.75">
      <c r="A142">
        <v>200411</v>
      </c>
      <c r="B142" t="s">
        <v>86</v>
      </c>
      <c r="D142" t="s">
        <v>65</v>
      </c>
      <c r="E142">
        <v>103</v>
      </c>
      <c r="F142" t="s">
        <v>39</v>
      </c>
      <c r="G142" t="s">
        <v>40</v>
      </c>
      <c r="H142">
        <v>0</v>
      </c>
      <c r="J142">
        <v>0</v>
      </c>
      <c r="K142" s="1">
        <v>64.79</v>
      </c>
      <c r="L142">
        <v>0</v>
      </c>
      <c r="M142" t="s">
        <v>66</v>
      </c>
      <c r="N142" t="s">
        <v>42</v>
      </c>
    </row>
    <row r="143" spans="1:14" ht="12.75">
      <c r="A143">
        <v>200411</v>
      </c>
      <c r="B143" t="s">
        <v>86</v>
      </c>
      <c r="D143" t="s">
        <v>69</v>
      </c>
      <c r="E143">
        <v>103</v>
      </c>
      <c r="F143" t="s">
        <v>39</v>
      </c>
      <c r="G143" t="s">
        <v>40</v>
      </c>
      <c r="H143">
        <v>0</v>
      </c>
      <c r="J143">
        <v>0</v>
      </c>
      <c r="K143" s="1">
        <v>3.1</v>
      </c>
      <c r="L143">
        <v>0</v>
      </c>
      <c r="M143" t="s">
        <v>70</v>
      </c>
      <c r="N143" t="s">
        <v>42</v>
      </c>
    </row>
    <row r="144" spans="1:14" ht="12.75">
      <c r="A144">
        <v>200411</v>
      </c>
      <c r="B144" t="s">
        <v>86</v>
      </c>
      <c r="D144" t="s">
        <v>71</v>
      </c>
      <c r="E144">
        <v>103</v>
      </c>
      <c r="F144" t="s">
        <v>39</v>
      </c>
      <c r="G144" t="s">
        <v>40</v>
      </c>
      <c r="H144">
        <v>0</v>
      </c>
      <c r="J144">
        <v>0</v>
      </c>
      <c r="K144" s="1">
        <v>3.41</v>
      </c>
      <c r="L144">
        <v>0</v>
      </c>
      <c r="M144" t="s">
        <v>72</v>
      </c>
      <c r="N144" t="s">
        <v>42</v>
      </c>
    </row>
    <row r="145" spans="1:14" ht="12.75">
      <c r="A145">
        <v>200411</v>
      </c>
      <c r="B145" t="s">
        <v>86</v>
      </c>
      <c r="D145" t="s">
        <v>73</v>
      </c>
      <c r="E145">
        <v>103</v>
      </c>
      <c r="F145" t="s">
        <v>39</v>
      </c>
      <c r="G145" t="s">
        <v>40</v>
      </c>
      <c r="H145">
        <v>0</v>
      </c>
      <c r="J145">
        <v>0</v>
      </c>
      <c r="K145" s="1">
        <v>31</v>
      </c>
      <c r="L145">
        <v>0</v>
      </c>
      <c r="M145" t="s">
        <v>74</v>
      </c>
      <c r="N145" t="s">
        <v>42</v>
      </c>
    </row>
    <row r="146" spans="1:14" ht="12.75">
      <c r="A146">
        <v>200411</v>
      </c>
      <c r="B146" t="s">
        <v>86</v>
      </c>
      <c r="D146" t="s">
        <v>75</v>
      </c>
      <c r="E146">
        <v>103</v>
      </c>
      <c r="F146" t="s">
        <v>39</v>
      </c>
      <c r="G146" t="s">
        <v>40</v>
      </c>
      <c r="H146">
        <v>0</v>
      </c>
      <c r="J146">
        <v>0</v>
      </c>
      <c r="K146" s="1">
        <v>89.28</v>
      </c>
      <c r="L146">
        <v>0</v>
      </c>
      <c r="M146" t="s">
        <v>76</v>
      </c>
      <c r="N146" t="s">
        <v>42</v>
      </c>
    </row>
    <row r="147" spans="1:14" ht="12.75">
      <c r="A147">
        <v>200411</v>
      </c>
      <c r="B147" t="s">
        <v>86</v>
      </c>
      <c r="D147" t="s">
        <v>77</v>
      </c>
      <c r="E147">
        <v>103</v>
      </c>
      <c r="F147" t="s">
        <v>39</v>
      </c>
      <c r="G147" t="s">
        <v>40</v>
      </c>
      <c r="H147">
        <v>0</v>
      </c>
      <c r="J147">
        <v>0</v>
      </c>
      <c r="K147" s="1">
        <v>48.67</v>
      </c>
      <c r="L147">
        <v>0</v>
      </c>
      <c r="M147" t="s">
        <v>78</v>
      </c>
      <c r="N147" t="s">
        <v>42</v>
      </c>
    </row>
    <row r="148" spans="1:14" ht="12.75">
      <c r="A148">
        <v>200411</v>
      </c>
      <c r="B148" t="s">
        <v>86</v>
      </c>
      <c r="D148" t="s">
        <v>79</v>
      </c>
      <c r="E148">
        <v>103</v>
      </c>
      <c r="F148" t="s">
        <v>39</v>
      </c>
      <c r="G148" t="s">
        <v>40</v>
      </c>
      <c r="H148">
        <v>0</v>
      </c>
      <c r="J148">
        <v>0</v>
      </c>
      <c r="K148" s="1">
        <v>1.24</v>
      </c>
      <c r="L148">
        <v>0</v>
      </c>
      <c r="M148" t="s">
        <v>80</v>
      </c>
      <c r="N148" t="s">
        <v>42</v>
      </c>
    </row>
    <row r="150" spans="1:14" ht="12.75">
      <c r="A150">
        <v>200412</v>
      </c>
      <c r="B150" t="s">
        <v>86</v>
      </c>
      <c r="D150" t="s">
        <v>65</v>
      </c>
      <c r="E150">
        <v>103</v>
      </c>
      <c r="F150" t="s">
        <v>39</v>
      </c>
      <c r="G150" t="s">
        <v>40</v>
      </c>
      <c r="H150">
        <v>0</v>
      </c>
      <c r="J150">
        <v>0</v>
      </c>
      <c r="K150" s="1">
        <v>64.79</v>
      </c>
      <c r="L150">
        <v>0</v>
      </c>
      <c r="M150" t="s">
        <v>66</v>
      </c>
      <c r="N150" t="s">
        <v>42</v>
      </c>
    </row>
    <row r="151" spans="1:14" ht="12.75">
      <c r="A151">
        <v>200412</v>
      </c>
      <c r="B151" t="s">
        <v>86</v>
      </c>
      <c r="D151" t="s">
        <v>69</v>
      </c>
      <c r="E151">
        <v>103</v>
      </c>
      <c r="F151" t="s">
        <v>39</v>
      </c>
      <c r="G151" t="s">
        <v>40</v>
      </c>
      <c r="H151">
        <v>0</v>
      </c>
      <c r="J151">
        <v>0</v>
      </c>
      <c r="K151" s="1">
        <v>3.1</v>
      </c>
      <c r="L151">
        <v>0</v>
      </c>
      <c r="M151" t="s">
        <v>70</v>
      </c>
      <c r="N151" t="s">
        <v>42</v>
      </c>
    </row>
    <row r="152" spans="1:14" ht="12.75">
      <c r="A152">
        <v>200412</v>
      </c>
      <c r="B152" t="s">
        <v>86</v>
      </c>
      <c r="D152" t="s">
        <v>71</v>
      </c>
      <c r="E152">
        <v>103</v>
      </c>
      <c r="F152" t="s">
        <v>39</v>
      </c>
      <c r="G152" t="s">
        <v>40</v>
      </c>
      <c r="H152">
        <v>0</v>
      </c>
      <c r="J152">
        <v>0</v>
      </c>
      <c r="K152" s="1">
        <v>3.41</v>
      </c>
      <c r="L152">
        <v>0</v>
      </c>
      <c r="M152" t="s">
        <v>72</v>
      </c>
      <c r="N152" t="s">
        <v>42</v>
      </c>
    </row>
    <row r="153" spans="1:14" ht="12.75">
      <c r="A153">
        <v>200412</v>
      </c>
      <c r="B153" t="s">
        <v>86</v>
      </c>
      <c r="D153" t="s">
        <v>73</v>
      </c>
      <c r="E153">
        <v>103</v>
      </c>
      <c r="F153" t="s">
        <v>39</v>
      </c>
      <c r="G153" t="s">
        <v>40</v>
      </c>
      <c r="H153">
        <v>0</v>
      </c>
      <c r="J153">
        <v>0</v>
      </c>
      <c r="K153" s="1">
        <v>28.09</v>
      </c>
      <c r="L153">
        <v>0</v>
      </c>
      <c r="M153" t="s">
        <v>74</v>
      </c>
      <c r="N153" t="s">
        <v>42</v>
      </c>
    </row>
    <row r="154" spans="1:14" ht="12.75">
      <c r="A154">
        <v>200412</v>
      </c>
      <c r="B154" t="s">
        <v>86</v>
      </c>
      <c r="D154" t="s">
        <v>75</v>
      </c>
      <c r="E154">
        <v>103</v>
      </c>
      <c r="F154" t="s">
        <v>39</v>
      </c>
      <c r="G154" t="s">
        <v>40</v>
      </c>
      <c r="H154">
        <v>0</v>
      </c>
      <c r="J154">
        <v>0</v>
      </c>
      <c r="K154" s="1">
        <v>88.61</v>
      </c>
      <c r="L154">
        <v>0</v>
      </c>
      <c r="M154" t="s">
        <v>76</v>
      </c>
      <c r="N154" t="s">
        <v>42</v>
      </c>
    </row>
    <row r="155" spans="1:14" ht="12.75">
      <c r="A155">
        <v>200412</v>
      </c>
      <c r="B155" t="s">
        <v>86</v>
      </c>
      <c r="D155" t="s">
        <v>77</v>
      </c>
      <c r="E155">
        <v>103</v>
      </c>
      <c r="F155" t="s">
        <v>39</v>
      </c>
      <c r="G155" t="s">
        <v>40</v>
      </c>
      <c r="H155">
        <v>0</v>
      </c>
      <c r="J155">
        <v>0</v>
      </c>
      <c r="K155" s="1">
        <v>45.98</v>
      </c>
      <c r="L155">
        <v>0</v>
      </c>
      <c r="M155" t="s">
        <v>78</v>
      </c>
      <c r="N155" t="s">
        <v>42</v>
      </c>
    </row>
    <row r="156" spans="1:14" ht="12.75">
      <c r="A156">
        <v>200412</v>
      </c>
      <c r="B156" t="s">
        <v>86</v>
      </c>
      <c r="D156" t="s">
        <v>79</v>
      </c>
      <c r="E156">
        <v>103</v>
      </c>
      <c r="F156" t="s">
        <v>39</v>
      </c>
      <c r="G156" t="s">
        <v>40</v>
      </c>
      <c r="H156">
        <v>0</v>
      </c>
      <c r="J156">
        <v>0</v>
      </c>
      <c r="K156" s="1">
        <v>1.24</v>
      </c>
      <c r="L156">
        <v>0</v>
      </c>
      <c r="M156" t="s">
        <v>80</v>
      </c>
      <c r="N156" t="s">
        <v>42</v>
      </c>
    </row>
    <row r="157" ht="12.75">
      <c r="K157" s="2">
        <f>SUM(K85:K156)</f>
        <v>2041.3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&amp;L&amp;D&amp;C&amp;F&amp;R&amp;A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45"/>
  <sheetViews>
    <sheetView zoomScalePageLayoutView="0" workbookViewId="0" topLeftCell="A101">
      <selection activeCell="H101" sqref="H101"/>
    </sheetView>
  </sheetViews>
  <sheetFormatPr defaultColWidth="9.33203125" defaultRowHeight="12.75"/>
  <cols>
    <col min="2" max="2" width="4.33203125" style="0" customWidth="1"/>
    <col min="3" max="3" width="3.83203125" style="0" customWidth="1"/>
    <col min="9" max="9" width="4.16015625" style="0" customWidth="1"/>
    <col min="10" max="10" width="12.83203125" style="4" customWidth="1"/>
    <col min="11" max="11" width="14.66015625" style="1" customWidth="1"/>
    <col min="12" max="12" width="10.5" style="4" bestFit="1" customWidth="1"/>
    <col min="14" max="14" width="17.83203125" style="0" bestFit="1" customWidth="1"/>
  </cols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4" t="s">
        <v>9</v>
      </c>
      <c r="K1" s="1" t="s">
        <v>10</v>
      </c>
      <c r="L1" s="4" t="s">
        <v>11</v>
      </c>
      <c r="M1" t="s">
        <v>12</v>
      </c>
      <c r="N1" t="s">
        <v>13</v>
      </c>
    </row>
    <row r="2" spans="1:14" ht="12.75">
      <c r="A2">
        <v>200404</v>
      </c>
      <c r="B2">
        <v>1</v>
      </c>
      <c r="D2" t="s">
        <v>65</v>
      </c>
      <c r="E2">
        <v>110</v>
      </c>
      <c r="F2" t="s">
        <v>67</v>
      </c>
      <c r="G2" t="s">
        <v>40</v>
      </c>
      <c r="H2">
        <v>0.00384</v>
      </c>
      <c r="J2" s="4">
        <v>1003</v>
      </c>
      <c r="K2" s="36">
        <v>3.8</v>
      </c>
      <c r="L2" s="4">
        <v>0</v>
      </c>
      <c r="M2" t="s">
        <v>66</v>
      </c>
      <c r="N2" t="s">
        <v>68</v>
      </c>
    </row>
    <row r="3" spans="1:14" ht="12.75">
      <c r="A3">
        <v>200404</v>
      </c>
      <c r="B3">
        <v>1</v>
      </c>
      <c r="D3" t="s">
        <v>69</v>
      </c>
      <c r="E3">
        <v>110</v>
      </c>
      <c r="F3" t="s">
        <v>67</v>
      </c>
      <c r="G3" t="s">
        <v>40</v>
      </c>
      <c r="H3">
        <v>0.00384</v>
      </c>
      <c r="J3" s="4">
        <v>360</v>
      </c>
      <c r="K3" s="36">
        <v>1.4</v>
      </c>
      <c r="L3" s="4">
        <v>0</v>
      </c>
      <c r="M3" t="s">
        <v>70</v>
      </c>
      <c r="N3" t="s">
        <v>68</v>
      </c>
    </row>
    <row r="4" spans="1:14" ht="12.75">
      <c r="A4">
        <v>200404</v>
      </c>
      <c r="B4">
        <v>1</v>
      </c>
      <c r="D4" t="s">
        <v>71</v>
      </c>
      <c r="E4">
        <v>110</v>
      </c>
      <c r="F4" t="s">
        <v>67</v>
      </c>
      <c r="G4" t="s">
        <v>40</v>
      </c>
      <c r="H4">
        <v>0.00384</v>
      </c>
      <c r="J4" s="4">
        <v>192</v>
      </c>
      <c r="K4" s="36">
        <v>0.72</v>
      </c>
      <c r="L4" s="4">
        <v>0</v>
      </c>
      <c r="M4" t="s">
        <v>72</v>
      </c>
      <c r="N4" t="s">
        <v>68</v>
      </c>
    </row>
    <row r="5" spans="1:14" ht="12.75">
      <c r="A5">
        <v>200404</v>
      </c>
      <c r="B5">
        <v>1</v>
      </c>
      <c r="D5" t="s">
        <v>73</v>
      </c>
      <c r="E5">
        <v>110</v>
      </c>
      <c r="F5" t="s">
        <v>67</v>
      </c>
      <c r="G5" t="s">
        <v>40</v>
      </c>
      <c r="H5">
        <v>0.00384</v>
      </c>
      <c r="J5" s="4">
        <v>315</v>
      </c>
      <c r="K5" s="36">
        <v>1.21</v>
      </c>
      <c r="L5" s="4">
        <v>0</v>
      </c>
      <c r="M5" t="s">
        <v>74</v>
      </c>
      <c r="N5" t="s">
        <v>68</v>
      </c>
    </row>
    <row r="6" spans="1:14" ht="12.75">
      <c r="A6">
        <v>200404</v>
      </c>
      <c r="B6">
        <v>1</v>
      </c>
      <c r="D6" t="s">
        <v>75</v>
      </c>
      <c r="E6">
        <v>110</v>
      </c>
      <c r="F6" t="s">
        <v>67</v>
      </c>
      <c r="G6" t="s">
        <v>40</v>
      </c>
      <c r="H6">
        <v>0.00384</v>
      </c>
      <c r="J6" s="4">
        <v>1031</v>
      </c>
      <c r="K6" s="36">
        <v>3.92</v>
      </c>
      <c r="L6" s="4">
        <v>0</v>
      </c>
      <c r="M6" t="s">
        <v>76</v>
      </c>
      <c r="N6" t="s">
        <v>68</v>
      </c>
    </row>
    <row r="7" spans="1:14" ht="12.75">
      <c r="A7">
        <v>200404</v>
      </c>
      <c r="B7">
        <v>1</v>
      </c>
      <c r="D7" t="s">
        <v>77</v>
      </c>
      <c r="E7">
        <v>110</v>
      </c>
      <c r="F7" t="s">
        <v>67</v>
      </c>
      <c r="G7" t="s">
        <v>40</v>
      </c>
      <c r="H7">
        <v>0.00384</v>
      </c>
      <c r="J7" s="4">
        <v>357</v>
      </c>
      <c r="K7" s="36">
        <v>1.34</v>
      </c>
      <c r="L7" s="4">
        <v>0</v>
      </c>
      <c r="M7" t="s">
        <v>78</v>
      </c>
      <c r="N7" t="s">
        <v>68</v>
      </c>
    </row>
    <row r="8" ht="12.75">
      <c r="K8" s="36"/>
    </row>
    <row r="9" spans="1:14" ht="12.75">
      <c r="A9">
        <v>200405</v>
      </c>
      <c r="B9">
        <v>1</v>
      </c>
      <c r="D9" t="s">
        <v>65</v>
      </c>
      <c r="E9">
        <v>110</v>
      </c>
      <c r="F9" t="s">
        <v>67</v>
      </c>
      <c r="G9" t="s">
        <v>40</v>
      </c>
      <c r="H9">
        <v>0.00384</v>
      </c>
      <c r="J9" s="4">
        <v>12706</v>
      </c>
      <c r="K9" s="36">
        <v>48.51</v>
      </c>
      <c r="L9" s="4">
        <v>0</v>
      </c>
      <c r="M9" t="s">
        <v>66</v>
      </c>
      <c r="N9" t="s">
        <v>68</v>
      </c>
    </row>
    <row r="10" spans="1:14" ht="12.75">
      <c r="A10">
        <v>200405</v>
      </c>
      <c r="B10">
        <v>1</v>
      </c>
      <c r="D10" t="s">
        <v>69</v>
      </c>
      <c r="E10">
        <v>110</v>
      </c>
      <c r="F10" t="s">
        <v>67</v>
      </c>
      <c r="G10" t="s">
        <v>40</v>
      </c>
      <c r="H10">
        <v>0.00384</v>
      </c>
      <c r="J10" s="4">
        <v>1490</v>
      </c>
      <c r="K10" s="36">
        <v>5.7</v>
      </c>
      <c r="L10" s="4">
        <v>0</v>
      </c>
      <c r="M10" t="s">
        <v>70</v>
      </c>
      <c r="N10" t="s">
        <v>68</v>
      </c>
    </row>
    <row r="11" spans="1:14" ht="12.75">
      <c r="A11">
        <v>200405</v>
      </c>
      <c r="B11">
        <v>1</v>
      </c>
      <c r="D11" t="s">
        <v>71</v>
      </c>
      <c r="E11">
        <v>110</v>
      </c>
      <c r="F11" t="s">
        <v>67</v>
      </c>
      <c r="G11" t="s">
        <v>40</v>
      </c>
      <c r="H11">
        <v>0.00384</v>
      </c>
      <c r="J11" s="4">
        <v>1100</v>
      </c>
      <c r="K11" s="36">
        <v>4.18</v>
      </c>
      <c r="L11" s="4">
        <v>0</v>
      </c>
      <c r="M11" t="s">
        <v>72</v>
      </c>
      <c r="N11" t="s">
        <v>68</v>
      </c>
    </row>
    <row r="12" spans="1:14" ht="12.75">
      <c r="A12">
        <v>200405</v>
      </c>
      <c r="B12">
        <v>1</v>
      </c>
      <c r="D12" t="s">
        <v>73</v>
      </c>
      <c r="E12">
        <v>110</v>
      </c>
      <c r="F12" t="s">
        <v>67</v>
      </c>
      <c r="G12" t="s">
        <v>40</v>
      </c>
      <c r="H12">
        <v>0.00384</v>
      </c>
      <c r="J12" s="4">
        <v>3764</v>
      </c>
      <c r="K12" s="36">
        <v>14.58</v>
      </c>
      <c r="L12" s="4">
        <v>0</v>
      </c>
      <c r="M12" t="s">
        <v>74</v>
      </c>
      <c r="N12" t="s">
        <v>68</v>
      </c>
    </row>
    <row r="13" spans="1:14" ht="12.75">
      <c r="A13">
        <v>200405</v>
      </c>
      <c r="B13">
        <v>1</v>
      </c>
      <c r="D13" t="s">
        <v>75</v>
      </c>
      <c r="E13">
        <v>110</v>
      </c>
      <c r="F13" t="s">
        <v>67</v>
      </c>
      <c r="G13" t="s">
        <v>40</v>
      </c>
      <c r="H13">
        <v>0.00384</v>
      </c>
      <c r="J13" s="4">
        <v>17008</v>
      </c>
      <c r="K13" s="36">
        <v>65.01</v>
      </c>
      <c r="L13" s="4">
        <v>0</v>
      </c>
      <c r="M13" t="s">
        <v>76</v>
      </c>
      <c r="N13" t="s">
        <v>68</v>
      </c>
    </row>
    <row r="14" spans="1:14" ht="12.75">
      <c r="A14">
        <v>200405</v>
      </c>
      <c r="B14">
        <v>1</v>
      </c>
      <c r="D14" t="s">
        <v>77</v>
      </c>
      <c r="E14">
        <v>110</v>
      </c>
      <c r="F14" t="s">
        <v>67</v>
      </c>
      <c r="G14" t="s">
        <v>40</v>
      </c>
      <c r="H14">
        <v>0.00384</v>
      </c>
      <c r="J14" s="4">
        <v>5597</v>
      </c>
      <c r="K14" s="36">
        <v>21.75</v>
      </c>
      <c r="L14" s="4">
        <v>0</v>
      </c>
      <c r="M14" t="s">
        <v>78</v>
      </c>
      <c r="N14" t="s">
        <v>68</v>
      </c>
    </row>
    <row r="15" spans="1:14" ht="12.75">
      <c r="A15">
        <v>200405</v>
      </c>
      <c r="B15">
        <v>1</v>
      </c>
      <c r="D15" t="s">
        <v>79</v>
      </c>
      <c r="E15">
        <v>110</v>
      </c>
      <c r="F15" t="s">
        <v>67</v>
      </c>
      <c r="G15" t="s">
        <v>40</v>
      </c>
      <c r="H15">
        <v>0.00384</v>
      </c>
      <c r="J15" s="4">
        <v>92</v>
      </c>
      <c r="K15" s="36">
        <v>0.36</v>
      </c>
      <c r="L15" s="4">
        <v>0</v>
      </c>
      <c r="M15" t="s">
        <v>80</v>
      </c>
      <c r="N15" t="s">
        <v>68</v>
      </c>
    </row>
    <row r="16" ht="12.75">
      <c r="K16" s="36"/>
    </row>
    <row r="17" spans="1:14" ht="12.75">
      <c r="A17">
        <v>200406</v>
      </c>
      <c r="B17">
        <v>1</v>
      </c>
      <c r="D17" t="s">
        <v>65</v>
      </c>
      <c r="E17">
        <v>110</v>
      </c>
      <c r="F17" t="s">
        <v>67</v>
      </c>
      <c r="G17" t="s">
        <v>40</v>
      </c>
      <c r="H17">
        <v>0.00384</v>
      </c>
      <c r="J17" s="4">
        <v>14490</v>
      </c>
      <c r="K17" s="36">
        <v>54.6</v>
      </c>
      <c r="L17" s="4">
        <v>0</v>
      </c>
      <c r="M17" t="s">
        <v>66</v>
      </c>
      <c r="N17" t="s">
        <v>68</v>
      </c>
    </row>
    <row r="18" spans="1:14" ht="12.75">
      <c r="A18">
        <v>200406</v>
      </c>
      <c r="B18">
        <v>1</v>
      </c>
      <c r="D18" t="s">
        <v>69</v>
      </c>
      <c r="E18">
        <v>110</v>
      </c>
      <c r="F18" t="s">
        <v>67</v>
      </c>
      <c r="G18" t="s">
        <v>40</v>
      </c>
      <c r="H18">
        <v>0.00384</v>
      </c>
      <c r="J18" s="4">
        <v>1490</v>
      </c>
      <c r="K18" s="36">
        <v>5.7</v>
      </c>
      <c r="L18" s="4">
        <v>0</v>
      </c>
      <c r="M18" t="s">
        <v>70</v>
      </c>
      <c r="N18" t="s">
        <v>68</v>
      </c>
    </row>
    <row r="19" spans="1:14" ht="12.75">
      <c r="A19">
        <v>200406</v>
      </c>
      <c r="B19">
        <v>1</v>
      </c>
      <c r="D19" t="s">
        <v>71</v>
      </c>
      <c r="E19">
        <v>110</v>
      </c>
      <c r="F19" t="s">
        <v>67</v>
      </c>
      <c r="G19" t="s">
        <v>40</v>
      </c>
      <c r="H19">
        <v>0.00384</v>
      </c>
      <c r="J19" s="4">
        <v>1100</v>
      </c>
      <c r="K19" s="36">
        <v>4.18</v>
      </c>
      <c r="L19" s="4">
        <v>0</v>
      </c>
      <c r="M19" t="s">
        <v>72</v>
      </c>
      <c r="N19" t="s">
        <v>68</v>
      </c>
    </row>
    <row r="20" spans="1:14" ht="12.75">
      <c r="A20">
        <v>200406</v>
      </c>
      <c r="B20">
        <v>1</v>
      </c>
      <c r="D20" t="s">
        <v>73</v>
      </c>
      <c r="E20">
        <v>110</v>
      </c>
      <c r="F20" t="s">
        <v>67</v>
      </c>
      <c r="G20" t="s">
        <v>40</v>
      </c>
      <c r="H20">
        <v>0.00384</v>
      </c>
      <c r="J20" s="4">
        <v>4214</v>
      </c>
      <c r="K20" s="36">
        <v>16.66</v>
      </c>
      <c r="L20" s="4">
        <v>0</v>
      </c>
      <c r="M20" t="s">
        <v>74</v>
      </c>
      <c r="N20" t="s">
        <v>68</v>
      </c>
    </row>
    <row r="21" spans="1:14" ht="12.75">
      <c r="A21">
        <v>200406</v>
      </c>
      <c r="B21">
        <v>1</v>
      </c>
      <c r="D21" t="s">
        <v>75</v>
      </c>
      <c r="E21">
        <v>110</v>
      </c>
      <c r="F21" t="s">
        <v>67</v>
      </c>
      <c r="G21" t="s">
        <v>40</v>
      </c>
      <c r="H21">
        <v>0.00384</v>
      </c>
      <c r="J21" s="4">
        <v>20079</v>
      </c>
      <c r="K21" s="36">
        <v>75.66</v>
      </c>
      <c r="L21" s="4">
        <v>0</v>
      </c>
      <c r="M21" t="s">
        <v>76</v>
      </c>
      <c r="N21" t="s">
        <v>68</v>
      </c>
    </row>
    <row r="22" spans="1:14" ht="12.75">
      <c r="A22">
        <v>200406</v>
      </c>
      <c r="B22">
        <v>1</v>
      </c>
      <c r="D22" t="s">
        <v>77</v>
      </c>
      <c r="E22">
        <v>110</v>
      </c>
      <c r="F22" t="s">
        <v>67</v>
      </c>
      <c r="G22" t="s">
        <v>40</v>
      </c>
      <c r="H22">
        <v>0.00384</v>
      </c>
      <c r="J22" s="4">
        <v>6622</v>
      </c>
      <c r="K22" s="36">
        <v>26.18</v>
      </c>
      <c r="L22" s="4">
        <v>0</v>
      </c>
      <c r="M22" t="s">
        <v>78</v>
      </c>
      <c r="N22" t="s">
        <v>68</v>
      </c>
    </row>
    <row r="23" spans="1:14" ht="12.75">
      <c r="A23">
        <v>200406</v>
      </c>
      <c r="B23">
        <v>1</v>
      </c>
      <c r="D23" t="s">
        <v>79</v>
      </c>
      <c r="E23">
        <v>110</v>
      </c>
      <c r="F23" t="s">
        <v>67</v>
      </c>
      <c r="G23" t="s">
        <v>40</v>
      </c>
      <c r="H23">
        <v>0.00384</v>
      </c>
      <c r="J23" s="4">
        <v>172</v>
      </c>
      <c r="K23" s="36">
        <v>0.68</v>
      </c>
      <c r="L23" s="4">
        <v>0</v>
      </c>
      <c r="M23" t="s">
        <v>80</v>
      </c>
      <c r="N23" t="s">
        <v>68</v>
      </c>
    </row>
    <row r="24" ht="12.75">
      <c r="K24" s="36"/>
    </row>
    <row r="25" spans="1:14" ht="12.75">
      <c r="A25">
        <v>200407</v>
      </c>
      <c r="B25">
        <v>1</v>
      </c>
      <c r="D25" t="s">
        <v>65</v>
      </c>
      <c r="E25">
        <v>110</v>
      </c>
      <c r="F25" t="s">
        <v>67</v>
      </c>
      <c r="G25" t="s">
        <v>40</v>
      </c>
      <c r="H25">
        <v>0.00384</v>
      </c>
      <c r="J25" s="4">
        <v>14490</v>
      </c>
      <c r="K25" s="36">
        <v>54.6</v>
      </c>
      <c r="L25" s="4">
        <v>0</v>
      </c>
      <c r="M25" t="s">
        <v>66</v>
      </c>
      <c r="N25" t="s">
        <v>68</v>
      </c>
    </row>
    <row r="26" spans="1:14" ht="12.75">
      <c r="A26">
        <v>200407</v>
      </c>
      <c r="B26">
        <v>1</v>
      </c>
      <c r="D26" t="s">
        <v>69</v>
      </c>
      <c r="E26">
        <v>110</v>
      </c>
      <c r="F26" t="s">
        <v>67</v>
      </c>
      <c r="G26" t="s">
        <v>40</v>
      </c>
      <c r="H26">
        <v>0.00384</v>
      </c>
      <c r="J26" s="4">
        <v>1490</v>
      </c>
      <c r="K26" s="36">
        <v>5.7</v>
      </c>
      <c r="L26" s="4">
        <v>0</v>
      </c>
      <c r="M26" t="s">
        <v>70</v>
      </c>
      <c r="N26" t="s">
        <v>68</v>
      </c>
    </row>
    <row r="27" spans="1:14" ht="12.75">
      <c r="A27">
        <v>200407</v>
      </c>
      <c r="B27">
        <v>1</v>
      </c>
      <c r="D27" t="s">
        <v>71</v>
      </c>
      <c r="E27">
        <v>110</v>
      </c>
      <c r="F27" t="s">
        <v>67</v>
      </c>
      <c r="G27" t="s">
        <v>40</v>
      </c>
      <c r="H27">
        <v>0.00384</v>
      </c>
      <c r="J27" s="4">
        <v>1100</v>
      </c>
      <c r="K27" s="36">
        <v>4.18</v>
      </c>
      <c r="L27" s="4">
        <v>0</v>
      </c>
      <c r="M27" t="s">
        <v>72</v>
      </c>
      <c r="N27" t="s">
        <v>68</v>
      </c>
    </row>
    <row r="28" spans="1:14" ht="12.75">
      <c r="A28">
        <v>200407</v>
      </c>
      <c r="B28">
        <v>1</v>
      </c>
      <c r="D28" t="s">
        <v>73</v>
      </c>
      <c r="E28">
        <v>110</v>
      </c>
      <c r="F28" t="s">
        <v>67</v>
      </c>
      <c r="G28" t="s">
        <v>40</v>
      </c>
      <c r="H28">
        <v>0.00384</v>
      </c>
      <c r="J28" s="4">
        <v>4246</v>
      </c>
      <c r="K28" s="36">
        <v>16.78</v>
      </c>
      <c r="L28" s="4">
        <v>0</v>
      </c>
      <c r="M28" t="s">
        <v>74</v>
      </c>
      <c r="N28" t="s">
        <v>68</v>
      </c>
    </row>
    <row r="29" spans="1:14" ht="12.75">
      <c r="A29">
        <v>200407</v>
      </c>
      <c r="B29">
        <v>1</v>
      </c>
      <c r="D29" t="s">
        <v>75</v>
      </c>
      <c r="E29">
        <v>110</v>
      </c>
      <c r="F29" t="s">
        <v>67</v>
      </c>
      <c r="G29" t="s">
        <v>40</v>
      </c>
      <c r="H29">
        <v>0.00384</v>
      </c>
      <c r="J29" s="4">
        <v>20135</v>
      </c>
      <c r="K29" s="36">
        <v>75.88</v>
      </c>
      <c r="L29" s="4">
        <v>0</v>
      </c>
      <c r="M29" t="s">
        <v>76</v>
      </c>
      <c r="N29" t="s">
        <v>68</v>
      </c>
    </row>
    <row r="30" spans="1:14" ht="12.75">
      <c r="A30">
        <v>200407</v>
      </c>
      <c r="B30">
        <v>1</v>
      </c>
      <c r="D30" t="s">
        <v>77</v>
      </c>
      <c r="E30">
        <v>110</v>
      </c>
      <c r="F30" t="s">
        <v>67</v>
      </c>
      <c r="G30" t="s">
        <v>40</v>
      </c>
      <c r="H30">
        <v>0.00384</v>
      </c>
      <c r="J30" s="4">
        <v>6622</v>
      </c>
      <c r="K30" s="36">
        <v>26.18</v>
      </c>
      <c r="L30" s="4">
        <v>0</v>
      </c>
      <c r="M30" t="s">
        <v>78</v>
      </c>
      <c r="N30" t="s">
        <v>68</v>
      </c>
    </row>
    <row r="31" spans="1:14" ht="12.75">
      <c r="A31">
        <v>200407</v>
      </c>
      <c r="B31">
        <v>1</v>
      </c>
      <c r="D31" t="s">
        <v>79</v>
      </c>
      <c r="E31">
        <v>110</v>
      </c>
      <c r="F31" t="s">
        <v>67</v>
      </c>
      <c r="G31" t="s">
        <v>40</v>
      </c>
      <c r="H31">
        <v>0.00384</v>
      </c>
      <c r="J31" s="4">
        <v>172</v>
      </c>
      <c r="K31" s="36">
        <v>0.68</v>
      </c>
      <c r="L31" s="4">
        <v>0</v>
      </c>
      <c r="M31" t="s">
        <v>80</v>
      </c>
      <c r="N31" t="s">
        <v>68</v>
      </c>
    </row>
    <row r="32" ht="12.75">
      <c r="K32" s="36"/>
    </row>
    <row r="33" spans="1:14" ht="12.75">
      <c r="A33">
        <v>200408</v>
      </c>
      <c r="B33">
        <v>1</v>
      </c>
      <c r="D33" t="s">
        <v>65</v>
      </c>
      <c r="E33">
        <v>110</v>
      </c>
      <c r="F33" t="s">
        <v>67</v>
      </c>
      <c r="G33" t="s">
        <v>40</v>
      </c>
      <c r="H33">
        <v>0.00384</v>
      </c>
      <c r="J33" s="4">
        <v>14490</v>
      </c>
      <c r="K33" s="36">
        <v>54.6</v>
      </c>
      <c r="L33" s="4">
        <v>0</v>
      </c>
      <c r="M33" t="s">
        <v>66</v>
      </c>
      <c r="N33" t="s">
        <v>68</v>
      </c>
    </row>
    <row r="34" spans="1:14" ht="12.75">
      <c r="A34">
        <v>200408</v>
      </c>
      <c r="B34">
        <v>1</v>
      </c>
      <c r="D34" t="s">
        <v>69</v>
      </c>
      <c r="E34">
        <v>110</v>
      </c>
      <c r="F34" t="s">
        <v>67</v>
      </c>
      <c r="G34" t="s">
        <v>40</v>
      </c>
      <c r="H34">
        <v>0.00384</v>
      </c>
      <c r="J34" s="4">
        <v>1490</v>
      </c>
      <c r="K34" s="36">
        <v>5.7</v>
      </c>
      <c r="L34" s="4">
        <v>0</v>
      </c>
      <c r="M34" t="s">
        <v>70</v>
      </c>
      <c r="N34" t="s">
        <v>68</v>
      </c>
    </row>
    <row r="35" spans="1:14" ht="12.75">
      <c r="A35">
        <v>200408</v>
      </c>
      <c r="B35">
        <v>1</v>
      </c>
      <c r="D35" t="s">
        <v>71</v>
      </c>
      <c r="E35">
        <v>110</v>
      </c>
      <c r="F35" t="s">
        <v>67</v>
      </c>
      <c r="G35" t="s">
        <v>40</v>
      </c>
      <c r="H35">
        <v>0.00384</v>
      </c>
      <c r="J35" s="4">
        <v>1100</v>
      </c>
      <c r="K35" s="36">
        <v>4.18</v>
      </c>
      <c r="L35" s="4">
        <v>0</v>
      </c>
      <c r="M35" t="s">
        <v>72</v>
      </c>
      <c r="N35" t="s">
        <v>68</v>
      </c>
    </row>
    <row r="36" spans="1:14" ht="12.75">
      <c r="A36">
        <v>200408</v>
      </c>
      <c r="B36">
        <v>1</v>
      </c>
      <c r="D36" t="s">
        <v>73</v>
      </c>
      <c r="E36">
        <v>110</v>
      </c>
      <c r="F36" t="s">
        <v>67</v>
      </c>
      <c r="G36" t="s">
        <v>40</v>
      </c>
      <c r="H36">
        <v>0.00384</v>
      </c>
      <c r="J36" s="4">
        <v>4257</v>
      </c>
      <c r="K36" s="36">
        <v>16.83</v>
      </c>
      <c r="L36" s="4">
        <v>0</v>
      </c>
      <c r="M36" t="s">
        <v>74</v>
      </c>
      <c r="N36" t="s">
        <v>68</v>
      </c>
    </row>
    <row r="37" spans="1:14" ht="12.75">
      <c r="A37">
        <v>200408</v>
      </c>
      <c r="B37">
        <v>1</v>
      </c>
      <c r="D37" t="s">
        <v>75</v>
      </c>
      <c r="E37">
        <v>110</v>
      </c>
      <c r="F37" t="s">
        <v>67</v>
      </c>
      <c r="G37" t="s">
        <v>40</v>
      </c>
      <c r="H37">
        <v>0.00384</v>
      </c>
      <c r="J37" s="4">
        <v>20033</v>
      </c>
      <c r="K37" s="36">
        <v>75.5</v>
      </c>
      <c r="L37" s="4">
        <v>0</v>
      </c>
      <c r="M37" t="s">
        <v>76</v>
      </c>
      <c r="N37" t="s">
        <v>68</v>
      </c>
    </row>
    <row r="38" spans="1:14" ht="12.75">
      <c r="A38">
        <v>200408</v>
      </c>
      <c r="B38">
        <v>1</v>
      </c>
      <c r="D38" t="s">
        <v>77</v>
      </c>
      <c r="E38">
        <v>110</v>
      </c>
      <c r="F38" t="s">
        <v>67</v>
      </c>
      <c r="G38" t="s">
        <v>40</v>
      </c>
      <c r="H38">
        <v>0.00384</v>
      </c>
      <c r="J38" s="4">
        <v>6622</v>
      </c>
      <c r="K38" s="36">
        <v>26.18</v>
      </c>
      <c r="L38" s="4">
        <v>0</v>
      </c>
      <c r="M38" t="s">
        <v>78</v>
      </c>
      <c r="N38" t="s">
        <v>68</v>
      </c>
    </row>
    <row r="39" spans="1:14" ht="12.75">
      <c r="A39">
        <v>200408</v>
      </c>
      <c r="B39">
        <v>1</v>
      </c>
      <c r="D39" t="s">
        <v>79</v>
      </c>
      <c r="E39">
        <v>110</v>
      </c>
      <c r="F39" t="s">
        <v>67</v>
      </c>
      <c r="G39" t="s">
        <v>40</v>
      </c>
      <c r="H39">
        <v>0.00384</v>
      </c>
      <c r="J39" s="4">
        <v>172</v>
      </c>
      <c r="K39" s="36">
        <v>0.68</v>
      </c>
      <c r="L39" s="4">
        <v>0</v>
      </c>
      <c r="M39" t="s">
        <v>80</v>
      </c>
      <c r="N39" t="s">
        <v>68</v>
      </c>
    </row>
    <row r="40" ht="12.75">
      <c r="K40" s="36"/>
    </row>
    <row r="41" spans="1:14" ht="12.75">
      <c r="A41">
        <v>200409</v>
      </c>
      <c r="B41">
        <v>1</v>
      </c>
      <c r="D41" t="s">
        <v>65</v>
      </c>
      <c r="E41">
        <v>110</v>
      </c>
      <c r="F41" t="s">
        <v>67</v>
      </c>
      <c r="G41" t="s">
        <v>40</v>
      </c>
      <c r="H41">
        <v>0.00384</v>
      </c>
      <c r="J41" s="4">
        <v>14490</v>
      </c>
      <c r="K41" s="36">
        <v>54.6</v>
      </c>
      <c r="L41" s="4">
        <v>0</v>
      </c>
      <c r="M41" t="s">
        <v>66</v>
      </c>
      <c r="N41" t="s">
        <v>68</v>
      </c>
    </row>
    <row r="42" spans="1:14" ht="12.75">
      <c r="A42">
        <v>200409</v>
      </c>
      <c r="B42">
        <v>1</v>
      </c>
      <c r="D42" t="s">
        <v>69</v>
      </c>
      <c r="E42">
        <v>110</v>
      </c>
      <c r="F42" t="s">
        <v>67</v>
      </c>
      <c r="G42" t="s">
        <v>40</v>
      </c>
      <c r="H42">
        <v>0.00384</v>
      </c>
      <c r="J42" s="4">
        <v>1490</v>
      </c>
      <c r="K42" s="36">
        <v>5.7</v>
      </c>
      <c r="L42" s="4">
        <v>0</v>
      </c>
      <c r="M42" t="s">
        <v>70</v>
      </c>
      <c r="N42" t="s">
        <v>68</v>
      </c>
    </row>
    <row r="43" spans="1:14" ht="12.75">
      <c r="A43">
        <v>200409</v>
      </c>
      <c r="B43">
        <v>1</v>
      </c>
      <c r="D43" t="s">
        <v>71</v>
      </c>
      <c r="E43">
        <v>110</v>
      </c>
      <c r="F43" t="s">
        <v>67</v>
      </c>
      <c r="G43" t="s">
        <v>40</v>
      </c>
      <c r="H43">
        <v>0.00384</v>
      </c>
      <c r="J43" s="4">
        <v>1100</v>
      </c>
      <c r="K43" s="36">
        <v>4.18</v>
      </c>
      <c r="L43" s="4">
        <v>0</v>
      </c>
      <c r="M43" t="s">
        <v>72</v>
      </c>
      <c r="N43" t="s">
        <v>68</v>
      </c>
    </row>
    <row r="44" spans="1:14" ht="12.75">
      <c r="A44">
        <v>200409</v>
      </c>
      <c r="B44">
        <v>1</v>
      </c>
      <c r="D44" t="s">
        <v>73</v>
      </c>
      <c r="E44">
        <v>110</v>
      </c>
      <c r="F44" t="s">
        <v>67</v>
      </c>
      <c r="G44" t="s">
        <v>40</v>
      </c>
      <c r="H44">
        <v>0.00384</v>
      </c>
      <c r="J44" s="4">
        <v>4257</v>
      </c>
      <c r="K44" s="36">
        <v>16.83</v>
      </c>
      <c r="L44" s="4">
        <v>0</v>
      </c>
      <c r="M44" t="s">
        <v>74</v>
      </c>
      <c r="N44" t="s">
        <v>68</v>
      </c>
    </row>
    <row r="45" spans="1:14" ht="12.75">
      <c r="A45">
        <v>200409</v>
      </c>
      <c r="B45">
        <v>1</v>
      </c>
      <c r="D45" t="s">
        <v>75</v>
      </c>
      <c r="E45">
        <v>110</v>
      </c>
      <c r="F45" t="s">
        <v>67</v>
      </c>
      <c r="G45" t="s">
        <v>40</v>
      </c>
      <c r="H45">
        <v>0.00384</v>
      </c>
      <c r="J45" s="4">
        <v>20047</v>
      </c>
      <c r="K45" s="36">
        <v>75.54</v>
      </c>
      <c r="L45" s="4">
        <v>0</v>
      </c>
      <c r="M45" t="s">
        <v>76</v>
      </c>
      <c r="N45" t="s">
        <v>68</v>
      </c>
    </row>
    <row r="46" spans="1:14" ht="12.75">
      <c r="A46">
        <v>200409</v>
      </c>
      <c r="B46">
        <v>1</v>
      </c>
      <c r="D46" t="s">
        <v>77</v>
      </c>
      <c r="E46">
        <v>110</v>
      </c>
      <c r="F46" t="s">
        <v>67</v>
      </c>
      <c r="G46" t="s">
        <v>40</v>
      </c>
      <c r="H46">
        <v>0.00384</v>
      </c>
      <c r="J46" s="4">
        <v>6622</v>
      </c>
      <c r="K46" s="36">
        <v>26.18</v>
      </c>
      <c r="L46" s="4">
        <v>0</v>
      </c>
      <c r="M46" t="s">
        <v>78</v>
      </c>
      <c r="N46" t="s">
        <v>68</v>
      </c>
    </row>
    <row r="47" spans="1:14" ht="12.75">
      <c r="A47">
        <v>200409</v>
      </c>
      <c r="B47">
        <v>1</v>
      </c>
      <c r="D47" t="s">
        <v>79</v>
      </c>
      <c r="E47">
        <v>110</v>
      </c>
      <c r="F47" t="s">
        <v>67</v>
      </c>
      <c r="G47" t="s">
        <v>40</v>
      </c>
      <c r="H47">
        <v>0.00384</v>
      </c>
      <c r="J47" s="4">
        <v>172</v>
      </c>
      <c r="K47" s="36">
        <v>0.68</v>
      </c>
      <c r="L47" s="4">
        <v>0</v>
      </c>
      <c r="M47" t="s">
        <v>80</v>
      </c>
      <c r="N47" t="s">
        <v>68</v>
      </c>
    </row>
    <row r="48" ht="12.75">
      <c r="K48" s="36"/>
    </row>
    <row r="49" spans="1:14" ht="12.75">
      <c r="A49">
        <v>200410</v>
      </c>
      <c r="B49">
        <v>1</v>
      </c>
      <c r="D49" t="s">
        <v>65</v>
      </c>
      <c r="E49">
        <v>110</v>
      </c>
      <c r="F49" t="s">
        <v>67</v>
      </c>
      <c r="G49" t="s">
        <v>40</v>
      </c>
      <c r="H49">
        <v>0.00384</v>
      </c>
      <c r="J49" s="4">
        <v>14490</v>
      </c>
      <c r="K49" s="36">
        <v>54.6</v>
      </c>
      <c r="L49" s="4">
        <v>0</v>
      </c>
      <c r="M49" t="s">
        <v>66</v>
      </c>
      <c r="N49" t="s">
        <v>68</v>
      </c>
    </row>
    <row r="50" spans="1:14" ht="12.75">
      <c r="A50">
        <v>200410</v>
      </c>
      <c r="B50">
        <v>1</v>
      </c>
      <c r="D50" t="s">
        <v>69</v>
      </c>
      <c r="E50">
        <v>110</v>
      </c>
      <c r="F50" t="s">
        <v>67</v>
      </c>
      <c r="G50" t="s">
        <v>40</v>
      </c>
      <c r="H50">
        <v>0.00384</v>
      </c>
      <c r="J50" s="4">
        <v>1490</v>
      </c>
      <c r="K50" s="36">
        <v>5.7</v>
      </c>
      <c r="L50" s="4">
        <v>0</v>
      </c>
      <c r="M50" t="s">
        <v>70</v>
      </c>
      <c r="N50" t="s">
        <v>68</v>
      </c>
    </row>
    <row r="51" spans="1:14" ht="12.75">
      <c r="A51">
        <v>200410</v>
      </c>
      <c r="B51">
        <v>1</v>
      </c>
      <c r="D51" t="s">
        <v>71</v>
      </c>
      <c r="E51">
        <v>110</v>
      </c>
      <c r="F51" t="s">
        <v>67</v>
      </c>
      <c r="G51" t="s">
        <v>40</v>
      </c>
      <c r="H51">
        <v>0.00384</v>
      </c>
      <c r="J51" s="4">
        <v>1100</v>
      </c>
      <c r="K51" s="36">
        <v>4.18</v>
      </c>
      <c r="L51" s="4">
        <v>0</v>
      </c>
      <c r="M51" t="s">
        <v>72</v>
      </c>
      <c r="N51" t="s">
        <v>68</v>
      </c>
    </row>
    <row r="52" spans="1:14" ht="12.75">
      <c r="A52">
        <v>200410</v>
      </c>
      <c r="B52">
        <v>1</v>
      </c>
      <c r="D52" t="s">
        <v>73</v>
      </c>
      <c r="E52">
        <v>110</v>
      </c>
      <c r="F52" t="s">
        <v>67</v>
      </c>
      <c r="G52" t="s">
        <v>40</v>
      </c>
      <c r="H52">
        <v>0.00384</v>
      </c>
      <c r="J52" s="4">
        <v>4260</v>
      </c>
      <c r="K52" s="36">
        <v>16.84</v>
      </c>
      <c r="L52" s="4">
        <v>0</v>
      </c>
      <c r="M52" t="s">
        <v>74</v>
      </c>
      <c r="N52" t="s">
        <v>68</v>
      </c>
    </row>
    <row r="53" spans="1:14" ht="12.75">
      <c r="A53">
        <v>200410</v>
      </c>
      <c r="B53">
        <v>1</v>
      </c>
      <c r="D53" t="s">
        <v>75</v>
      </c>
      <c r="E53">
        <v>110</v>
      </c>
      <c r="F53" t="s">
        <v>67</v>
      </c>
      <c r="G53" t="s">
        <v>40</v>
      </c>
      <c r="H53">
        <v>0.00384</v>
      </c>
      <c r="J53" s="4">
        <v>20121</v>
      </c>
      <c r="K53" s="36">
        <v>75.84</v>
      </c>
      <c r="L53" s="4">
        <v>0</v>
      </c>
      <c r="M53" t="s">
        <v>76</v>
      </c>
      <c r="N53" t="s">
        <v>68</v>
      </c>
    </row>
    <row r="54" spans="1:14" ht="12.75">
      <c r="A54">
        <v>200410</v>
      </c>
      <c r="B54">
        <v>1</v>
      </c>
      <c r="D54" t="s">
        <v>77</v>
      </c>
      <c r="E54">
        <v>110</v>
      </c>
      <c r="F54" t="s">
        <v>67</v>
      </c>
      <c r="G54" t="s">
        <v>40</v>
      </c>
      <c r="H54">
        <v>0.00384</v>
      </c>
      <c r="J54" s="4">
        <v>6622</v>
      </c>
      <c r="K54" s="36">
        <v>26.18</v>
      </c>
      <c r="L54" s="4">
        <v>0</v>
      </c>
      <c r="M54" t="s">
        <v>78</v>
      </c>
      <c r="N54" t="s">
        <v>68</v>
      </c>
    </row>
    <row r="55" spans="1:14" ht="12.75">
      <c r="A55">
        <v>200410</v>
      </c>
      <c r="B55">
        <v>1</v>
      </c>
      <c r="D55" t="s">
        <v>79</v>
      </c>
      <c r="E55">
        <v>110</v>
      </c>
      <c r="F55" t="s">
        <v>67</v>
      </c>
      <c r="G55" t="s">
        <v>40</v>
      </c>
      <c r="H55">
        <v>0.00384</v>
      </c>
      <c r="J55" s="4">
        <v>172</v>
      </c>
      <c r="K55" s="36">
        <v>0.68</v>
      </c>
      <c r="L55" s="4">
        <v>0</v>
      </c>
      <c r="M55" t="s">
        <v>80</v>
      </c>
      <c r="N55" t="s">
        <v>68</v>
      </c>
    </row>
    <row r="56" ht="12.75">
      <c r="K56" s="36"/>
    </row>
    <row r="57" spans="1:14" ht="12.75">
      <c r="A57">
        <v>200411</v>
      </c>
      <c r="B57">
        <v>1</v>
      </c>
      <c r="D57" t="s">
        <v>65</v>
      </c>
      <c r="E57">
        <v>110</v>
      </c>
      <c r="F57" t="s">
        <v>67</v>
      </c>
      <c r="G57" t="s">
        <v>40</v>
      </c>
      <c r="H57">
        <v>0.00384</v>
      </c>
      <c r="J57" s="4">
        <v>14421</v>
      </c>
      <c r="K57" s="36">
        <v>54.34</v>
      </c>
      <c r="L57" s="4">
        <v>0</v>
      </c>
      <c r="M57" t="s">
        <v>66</v>
      </c>
      <c r="N57" t="s">
        <v>68</v>
      </c>
    </row>
    <row r="58" spans="1:14" ht="12.75">
      <c r="A58">
        <v>200411</v>
      </c>
      <c r="B58">
        <v>1</v>
      </c>
      <c r="D58" t="s">
        <v>69</v>
      </c>
      <c r="E58">
        <v>110</v>
      </c>
      <c r="F58" t="s">
        <v>67</v>
      </c>
      <c r="G58" t="s">
        <v>40</v>
      </c>
      <c r="H58">
        <v>0.00384</v>
      </c>
      <c r="J58" s="4">
        <v>1490</v>
      </c>
      <c r="K58" s="36">
        <v>5.7</v>
      </c>
      <c r="L58" s="4">
        <v>0</v>
      </c>
      <c r="M58" t="s">
        <v>70</v>
      </c>
      <c r="N58" t="s">
        <v>68</v>
      </c>
    </row>
    <row r="59" spans="1:14" ht="12.75">
      <c r="A59">
        <v>200411</v>
      </c>
      <c r="B59">
        <v>1</v>
      </c>
      <c r="D59" t="s">
        <v>71</v>
      </c>
      <c r="E59">
        <v>110</v>
      </c>
      <c r="F59" t="s">
        <v>67</v>
      </c>
      <c r="G59" t="s">
        <v>40</v>
      </c>
      <c r="H59">
        <v>0.00384</v>
      </c>
      <c r="J59" s="4">
        <v>1100</v>
      </c>
      <c r="K59" s="36">
        <v>4.18</v>
      </c>
      <c r="L59" s="4">
        <v>0</v>
      </c>
      <c r="M59" t="s">
        <v>72</v>
      </c>
      <c r="N59" t="s">
        <v>68</v>
      </c>
    </row>
    <row r="60" spans="1:14" ht="12.75">
      <c r="A60">
        <v>200411</v>
      </c>
      <c r="B60">
        <v>1</v>
      </c>
      <c r="D60" t="s">
        <v>73</v>
      </c>
      <c r="E60">
        <v>110</v>
      </c>
      <c r="F60" t="s">
        <v>67</v>
      </c>
      <c r="G60" t="s">
        <v>40</v>
      </c>
      <c r="H60">
        <v>0.00384</v>
      </c>
      <c r="J60" s="4">
        <v>4300</v>
      </c>
      <c r="K60" s="36">
        <v>17</v>
      </c>
      <c r="L60" s="4">
        <v>0</v>
      </c>
      <c r="M60" t="s">
        <v>74</v>
      </c>
      <c r="N60" t="s">
        <v>68</v>
      </c>
    </row>
    <row r="61" spans="1:14" ht="12.75">
      <c r="A61">
        <v>200411</v>
      </c>
      <c r="B61">
        <v>1</v>
      </c>
      <c r="D61" t="s">
        <v>75</v>
      </c>
      <c r="E61">
        <v>110</v>
      </c>
      <c r="F61" t="s">
        <v>67</v>
      </c>
      <c r="G61" t="s">
        <v>40</v>
      </c>
      <c r="H61">
        <v>0.00384</v>
      </c>
      <c r="J61" s="4">
        <v>19872</v>
      </c>
      <c r="K61" s="36">
        <v>74.88</v>
      </c>
      <c r="L61" s="4">
        <v>0</v>
      </c>
      <c r="M61" t="s">
        <v>76</v>
      </c>
      <c r="N61" t="s">
        <v>68</v>
      </c>
    </row>
    <row r="62" spans="1:14" ht="12.75">
      <c r="A62">
        <v>200411</v>
      </c>
      <c r="B62">
        <v>1</v>
      </c>
      <c r="D62" t="s">
        <v>77</v>
      </c>
      <c r="E62">
        <v>110</v>
      </c>
      <c r="F62" t="s">
        <v>67</v>
      </c>
      <c r="G62" t="s">
        <v>40</v>
      </c>
      <c r="H62">
        <v>0.00384</v>
      </c>
      <c r="J62" s="4">
        <v>6751</v>
      </c>
      <c r="K62" s="36">
        <v>26.69</v>
      </c>
      <c r="L62" s="4">
        <v>0</v>
      </c>
      <c r="M62" t="s">
        <v>78</v>
      </c>
      <c r="N62" t="s">
        <v>68</v>
      </c>
    </row>
    <row r="63" spans="1:14" ht="12.75">
      <c r="A63">
        <v>200411</v>
      </c>
      <c r="B63">
        <v>1</v>
      </c>
      <c r="D63" t="s">
        <v>79</v>
      </c>
      <c r="E63">
        <v>110</v>
      </c>
      <c r="F63" t="s">
        <v>67</v>
      </c>
      <c r="G63" t="s">
        <v>40</v>
      </c>
      <c r="H63">
        <v>0.00384</v>
      </c>
      <c r="J63" s="4">
        <v>172</v>
      </c>
      <c r="K63" s="36">
        <v>0.68</v>
      </c>
      <c r="L63" s="4">
        <v>0</v>
      </c>
      <c r="M63" t="s">
        <v>80</v>
      </c>
      <c r="N63" t="s">
        <v>68</v>
      </c>
    </row>
    <row r="64" ht="12.75">
      <c r="K64" s="36"/>
    </row>
    <row r="65" spans="1:14" ht="12.75">
      <c r="A65">
        <v>200412</v>
      </c>
      <c r="B65">
        <v>1</v>
      </c>
      <c r="D65" t="s">
        <v>65</v>
      </c>
      <c r="E65">
        <v>110</v>
      </c>
      <c r="F65" t="s">
        <v>67</v>
      </c>
      <c r="G65" t="s">
        <v>40</v>
      </c>
      <c r="H65">
        <v>0.00384</v>
      </c>
      <c r="J65" s="4">
        <v>14421</v>
      </c>
      <c r="K65" s="36">
        <v>54.37</v>
      </c>
      <c r="L65" s="4">
        <v>0</v>
      </c>
      <c r="M65" t="s">
        <v>66</v>
      </c>
      <c r="N65" t="s">
        <v>68</v>
      </c>
    </row>
    <row r="66" spans="1:14" ht="12.75">
      <c r="A66">
        <v>200412</v>
      </c>
      <c r="B66">
        <v>1</v>
      </c>
      <c r="D66" t="s">
        <v>69</v>
      </c>
      <c r="E66">
        <v>110</v>
      </c>
      <c r="F66" t="s">
        <v>67</v>
      </c>
      <c r="G66" t="s">
        <v>40</v>
      </c>
      <c r="H66">
        <v>0.00384</v>
      </c>
      <c r="J66" s="4">
        <v>1490</v>
      </c>
      <c r="K66" s="36">
        <v>5.7</v>
      </c>
      <c r="L66" s="4">
        <v>0</v>
      </c>
      <c r="M66" t="s">
        <v>70</v>
      </c>
      <c r="N66" t="s">
        <v>68</v>
      </c>
    </row>
    <row r="67" spans="1:14" ht="12.75">
      <c r="A67">
        <v>200412</v>
      </c>
      <c r="B67">
        <v>1</v>
      </c>
      <c r="D67" t="s">
        <v>71</v>
      </c>
      <c r="E67">
        <v>110</v>
      </c>
      <c r="F67" t="s">
        <v>67</v>
      </c>
      <c r="G67" t="s">
        <v>40</v>
      </c>
      <c r="H67">
        <v>0.00384</v>
      </c>
      <c r="J67" s="4">
        <v>1100</v>
      </c>
      <c r="K67" s="36">
        <v>4.18</v>
      </c>
      <c r="L67" s="4">
        <v>0</v>
      </c>
      <c r="M67" t="s">
        <v>72</v>
      </c>
      <c r="N67" t="s">
        <v>68</v>
      </c>
    </row>
    <row r="68" spans="1:14" ht="12.75">
      <c r="A68">
        <v>200412</v>
      </c>
      <c r="B68">
        <v>1</v>
      </c>
      <c r="D68" t="s">
        <v>73</v>
      </c>
      <c r="E68">
        <v>110</v>
      </c>
      <c r="F68" t="s">
        <v>67</v>
      </c>
      <c r="G68" t="s">
        <v>40</v>
      </c>
      <c r="H68">
        <v>0.00384</v>
      </c>
      <c r="J68" s="4">
        <v>3896</v>
      </c>
      <c r="K68" s="36">
        <v>15.4</v>
      </c>
      <c r="L68" s="4">
        <v>0</v>
      </c>
      <c r="M68" t="s">
        <v>74</v>
      </c>
      <c r="N68" t="s">
        <v>68</v>
      </c>
    </row>
    <row r="69" spans="1:14" ht="12.75">
      <c r="A69">
        <v>200412</v>
      </c>
      <c r="B69">
        <v>1</v>
      </c>
      <c r="D69" t="s">
        <v>75</v>
      </c>
      <c r="E69">
        <v>110</v>
      </c>
      <c r="F69" t="s">
        <v>67</v>
      </c>
      <c r="G69" t="s">
        <v>40</v>
      </c>
      <c r="H69">
        <v>0.00384</v>
      </c>
      <c r="J69" s="4">
        <v>19719</v>
      </c>
      <c r="K69" s="36">
        <v>74.32</v>
      </c>
      <c r="L69" s="4">
        <v>0</v>
      </c>
      <c r="M69" t="s">
        <v>76</v>
      </c>
      <c r="N69" t="s">
        <v>68</v>
      </c>
    </row>
    <row r="70" spans="1:14" ht="12.75">
      <c r="A70">
        <v>200412</v>
      </c>
      <c r="B70">
        <v>1</v>
      </c>
      <c r="D70" t="s">
        <v>77</v>
      </c>
      <c r="E70">
        <v>110</v>
      </c>
      <c r="F70" t="s">
        <v>67</v>
      </c>
      <c r="G70" t="s">
        <v>40</v>
      </c>
      <c r="H70">
        <v>0.00384</v>
      </c>
      <c r="J70" s="4">
        <v>6379</v>
      </c>
      <c r="K70" s="36">
        <v>25.21</v>
      </c>
      <c r="L70" s="4">
        <v>0</v>
      </c>
      <c r="M70" t="s">
        <v>78</v>
      </c>
      <c r="N70" t="s">
        <v>68</v>
      </c>
    </row>
    <row r="71" spans="1:14" ht="12.75">
      <c r="A71">
        <v>200412</v>
      </c>
      <c r="B71">
        <v>1</v>
      </c>
      <c r="D71" t="s">
        <v>79</v>
      </c>
      <c r="E71">
        <v>110</v>
      </c>
      <c r="F71" t="s">
        <v>67</v>
      </c>
      <c r="G71" t="s">
        <v>40</v>
      </c>
      <c r="H71">
        <v>0.00384</v>
      </c>
      <c r="J71" s="4">
        <v>172</v>
      </c>
      <c r="K71" s="36">
        <v>0.68</v>
      </c>
      <c r="L71" s="4">
        <v>0</v>
      </c>
      <c r="M71" t="s">
        <v>80</v>
      </c>
      <c r="N71" t="s">
        <v>68</v>
      </c>
    </row>
    <row r="72" spans="10:11" ht="12.75">
      <c r="J72" s="5">
        <f>SUM(J2:J71)</f>
        <v>381317</v>
      </c>
      <c r="K72" s="37">
        <f>SUM(K2:K71)</f>
        <v>1454.8700000000001</v>
      </c>
    </row>
    <row r="73" ht="12.75">
      <c r="N73" s="90">
        <f>+K74+K76+K78+K81+K84+K87+K90+K93+K96</f>
        <v>10241.939999999999</v>
      </c>
    </row>
    <row r="74" spans="1:14" ht="12.75">
      <c r="A74">
        <v>200404</v>
      </c>
      <c r="B74">
        <v>1</v>
      </c>
      <c r="D74" t="s">
        <v>30</v>
      </c>
      <c r="E74">
        <v>370</v>
      </c>
      <c r="F74" t="s">
        <v>21</v>
      </c>
      <c r="G74" t="s">
        <v>22</v>
      </c>
      <c r="H74">
        <v>0.0058</v>
      </c>
      <c r="J74" s="4">
        <v>1084</v>
      </c>
      <c r="K74" s="89">
        <v>6.3</v>
      </c>
      <c r="L74" s="4">
        <v>0</v>
      </c>
      <c r="M74" t="s">
        <v>32</v>
      </c>
      <c r="N74" t="s">
        <v>23</v>
      </c>
    </row>
    <row r="75" spans="1:14" ht="12.75">
      <c r="A75">
        <v>200404</v>
      </c>
      <c r="B75">
        <v>1</v>
      </c>
      <c r="D75" t="s">
        <v>16</v>
      </c>
      <c r="E75">
        <v>370</v>
      </c>
      <c r="F75" t="s">
        <v>21</v>
      </c>
      <c r="G75" t="s">
        <v>22</v>
      </c>
      <c r="H75">
        <v>0.0058</v>
      </c>
      <c r="J75" s="4">
        <v>508160</v>
      </c>
      <c r="K75" s="36">
        <v>2947.41</v>
      </c>
      <c r="L75" s="4">
        <v>0</v>
      </c>
      <c r="M75" t="s">
        <v>18</v>
      </c>
      <c r="N75" t="s">
        <v>23</v>
      </c>
    </row>
    <row r="76" spans="1:14" ht="12.75">
      <c r="A76">
        <v>200405</v>
      </c>
      <c r="B76">
        <v>1</v>
      </c>
      <c r="D76" t="s">
        <v>30</v>
      </c>
      <c r="E76">
        <v>370</v>
      </c>
      <c r="F76" t="s">
        <v>21</v>
      </c>
      <c r="G76" t="s">
        <v>22</v>
      </c>
      <c r="H76">
        <v>0.0058</v>
      </c>
      <c r="J76" s="4">
        <v>234255</v>
      </c>
      <c r="K76" s="89">
        <v>1359.49</v>
      </c>
      <c r="L76" s="4">
        <v>0</v>
      </c>
      <c r="M76" t="s">
        <v>32</v>
      </c>
      <c r="N76" t="s">
        <v>23</v>
      </c>
    </row>
    <row r="77" spans="1:14" ht="12.75">
      <c r="A77">
        <v>200405</v>
      </c>
      <c r="B77">
        <v>1</v>
      </c>
      <c r="D77" t="s">
        <v>16</v>
      </c>
      <c r="E77">
        <v>370</v>
      </c>
      <c r="F77" t="s">
        <v>21</v>
      </c>
      <c r="G77" t="s">
        <v>22</v>
      </c>
      <c r="H77">
        <v>0.0058</v>
      </c>
      <c r="J77" s="4">
        <v>6870784</v>
      </c>
      <c r="K77" s="36">
        <v>39850.54</v>
      </c>
      <c r="L77" s="4">
        <v>0</v>
      </c>
      <c r="M77" t="s">
        <v>18</v>
      </c>
      <c r="N77" t="s">
        <v>23</v>
      </c>
    </row>
    <row r="78" spans="1:14" ht="12.75">
      <c r="A78">
        <v>200406</v>
      </c>
      <c r="B78">
        <v>1</v>
      </c>
      <c r="D78" t="s">
        <v>30</v>
      </c>
      <c r="E78">
        <v>370</v>
      </c>
      <c r="F78" t="s">
        <v>21</v>
      </c>
      <c r="G78" t="s">
        <v>22</v>
      </c>
      <c r="H78">
        <v>0.0058</v>
      </c>
      <c r="J78" s="4">
        <v>219052</v>
      </c>
      <c r="K78" s="89">
        <v>1271.44</v>
      </c>
      <c r="L78" s="4">
        <v>0</v>
      </c>
      <c r="M78" t="s">
        <v>32</v>
      </c>
      <c r="N78" t="s">
        <v>23</v>
      </c>
    </row>
    <row r="79" spans="1:14" ht="12.75">
      <c r="A79">
        <v>200406</v>
      </c>
      <c r="B79">
        <v>1</v>
      </c>
      <c r="D79" t="s">
        <v>16</v>
      </c>
      <c r="E79">
        <v>370</v>
      </c>
      <c r="F79" t="s">
        <v>21</v>
      </c>
      <c r="G79" t="s">
        <v>22</v>
      </c>
      <c r="H79">
        <v>0.0058</v>
      </c>
      <c r="J79" s="4">
        <v>7261199</v>
      </c>
      <c r="K79" s="36">
        <v>42114.89</v>
      </c>
      <c r="L79" s="4">
        <v>0</v>
      </c>
      <c r="M79" t="s">
        <v>18</v>
      </c>
      <c r="N79" t="s">
        <v>23</v>
      </c>
    </row>
    <row r="80" spans="1:14" ht="12.75">
      <c r="A80">
        <v>200406</v>
      </c>
      <c r="B80">
        <v>1</v>
      </c>
      <c r="D80" t="s">
        <v>16</v>
      </c>
      <c r="E80">
        <v>370</v>
      </c>
      <c r="F80" t="s">
        <v>21</v>
      </c>
      <c r="G80" t="s">
        <v>22</v>
      </c>
      <c r="H80">
        <v>0.0058</v>
      </c>
      <c r="I80" t="s">
        <v>29</v>
      </c>
      <c r="J80" s="4">
        <v>-3445</v>
      </c>
      <c r="K80" s="36">
        <v>-19.98</v>
      </c>
      <c r="L80" s="4">
        <v>0</v>
      </c>
      <c r="M80" t="s">
        <v>18</v>
      </c>
      <c r="N80" t="s">
        <v>23</v>
      </c>
    </row>
    <row r="81" spans="1:14" ht="12.75">
      <c r="A81">
        <v>200407</v>
      </c>
      <c r="B81">
        <v>1</v>
      </c>
      <c r="D81" t="s">
        <v>30</v>
      </c>
      <c r="E81">
        <v>370</v>
      </c>
      <c r="F81" t="s">
        <v>21</v>
      </c>
      <c r="G81" t="s">
        <v>22</v>
      </c>
      <c r="H81">
        <v>0.0058</v>
      </c>
      <c r="J81" s="4">
        <v>220258</v>
      </c>
      <c r="K81" s="89">
        <v>1278.44</v>
      </c>
      <c r="L81" s="4">
        <v>0</v>
      </c>
      <c r="M81" t="s">
        <v>32</v>
      </c>
      <c r="N81" t="s">
        <v>23</v>
      </c>
    </row>
    <row r="82" spans="1:14" ht="12.75">
      <c r="A82">
        <v>200407</v>
      </c>
      <c r="B82">
        <v>1</v>
      </c>
      <c r="D82" t="s">
        <v>16</v>
      </c>
      <c r="E82">
        <v>370</v>
      </c>
      <c r="F82" t="s">
        <v>21</v>
      </c>
      <c r="G82" t="s">
        <v>22</v>
      </c>
      <c r="H82">
        <v>0.0058</v>
      </c>
      <c r="J82" s="4">
        <v>8067875</v>
      </c>
      <c r="K82" s="36">
        <v>46793.96</v>
      </c>
      <c r="L82" s="4">
        <v>0</v>
      </c>
      <c r="M82" t="s">
        <v>18</v>
      </c>
      <c r="N82" t="s">
        <v>23</v>
      </c>
    </row>
    <row r="83" spans="1:14" ht="12.75">
      <c r="A83">
        <v>200407</v>
      </c>
      <c r="B83">
        <v>1</v>
      </c>
      <c r="D83" t="s">
        <v>16</v>
      </c>
      <c r="E83">
        <v>370</v>
      </c>
      <c r="F83" t="s">
        <v>21</v>
      </c>
      <c r="G83" t="s">
        <v>22</v>
      </c>
      <c r="H83">
        <v>0.0058</v>
      </c>
      <c r="I83" t="s">
        <v>29</v>
      </c>
      <c r="J83" s="4">
        <v>968</v>
      </c>
      <c r="K83" s="36">
        <v>5.62</v>
      </c>
      <c r="L83" s="4">
        <v>0</v>
      </c>
      <c r="M83" t="s">
        <v>18</v>
      </c>
      <c r="N83" t="s">
        <v>23</v>
      </c>
    </row>
    <row r="84" spans="1:14" ht="12.75">
      <c r="A84">
        <v>200408</v>
      </c>
      <c r="B84">
        <v>1</v>
      </c>
      <c r="D84" t="s">
        <v>30</v>
      </c>
      <c r="E84">
        <v>370</v>
      </c>
      <c r="F84" t="s">
        <v>21</v>
      </c>
      <c r="G84" t="s">
        <v>22</v>
      </c>
      <c r="H84">
        <v>0.0058</v>
      </c>
      <c r="J84" s="4">
        <v>220106</v>
      </c>
      <c r="K84" s="89">
        <v>1277.56</v>
      </c>
      <c r="L84" s="4">
        <v>0</v>
      </c>
      <c r="M84" t="s">
        <v>32</v>
      </c>
      <c r="N84" t="s">
        <v>23</v>
      </c>
    </row>
    <row r="85" spans="1:14" ht="12.75">
      <c r="A85">
        <v>200408</v>
      </c>
      <c r="B85">
        <v>1</v>
      </c>
      <c r="D85" t="s">
        <v>16</v>
      </c>
      <c r="E85">
        <v>370</v>
      </c>
      <c r="F85" t="s">
        <v>21</v>
      </c>
      <c r="G85" t="s">
        <v>22</v>
      </c>
      <c r="H85">
        <v>0.0058</v>
      </c>
      <c r="J85" s="4">
        <v>8423505</v>
      </c>
      <c r="K85" s="36">
        <v>48856.62</v>
      </c>
      <c r="L85" s="4">
        <v>0</v>
      </c>
      <c r="M85" t="s">
        <v>18</v>
      </c>
      <c r="N85" t="s">
        <v>23</v>
      </c>
    </row>
    <row r="86" spans="1:14" ht="12.75">
      <c r="A86">
        <v>200408</v>
      </c>
      <c r="B86">
        <v>1</v>
      </c>
      <c r="D86" t="s">
        <v>16</v>
      </c>
      <c r="E86">
        <v>370</v>
      </c>
      <c r="F86" t="s">
        <v>21</v>
      </c>
      <c r="G86" t="s">
        <v>22</v>
      </c>
      <c r="H86">
        <v>0.0058</v>
      </c>
      <c r="I86" t="s">
        <v>29</v>
      </c>
      <c r="J86" s="4">
        <v>-2078</v>
      </c>
      <c r="K86" s="36">
        <v>-12.05</v>
      </c>
      <c r="L86" s="4">
        <v>0</v>
      </c>
      <c r="M86" t="s">
        <v>18</v>
      </c>
      <c r="N86" t="s">
        <v>23</v>
      </c>
    </row>
    <row r="87" spans="1:14" ht="12.75">
      <c r="A87">
        <v>200409</v>
      </c>
      <c r="B87">
        <v>1</v>
      </c>
      <c r="D87" t="s">
        <v>30</v>
      </c>
      <c r="E87">
        <v>370</v>
      </c>
      <c r="F87" t="s">
        <v>21</v>
      </c>
      <c r="G87" t="s">
        <v>22</v>
      </c>
      <c r="H87">
        <v>0.0058</v>
      </c>
      <c r="J87" s="4">
        <v>220264</v>
      </c>
      <c r="K87" s="89">
        <v>1278.48</v>
      </c>
      <c r="L87" s="4">
        <v>0</v>
      </c>
      <c r="M87" t="s">
        <v>32</v>
      </c>
      <c r="N87" t="s">
        <v>23</v>
      </c>
    </row>
    <row r="88" spans="1:14" ht="12.75">
      <c r="A88">
        <v>200409</v>
      </c>
      <c r="B88">
        <v>1</v>
      </c>
      <c r="D88" t="s">
        <v>16</v>
      </c>
      <c r="E88">
        <v>370</v>
      </c>
      <c r="F88" t="s">
        <v>21</v>
      </c>
      <c r="G88" t="s">
        <v>22</v>
      </c>
      <c r="H88">
        <v>0.0058</v>
      </c>
      <c r="J88" s="4">
        <v>8330437</v>
      </c>
      <c r="K88" s="36">
        <v>48316.75</v>
      </c>
      <c r="L88" s="4">
        <v>0</v>
      </c>
      <c r="M88" t="s">
        <v>18</v>
      </c>
      <c r="N88" t="s">
        <v>23</v>
      </c>
    </row>
    <row r="89" spans="1:14" ht="12.75">
      <c r="A89">
        <v>200409</v>
      </c>
      <c r="B89">
        <v>1</v>
      </c>
      <c r="D89" t="s">
        <v>16</v>
      </c>
      <c r="E89">
        <v>370</v>
      </c>
      <c r="F89" t="s">
        <v>21</v>
      </c>
      <c r="G89" t="s">
        <v>22</v>
      </c>
      <c r="H89">
        <v>0.0058</v>
      </c>
      <c r="I89" t="s">
        <v>29</v>
      </c>
      <c r="J89" s="4">
        <v>-613</v>
      </c>
      <c r="K89" s="36">
        <v>-3.56</v>
      </c>
      <c r="L89" s="4">
        <v>0</v>
      </c>
      <c r="M89" t="s">
        <v>18</v>
      </c>
      <c r="N89" t="s">
        <v>23</v>
      </c>
    </row>
    <row r="90" spans="1:14" ht="12.75">
      <c r="A90">
        <v>200410</v>
      </c>
      <c r="B90">
        <v>1</v>
      </c>
      <c r="D90" t="s">
        <v>30</v>
      </c>
      <c r="E90">
        <v>370</v>
      </c>
      <c r="F90" t="s">
        <v>21</v>
      </c>
      <c r="G90" t="s">
        <v>22</v>
      </c>
      <c r="H90">
        <v>0.0058</v>
      </c>
      <c r="J90" s="4">
        <v>220264</v>
      </c>
      <c r="K90" s="89">
        <v>1278.48</v>
      </c>
      <c r="L90" s="4">
        <v>0</v>
      </c>
      <c r="M90" t="s">
        <v>32</v>
      </c>
      <c r="N90" t="s">
        <v>23</v>
      </c>
    </row>
    <row r="91" spans="1:14" ht="12.75">
      <c r="A91">
        <v>200410</v>
      </c>
      <c r="B91">
        <v>1</v>
      </c>
      <c r="D91" t="s">
        <v>16</v>
      </c>
      <c r="E91">
        <v>370</v>
      </c>
      <c r="F91" t="s">
        <v>21</v>
      </c>
      <c r="G91" t="s">
        <v>22</v>
      </c>
      <c r="H91">
        <v>0.0058</v>
      </c>
      <c r="J91" s="4">
        <v>7935998</v>
      </c>
      <c r="K91" s="36">
        <v>46029.09</v>
      </c>
      <c r="L91" s="4">
        <v>0</v>
      </c>
      <c r="M91" t="s">
        <v>18</v>
      </c>
      <c r="N91" t="s">
        <v>23</v>
      </c>
    </row>
    <row r="92" spans="1:14" ht="12.75">
      <c r="A92">
        <v>200410</v>
      </c>
      <c r="B92">
        <v>1</v>
      </c>
      <c r="D92" t="s">
        <v>16</v>
      </c>
      <c r="E92">
        <v>370</v>
      </c>
      <c r="F92" t="s">
        <v>21</v>
      </c>
      <c r="G92" t="s">
        <v>22</v>
      </c>
      <c r="H92">
        <v>0.0058</v>
      </c>
      <c r="I92" t="s">
        <v>29</v>
      </c>
      <c r="J92" s="4">
        <v>-22682</v>
      </c>
      <c r="K92" s="36">
        <v>-131.56</v>
      </c>
      <c r="L92" s="4">
        <v>0</v>
      </c>
      <c r="M92" t="s">
        <v>18</v>
      </c>
      <c r="N92" t="s">
        <v>23</v>
      </c>
    </row>
    <row r="93" spans="1:14" ht="12.75">
      <c r="A93">
        <v>200411</v>
      </c>
      <c r="B93">
        <v>1</v>
      </c>
      <c r="D93" t="s">
        <v>30</v>
      </c>
      <c r="E93">
        <v>370</v>
      </c>
      <c r="F93" t="s">
        <v>21</v>
      </c>
      <c r="G93" t="s">
        <v>22</v>
      </c>
      <c r="H93">
        <v>0.0058</v>
      </c>
      <c r="J93" s="4">
        <v>216909</v>
      </c>
      <c r="K93" s="89">
        <v>1259.02</v>
      </c>
      <c r="L93" s="4">
        <v>0</v>
      </c>
      <c r="M93" t="s">
        <v>32</v>
      </c>
      <c r="N93" t="s">
        <v>23</v>
      </c>
    </row>
    <row r="94" spans="1:14" ht="12.75">
      <c r="A94">
        <v>200411</v>
      </c>
      <c r="B94">
        <v>1</v>
      </c>
      <c r="D94" t="s">
        <v>16</v>
      </c>
      <c r="E94">
        <v>370</v>
      </c>
      <c r="F94" t="s">
        <v>21</v>
      </c>
      <c r="G94" t="s">
        <v>22</v>
      </c>
      <c r="H94">
        <v>0.0058</v>
      </c>
      <c r="J94" s="4">
        <v>7293570</v>
      </c>
      <c r="K94" s="36">
        <v>42302.66</v>
      </c>
      <c r="L94" s="4">
        <v>0</v>
      </c>
      <c r="M94" t="s">
        <v>18</v>
      </c>
      <c r="N94" t="s">
        <v>23</v>
      </c>
    </row>
    <row r="95" spans="1:14" ht="12.75">
      <c r="A95">
        <v>200411</v>
      </c>
      <c r="B95">
        <v>1</v>
      </c>
      <c r="D95" t="s">
        <v>16</v>
      </c>
      <c r="E95">
        <v>370</v>
      </c>
      <c r="F95" t="s">
        <v>21</v>
      </c>
      <c r="G95" t="s">
        <v>22</v>
      </c>
      <c r="H95">
        <v>0.0058</v>
      </c>
      <c r="I95" t="s">
        <v>29</v>
      </c>
      <c r="J95" s="4">
        <v>-1388</v>
      </c>
      <c r="K95" s="36">
        <v>-8.05</v>
      </c>
      <c r="L95" s="4">
        <v>0</v>
      </c>
      <c r="M95" t="s">
        <v>18</v>
      </c>
      <c r="N95" t="s">
        <v>23</v>
      </c>
    </row>
    <row r="96" spans="1:14" ht="12.75">
      <c r="A96">
        <v>200412</v>
      </c>
      <c r="B96">
        <v>1</v>
      </c>
      <c r="D96" t="s">
        <v>30</v>
      </c>
      <c r="E96">
        <v>370</v>
      </c>
      <c r="F96" t="s">
        <v>21</v>
      </c>
      <c r="G96" t="s">
        <v>22</v>
      </c>
      <c r="H96">
        <v>0.0058</v>
      </c>
      <c r="J96" s="4">
        <v>212374</v>
      </c>
      <c r="K96" s="89">
        <v>1232.73</v>
      </c>
      <c r="L96" s="4">
        <v>0</v>
      </c>
      <c r="M96" t="s">
        <v>32</v>
      </c>
      <c r="N96" t="s">
        <v>23</v>
      </c>
    </row>
    <row r="97" spans="1:14" ht="12.75">
      <c r="A97">
        <v>200412</v>
      </c>
      <c r="B97">
        <v>1</v>
      </c>
      <c r="D97" t="s">
        <v>16</v>
      </c>
      <c r="E97">
        <v>370</v>
      </c>
      <c r="F97" t="s">
        <v>21</v>
      </c>
      <c r="G97" t="s">
        <v>22</v>
      </c>
      <c r="H97">
        <v>0.0058</v>
      </c>
      <c r="J97" s="4">
        <v>8067571</v>
      </c>
      <c r="K97" s="36">
        <v>46792.44</v>
      </c>
      <c r="L97" s="4">
        <v>0</v>
      </c>
      <c r="M97" t="s">
        <v>18</v>
      </c>
      <c r="N97" t="s">
        <v>23</v>
      </c>
    </row>
    <row r="98" spans="10:11" ht="12.75">
      <c r="J98" s="5">
        <f>SUM(J74:J97)</f>
        <v>64494427</v>
      </c>
      <c r="K98" s="37">
        <f>SUM(K74:K97)</f>
        <v>374076.7200000001</v>
      </c>
    </row>
    <row r="100" spans="1:14" ht="12.75">
      <c r="A100">
        <v>200404</v>
      </c>
      <c r="B100">
        <v>1</v>
      </c>
      <c r="D100" t="s">
        <v>62</v>
      </c>
      <c r="E100">
        <v>370</v>
      </c>
      <c r="F100" t="s">
        <v>64</v>
      </c>
      <c r="G100" t="s">
        <v>22</v>
      </c>
      <c r="H100">
        <v>0.0105</v>
      </c>
      <c r="J100" s="4">
        <v>2585077</v>
      </c>
      <c r="K100" s="36">
        <v>27147.46</v>
      </c>
      <c r="L100" s="4">
        <v>0</v>
      </c>
      <c r="M100" t="s">
        <v>63</v>
      </c>
      <c r="N100" t="s">
        <v>23</v>
      </c>
    </row>
    <row r="101" spans="1:14" ht="12.75">
      <c r="A101">
        <v>200405</v>
      </c>
      <c r="B101">
        <v>1</v>
      </c>
      <c r="D101" t="s">
        <v>62</v>
      </c>
      <c r="E101">
        <v>370</v>
      </c>
      <c r="F101" t="s">
        <v>64</v>
      </c>
      <c r="G101" t="s">
        <v>22</v>
      </c>
      <c r="H101">
        <v>0.0105</v>
      </c>
      <c r="J101" s="4">
        <v>16753634</v>
      </c>
      <c r="K101" s="36">
        <v>175920.69</v>
      </c>
      <c r="L101" s="4">
        <v>0</v>
      </c>
      <c r="M101" t="s">
        <v>63</v>
      </c>
      <c r="N101" t="s">
        <v>23</v>
      </c>
    </row>
    <row r="102" spans="1:14" ht="12.75">
      <c r="A102">
        <v>200405</v>
      </c>
      <c r="B102">
        <v>1</v>
      </c>
      <c r="D102" t="s">
        <v>62</v>
      </c>
      <c r="E102">
        <v>370</v>
      </c>
      <c r="F102" t="s">
        <v>64</v>
      </c>
      <c r="G102" t="s">
        <v>22</v>
      </c>
      <c r="H102">
        <v>0.0105</v>
      </c>
      <c r="I102" t="s">
        <v>29</v>
      </c>
      <c r="J102" s="4">
        <v>-745</v>
      </c>
      <c r="K102" s="36">
        <v>-7.83</v>
      </c>
      <c r="L102" s="4">
        <v>0</v>
      </c>
      <c r="M102" t="s">
        <v>63</v>
      </c>
      <c r="N102" t="s">
        <v>23</v>
      </c>
    </row>
    <row r="103" spans="1:14" ht="12.75">
      <c r="A103">
        <v>200406</v>
      </c>
      <c r="B103">
        <v>1</v>
      </c>
      <c r="D103" t="s">
        <v>62</v>
      </c>
      <c r="E103">
        <v>370</v>
      </c>
      <c r="F103" t="s">
        <v>64</v>
      </c>
      <c r="G103" t="s">
        <v>22</v>
      </c>
      <c r="H103">
        <v>0.0105</v>
      </c>
      <c r="J103" s="4">
        <v>18692069</v>
      </c>
      <c r="K103" s="36">
        <v>196273.98</v>
      </c>
      <c r="L103" s="4">
        <v>0</v>
      </c>
      <c r="M103" t="s">
        <v>63</v>
      </c>
      <c r="N103" t="s">
        <v>23</v>
      </c>
    </row>
    <row r="104" spans="1:14" ht="12.75">
      <c r="A104">
        <v>200406</v>
      </c>
      <c r="B104">
        <v>1</v>
      </c>
      <c r="D104" t="s">
        <v>62</v>
      </c>
      <c r="E104">
        <v>370</v>
      </c>
      <c r="F104" t="s">
        <v>64</v>
      </c>
      <c r="G104" t="s">
        <v>22</v>
      </c>
      <c r="H104">
        <v>0.0105</v>
      </c>
      <c r="I104" t="s">
        <v>29</v>
      </c>
      <c r="J104" s="4">
        <v>3059</v>
      </c>
      <c r="K104" s="36">
        <v>32.13</v>
      </c>
      <c r="L104" s="4">
        <v>0</v>
      </c>
      <c r="M104" t="s">
        <v>63</v>
      </c>
      <c r="N104" t="s">
        <v>23</v>
      </c>
    </row>
    <row r="105" spans="1:14" ht="12.75">
      <c r="A105">
        <v>200407</v>
      </c>
      <c r="B105">
        <v>1</v>
      </c>
      <c r="D105" t="s">
        <v>62</v>
      </c>
      <c r="E105">
        <v>370</v>
      </c>
      <c r="F105" t="s">
        <v>64</v>
      </c>
      <c r="G105" t="s">
        <v>22</v>
      </c>
      <c r="H105">
        <v>0.0105</v>
      </c>
      <c r="J105" s="4">
        <v>21019131</v>
      </c>
      <c r="K105" s="36">
        <v>220708.03</v>
      </c>
      <c r="L105" s="4">
        <v>0</v>
      </c>
      <c r="M105" t="s">
        <v>63</v>
      </c>
      <c r="N105" t="s">
        <v>23</v>
      </c>
    </row>
    <row r="106" spans="1:14" ht="12.75">
      <c r="A106">
        <v>200407</v>
      </c>
      <c r="B106">
        <v>1</v>
      </c>
      <c r="D106" t="s">
        <v>62</v>
      </c>
      <c r="E106">
        <v>370</v>
      </c>
      <c r="F106" t="s">
        <v>64</v>
      </c>
      <c r="G106" t="s">
        <v>22</v>
      </c>
      <c r="H106">
        <v>0.0105</v>
      </c>
      <c r="I106" t="s">
        <v>29</v>
      </c>
      <c r="J106" s="4">
        <v>1706</v>
      </c>
      <c r="K106" s="36">
        <v>17.91</v>
      </c>
      <c r="L106" s="4">
        <v>0</v>
      </c>
      <c r="M106" t="s">
        <v>63</v>
      </c>
      <c r="N106" t="s">
        <v>23</v>
      </c>
    </row>
    <row r="107" spans="1:14" ht="12.75">
      <c r="A107">
        <v>200408</v>
      </c>
      <c r="B107">
        <v>1</v>
      </c>
      <c r="D107" t="s">
        <v>62</v>
      </c>
      <c r="E107">
        <v>370</v>
      </c>
      <c r="F107" t="s">
        <v>64</v>
      </c>
      <c r="G107" t="s">
        <v>22</v>
      </c>
      <c r="H107">
        <v>0.0105</v>
      </c>
      <c r="J107" s="4">
        <v>23988719</v>
      </c>
      <c r="K107" s="36">
        <v>251890.32</v>
      </c>
      <c r="L107" s="4">
        <v>0</v>
      </c>
      <c r="M107" t="s">
        <v>63</v>
      </c>
      <c r="N107" t="s">
        <v>23</v>
      </c>
    </row>
    <row r="108" spans="1:14" ht="12.75">
      <c r="A108">
        <v>200408</v>
      </c>
      <c r="B108">
        <v>1</v>
      </c>
      <c r="D108" t="s">
        <v>62</v>
      </c>
      <c r="E108">
        <v>370</v>
      </c>
      <c r="F108" t="s">
        <v>64</v>
      </c>
      <c r="G108" t="s">
        <v>22</v>
      </c>
      <c r="H108">
        <v>0.0105</v>
      </c>
      <c r="I108" t="s">
        <v>29</v>
      </c>
      <c r="J108" s="4">
        <v>-2618</v>
      </c>
      <c r="K108" s="36">
        <v>-27.51</v>
      </c>
      <c r="L108" s="4">
        <v>0</v>
      </c>
      <c r="M108" t="s">
        <v>63</v>
      </c>
      <c r="N108" t="s">
        <v>23</v>
      </c>
    </row>
    <row r="109" spans="1:14" ht="12.75">
      <c r="A109">
        <v>200409</v>
      </c>
      <c r="B109">
        <v>1</v>
      </c>
      <c r="D109" t="s">
        <v>62</v>
      </c>
      <c r="E109">
        <v>370</v>
      </c>
      <c r="F109" t="s">
        <v>64</v>
      </c>
      <c r="G109" t="s">
        <v>22</v>
      </c>
      <c r="H109">
        <v>0.0105</v>
      </c>
      <c r="J109" s="4">
        <v>22994631</v>
      </c>
      <c r="K109" s="36">
        <v>241452.16</v>
      </c>
      <c r="L109" s="4">
        <v>0</v>
      </c>
      <c r="M109" t="s">
        <v>63</v>
      </c>
      <c r="N109" t="s">
        <v>23</v>
      </c>
    </row>
    <row r="110" spans="1:14" ht="12.75">
      <c r="A110">
        <v>200409</v>
      </c>
      <c r="B110">
        <v>1</v>
      </c>
      <c r="D110" t="s">
        <v>62</v>
      </c>
      <c r="E110">
        <v>370</v>
      </c>
      <c r="F110" t="s">
        <v>64</v>
      </c>
      <c r="G110" t="s">
        <v>22</v>
      </c>
      <c r="H110">
        <v>0.0105</v>
      </c>
      <c r="I110" t="s">
        <v>29</v>
      </c>
      <c r="J110" s="4">
        <v>263</v>
      </c>
      <c r="K110" s="36">
        <v>2.76</v>
      </c>
      <c r="L110" s="4">
        <v>0</v>
      </c>
      <c r="M110" t="s">
        <v>63</v>
      </c>
      <c r="N110" t="s">
        <v>23</v>
      </c>
    </row>
    <row r="111" spans="1:14" ht="12.75">
      <c r="A111">
        <v>200410</v>
      </c>
      <c r="B111">
        <v>1</v>
      </c>
      <c r="D111" t="s">
        <v>62</v>
      </c>
      <c r="E111">
        <v>370</v>
      </c>
      <c r="F111" t="s">
        <v>64</v>
      </c>
      <c r="G111" t="s">
        <v>22</v>
      </c>
      <c r="H111">
        <v>0.0105</v>
      </c>
      <c r="J111" s="4">
        <v>21525903</v>
      </c>
      <c r="K111" s="36">
        <v>226030.62</v>
      </c>
      <c r="L111" s="4">
        <v>0</v>
      </c>
      <c r="M111" t="s">
        <v>63</v>
      </c>
      <c r="N111" t="s">
        <v>23</v>
      </c>
    </row>
    <row r="112" spans="1:14" ht="12.75">
      <c r="A112">
        <v>200410</v>
      </c>
      <c r="B112">
        <v>1</v>
      </c>
      <c r="D112" t="s">
        <v>62</v>
      </c>
      <c r="E112">
        <v>370</v>
      </c>
      <c r="F112" t="s">
        <v>64</v>
      </c>
      <c r="G112" t="s">
        <v>22</v>
      </c>
      <c r="H112">
        <v>0.0105</v>
      </c>
      <c r="I112" t="s">
        <v>29</v>
      </c>
      <c r="J112" s="4">
        <v>1405</v>
      </c>
      <c r="K112" s="36">
        <v>14.75</v>
      </c>
      <c r="L112" s="4">
        <v>0</v>
      </c>
      <c r="M112" t="s">
        <v>63</v>
      </c>
      <c r="N112" t="s">
        <v>23</v>
      </c>
    </row>
    <row r="113" spans="1:14" ht="12.75">
      <c r="A113">
        <v>200411</v>
      </c>
      <c r="B113">
        <v>1</v>
      </c>
      <c r="D113" t="s">
        <v>62</v>
      </c>
      <c r="E113">
        <v>370</v>
      </c>
      <c r="F113" t="s">
        <v>64</v>
      </c>
      <c r="G113" t="s">
        <v>22</v>
      </c>
      <c r="H113">
        <v>0.0105</v>
      </c>
      <c r="J113" s="4">
        <v>19457168</v>
      </c>
      <c r="K113" s="36">
        <v>204308.17</v>
      </c>
      <c r="L113" s="4">
        <v>0</v>
      </c>
      <c r="M113" t="s">
        <v>63</v>
      </c>
      <c r="N113" t="s">
        <v>23</v>
      </c>
    </row>
    <row r="114" spans="1:14" ht="12.75">
      <c r="A114">
        <v>200411</v>
      </c>
      <c r="B114">
        <v>1</v>
      </c>
      <c r="D114" t="s">
        <v>62</v>
      </c>
      <c r="E114">
        <v>370</v>
      </c>
      <c r="F114" t="s">
        <v>64</v>
      </c>
      <c r="G114" t="s">
        <v>22</v>
      </c>
      <c r="H114">
        <v>0.0105</v>
      </c>
      <c r="I114" t="s">
        <v>29</v>
      </c>
      <c r="J114" s="4">
        <v>1161</v>
      </c>
      <c r="K114" s="36">
        <v>12.19</v>
      </c>
      <c r="L114" s="4">
        <v>0</v>
      </c>
      <c r="M114" t="s">
        <v>63</v>
      </c>
      <c r="N114" t="s">
        <v>23</v>
      </c>
    </row>
    <row r="115" spans="1:14" ht="12.75">
      <c r="A115">
        <v>200412</v>
      </c>
      <c r="B115">
        <v>1</v>
      </c>
      <c r="D115" t="s">
        <v>62</v>
      </c>
      <c r="E115">
        <v>370</v>
      </c>
      <c r="F115" t="s">
        <v>64</v>
      </c>
      <c r="G115" t="s">
        <v>22</v>
      </c>
      <c r="H115">
        <v>0.0105</v>
      </c>
      <c r="J115" s="4">
        <v>22166016</v>
      </c>
      <c r="K115" s="36">
        <v>232750.89</v>
      </c>
      <c r="L115" s="4">
        <v>0</v>
      </c>
      <c r="M115" t="s">
        <v>63</v>
      </c>
      <c r="N115" t="s">
        <v>23</v>
      </c>
    </row>
    <row r="116" spans="10:11" ht="12.75">
      <c r="J116" s="5">
        <f>SUM(J100:J115)</f>
        <v>169186579</v>
      </c>
      <c r="K116" s="37">
        <f>SUM(K100:K115)</f>
        <v>1776526.7200000002</v>
      </c>
    </row>
    <row r="118" spans="1:14" ht="12.75">
      <c r="A118">
        <v>200405</v>
      </c>
      <c r="B118">
        <v>1</v>
      </c>
      <c r="D118" t="s">
        <v>35</v>
      </c>
      <c r="E118">
        <v>360</v>
      </c>
      <c r="F118" t="s">
        <v>27</v>
      </c>
      <c r="G118" t="s">
        <v>20</v>
      </c>
      <c r="H118">
        <v>1.7826</v>
      </c>
      <c r="J118" s="4">
        <v>0</v>
      </c>
      <c r="K118" s="36">
        <v>2802.25</v>
      </c>
      <c r="L118" s="4">
        <v>1572</v>
      </c>
      <c r="M118" t="s">
        <v>37</v>
      </c>
      <c r="N118" t="s">
        <v>23</v>
      </c>
    </row>
    <row r="119" spans="1:14" ht="12.75">
      <c r="A119">
        <v>200406</v>
      </c>
      <c r="B119">
        <v>1</v>
      </c>
      <c r="D119" t="s">
        <v>35</v>
      </c>
      <c r="E119">
        <v>360</v>
      </c>
      <c r="F119" t="s">
        <v>27</v>
      </c>
      <c r="G119" t="s">
        <v>20</v>
      </c>
      <c r="H119">
        <v>1.7826</v>
      </c>
      <c r="J119" s="4">
        <v>0</v>
      </c>
      <c r="K119" s="36">
        <v>2802.25</v>
      </c>
      <c r="L119" s="4">
        <v>1572</v>
      </c>
      <c r="M119" t="s">
        <v>37</v>
      </c>
      <c r="N119" t="s">
        <v>23</v>
      </c>
    </row>
    <row r="120" spans="1:14" ht="12.75">
      <c r="A120">
        <v>200407</v>
      </c>
      <c r="B120">
        <v>1</v>
      </c>
      <c r="D120" t="s">
        <v>35</v>
      </c>
      <c r="E120">
        <v>360</v>
      </c>
      <c r="F120" t="s">
        <v>27</v>
      </c>
      <c r="G120" t="s">
        <v>20</v>
      </c>
      <c r="H120">
        <v>1.7826</v>
      </c>
      <c r="J120" s="4">
        <v>0</v>
      </c>
      <c r="K120" s="36">
        <v>2852.16</v>
      </c>
      <c r="L120" s="4">
        <v>1600</v>
      </c>
      <c r="M120" t="s">
        <v>37</v>
      </c>
      <c r="N120" t="s">
        <v>23</v>
      </c>
    </row>
    <row r="121" spans="1:14" ht="12.75">
      <c r="A121">
        <v>200408</v>
      </c>
      <c r="B121">
        <v>1</v>
      </c>
      <c r="D121" t="s">
        <v>35</v>
      </c>
      <c r="E121">
        <v>360</v>
      </c>
      <c r="F121" t="s">
        <v>27</v>
      </c>
      <c r="G121" t="s">
        <v>20</v>
      </c>
      <c r="H121">
        <v>1.7826</v>
      </c>
      <c r="J121" s="4">
        <v>0</v>
      </c>
      <c r="K121" s="36">
        <v>2871.77</v>
      </c>
      <c r="L121" s="4">
        <v>1611</v>
      </c>
      <c r="M121" t="s">
        <v>37</v>
      </c>
      <c r="N121" t="s">
        <v>23</v>
      </c>
    </row>
    <row r="122" spans="1:14" ht="12.75">
      <c r="A122">
        <v>200409</v>
      </c>
      <c r="B122">
        <v>1</v>
      </c>
      <c r="D122" t="s">
        <v>35</v>
      </c>
      <c r="E122">
        <v>360</v>
      </c>
      <c r="F122" t="s">
        <v>27</v>
      </c>
      <c r="G122" t="s">
        <v>20</v>
      </c>
      <c r="H122">
        <v>1.7826</v>
      </c>
      <c r="J122" s="4">
        <v>0</v>
      </c>
      <c r="K122" s="36">
        <v>2871.77</v>
      </c>
      <c r="L122" s="4">
        <v>1611</v>
      </c>
      <c r="M122" t="s">
        <v>37</v>
      </c>
      <c r="N122" t="s">
        <v>23</v>
      </c>
    </row>
    <row r="123" spans="1:14" ht="12.75">
      <c r="A123">
        <v>200410</v>
      </c>
      <c r="B123">
        <v>1</v>
      </c>
      <c r="D123" t="s">
        <v>35</v>
      </c>
      <c r="E123">
        <v>360</v>
      </c>
      <c r="F123" t="s">
        <v>27</v>
      </c>
      <c r="G123" t="s">
        <v>20</v>
      </c>
      <c r="H123">
        <v>1.7826</v>
      </c>
      <c r="J123" s="4">
        <v>0</v>
      </c>
      <c r="K123" s="36">
        <v>2871.77</v>
      </c>
      <c r="L123" s="4">
        <v>1611</v>
      </c>
      <c r="M123" t="s">
        <v>37</v>
      </c>
      <c r="N123" t="s">
        <v>23</v>
      </c>
    </row>
    <row r="124" spans="1:14" ht="12.75">
      <c r="A124">
        <v>200411</v>
      </c>
      <c r="B124">
        <v>1</v>
      </c>
      <c r="D124" t="s">
        <v>35</v>
      </c>
      <c r="E124">
        <v>360</v>
      </c>
      <c r="F124" t="s">
        <v>27</v>
      </c>
      <c r="G124" t="s">
        <v>20</v>
      </c>
      <c r="H124">
        <v>1.7826</v>
      </c>
      <c r="J124" s="4">
        <v>0</v>
      </c>
      <c r="K124" s="36">
        <v>2871.77</v>
      </c>
      <c r="L124" s="4">
        <v>1611</v>
      </c>
      <c r="M124" t="s">
        <v>37</v>
      </c>
      <c r="N124" t="s">
        <v>23</v>
      </c>
    </row>
    <row r="125" spans="1:14" ht="12.75">
      <c r="A125">
        <v>200412</v>
      </c>
      <c r="B125">
        <v>1</v>
      </c>
      <c r="D125" t="s">
        <v>35</v>
      </c>
      <c r="E125">
        <v>360</v>
      </c>
      <c r="F125" t="s">
        <v>27</v>
      </c>
      <c r="G125" t="s">
        <v>20</v>
      </c>
      <c r="H125">
        <v>1.7826</v>
      </c>
      <c r="J125" s="4">
        <v>0</v>
      </c>
      <c r="K125" s="36">
        <v>2871.77</v>
      </c>
      <c r="L125" s="4">
        <v>1611</v>
      </c>
      <c r="M125" t="s">
        <v>37</v>
      </c>
      <c r="N125" t="s">
        <v>23</v>
      </c>
    </row>
    <row r="126" spans="11:12" ht="12.75">
      <c r="K126" s="37">
        <f>SUM(K118:K125)</f>
        <v>22815.510000000002</v>
      </c>
      <c r="L126" s="5">
        <f>SUM(L118:L125)</f>
        <v>12799</v>
      </c>
    </row>
    <row r="128" spans="1:14" ht="12.75">
      <c r="A128">
        <v>200404</v>
      </c>
      <c r="B128">
        <v>1</v>
      </c>
      <c r="D128" t="s">
        <v>24</v>
      </c>
      <c r="E128">
        <v>360</v>
      </c>
      <c r="F128" t="s">
        <v>27</v>
      </c>
      <c r="G128" t="s">
        <v>20</v>
      </c>
      <c r="H128">
        <v>2.443</v>
      </c>
      <c r="J128" s="4">
        <v>0</v>
      </c>
      <c r="K128" s="36">
        <v>3893.91</v>
      </c>
      <c r="L128" s="4">
        <v>1593.91</v>
      </c>
      <c r="M128" t="s">
        <v>26</v>
      </c>
      <c r="N128" t="s">
        <v>23</v>
      </c>
    </row>
    <row r="129" spans="1:14" ht="12.75">
      <c r="A129">
        <v>200405</v>
      </c>
      <c r="B129">
        <v>1</v>
      </c>
      <c r="D129" t="s">
        <v>33</v>
      </c>
      <c r="E129">
        <v>360</v>
      </c>
      <c r="F129" t="s">
        <v>27</v>
      </c>
      <c r="G129" t="s">
        <v>20</v>
      </c>
      <c r="H129">
        <v>2.443</v>
      </c>
      <c r="J129" s="4">
        <v>0</v>
      </c>
      <c r="K129" s="36">
        <v>144893.59</v>
      </c>
      <c r="L129" s="4">
        <v>59309.7</v>
      </c>
      <c r="M129" t="s">
        <v>34</v>
      </c>
      <c r="N129" t="s">
        <v>23</v>
      </c>
    </row>
    <row r="130" spans="1:14" ht="12.75">
      <c r="A130">
        <v>200405</v>
      </c>
      <c r="B130">
        <v>1</v>
      </c>
      <c r="D130" t="s">
        <v>24</v>
      </c>
      <c r="E130">
        <v>360</v>
      </c>
      <c r="F130" t="s">
        <v>27</v>
      </c>
      <c r="G130" t="s">
        <v>20</v>
      </c>
      <c r="H130">
        <v>2.443</v>
      </c>
      <c r="J130" s="4">
        <v>0</v>
      </c>
      <c r="K130" s="36">
        <v>137404.86</v>
      </c>
      <c r="L130" s="4">
        <v>56244.28</v>
      </c>
      <c r="M130" t="s">
        <v>26</v>
      </c>
      <c r="N130" t="s">
        <v>23</v>
      </c>
    </row>
    <row r="131" spans="1:14" ht="12.75">
      <c r="A131">
        <v>200406</v>
      </c>
      <c r="B131">
        <v>1</v>
      </c>
      <c r="D131" t="s">
        <v>33</v>
      </c>
      <c r="E131">
        <v>360</v>
      </c>
      <c r="F131" t="s">
        <v>27</v>
      </c>
      <c r="G131" t="s">
        <v>20</v>
      </c>
      <c r="H131">
        <v>2.443</v>
      </c>
      <c r="J131" s="4">
        <v>0</v>
      </c>
      <c r="K131" s="36">
        <v>142502.13</v>
      </c>
      <c r="L131" s="4">
        <v>58330.8</v>
      </c>
      <c r="M131" t="s">
        <v>34</v>
      </c>
      <c r="N131" t="s">
        <v>23</v>
      </c>
    </row>
    <row r="132" spans="1:14" ht="12.75">
      <c r="A132">
        <v>200406</v>
      </c>
      <c r="B132">
        <v>1</v>
      </c>
      <c r="D132" t="s">
        <v>24</v>
      </c>
      <c r="E132">
        <v>360</v>
      </c>
      <c r="F132" t="s">
        <v>27</v>
      </c>
      <c r="G132" t="s">
        <v>20</v>
      </c>
      <c r="H132">
        <v>2.443</v>
      </c>
      <c r="J132" s="4">
        <v>0</v>
      </c>
      <c r="K132" s="36">
        <v>156648.67</v>
      </c>
      <c r="L132" s="4">
        <v>64121.43</v>
      </c>
      <c r="M132" t="s">
        <v>26</v>
      </c>
      <c r="N132" t="s">
        <v>23</v>
      </c>
    </row>
    <row r="133" spans="1:14" ht="12.75">
      <c r="A133">
        <v>200407</v>
      </c>
      <c r="B133">
        <v>1</v>
      </c>
      <c r="D133" t="s">
        <v>33</v>
      </c>
      <c r="E133">
        <v>360</v>
      </c>
      <c r="F133" t="s">
        <v>27</v>
      </c>
      <c r="G133" t="s">
        <v>20</v>
      </c>
      <c r="H133">
        <v>2.443</v>
      </c>
      <c r="J133" s="4">
        <v>0</v>
      </c>
      <c r="K133" s="36">
        <v>147676.76</v>
      </c>
      <c r="L133" s="4">
        <v>60448.94</v>
      </c>
      <c r="M133" t="s">
        <v>34</v>
      </c>
      <c r="N133" t="s">
        <v>23</v>
      </c>
    </row>
    <row r="134" spans="1:14" ht="12.75">
      <c r="A134">
        <v>200407</v>
      </c>
      <c r="B134">
        <v>1</v>
      </c>
      <c r="D134" t="s">
        <v>24</v>
      </c>
      <c r="E134">
        <v>360</v>
      </c>
      <c r="F134" t="s">
        <v>27</v>
      </c>
      <c r="G134" t="s">
        <v>20</v>
      </c>
      <c r="H134">
        <v>2.443</v>
      </c>
      <c r="J134" s="4">
        <v>0</v>
      </c>
      <c r="K134" s="36">
        <v>158831.18</v>
      </c>
      <c r="L134" s="4">
        <v>65028.3</v>
      </c>
      <c r="M134" t="s">
        <v>26</v>
      </c>
      <c r="N134" t="s">
        <v>23</v>
      </c>
    </row>
    <row r="135" spans="1:14" ht="12.75">
      <c r="A135">
        <v>200408</v>
      </c>
      <c r="B135">
        <v>1</v>
      </c>
      <c r="D135" t="s">
        <v>33</v>
      </c>
      <c r="E135">
        <v>360</v>
      </c>
      <c r="F135" t="s">
        <v>27</v>
      </c>
      <c r="G135" t="s">
        <v>20</v>
      </c>
      <c r="H135">
        <v>2.443</v>
      </c>
      <c r="J135" s="4">
        <v>0</v>
      </c>
      <c r="K135" s="36">
        <v>140596.9</v>
      </c>
      <c r="L135" s="4">
        <v>57550.91</v>
      </c>
      <c r="M135" t="s">
        <v>34</v>
      </c>
      <c r="N135" t="s">
        <v>23</v>
      </c>
    </row>
    <row r="136" spans="1:14" ht="12.75">
      <c r="A136">
        <v>200408</v>
      </c>
      <c r="B136">
        <v>1</v>
      </c>
      <c r="D136" t="s">
        <v>24</v>
      </c>
      <c r="E136">
        <v>360</v>
      </c>
      <c r="F136" t="s">
        <v>27</v>
      </c>
      <c r="G136" t="s">
        <v>20</v>
      </c>
      <c r="H136">
        <v>2.443</v>
      </c>
      <c r="J136" s="4">
        <v>0</v>
      </c>
      <c r="K136" s="36">
        <v>156207.54</v>
      </c>
      <c r="L136" s="4">
        <v>63940.88</v>
      </c>
      <c r="M136" t="s">
        <v>26</v>
      </c>
      <c r="N136" t="s">
        <v>23</v>
      </c>
    </row>
    <row r="137" spans="1:14" ht="12.75">
      <c r="A137">
        <v>200409</v>
      </c>
      <c r="B137">
        <v>1</v>
      </c>
      <c r="D137" t="s">
        <v>33</v>
      </c>
      <c r="E137">
        <v>360</v>
      </c>
      <c r="F137" t="s">
        <v>27</v>
      </c>
      <c r="G137" t="s">
        <v>20</v>
      </c>
      <c r="H137">
        <v>2.443</v>
      </c>
      <c r="J137" s="4">
        <v>0</v>
      </c>
      <c r="K137" s="36">
        <v>145291.63</v>
      </c>
      <c r="L137" s="4">
        <v>59472.63</v>
      </c>
      <c r="M137" t="s">
        <v>34</v>
      </c>
      <c r="N137" t="s">
        <v>23</v>
      </c>
    </row>
    <row r="138" spans="1:14" ht="12.75">
      <c r="A138">
        <v>200409</v>
      </c>
      <c r="B138">
        <v>1</v>
      </c>
      <c r="D138" t="s">
        <v>24</v>
      </c>
      <c r="E138">
        <v>360</v>
      </c>
      <c r="F138" t="s">
        <v>27</v>
      </c>
      <c r="G138" t="s">
        <v>20</v>
      </c>
      <c r="H138">
        <v>2.443</v>
      </c>
      <c r="J138" s="4">
        <v>0</v>
      </c>
      <c r="K138" s="36">
        <v>157038.68</v>
      </c>
      <c r="L138" s="4">
        <v>64281.05</v>
      </c>
      <c r="M138" t="s">
        <v>26</v>
      </c>
      <c r="N138" t="s">
        <v>23</v>
      </c>
    </row>
    <row r="139" spans="1:14" ht="12.75">
      <c r="A139">
        <v>200410</v>
      </c>
      <c r="B139">
        <v>1</v>
      </c>
      <c r="D139" t="s">
        <v>33</v>
      </c>
      <c r="E139">
        <v>360</v>
      </c>
      <c r="F139" t="s">
        <v>27</v>
      </c>
      <c r="G139" t="s">
        <v>20</v>
      </c>
      <c r="H139">
        <v>2.443</v>
      </c>
      <c r="J139" s="4">
        <v>0</v>
      </c>
      <c r="K139" s="36">
        <v>143682.05</v>
      </c>
      <c r="L139" s="4">
        <v>58813.76</v>
      </c>
      <c r="M139" t="s">
        <v>34</v>
      </c>
      <c r="N139" t="s">
        <v>23</v>
      </c>
    </row>
    <row r="140" spans="1:14" ht="12.75">
      <c r="A140">
        <v>200410</v>
      </c>
      <c r="B140">
        <v>1</v>
      </c>
      <c r="D140" t="s">
        <v>24</v>
      </c>
      <c r="E140">
        <v>360</v>
      </c>
      <c r="F140" t="s">
        <v>27</v>
      </c>
      <c r="G140" t="s">
        <v>20</v>
      </c>
      <c r="H140">
        <v>2.443</v>
      </c>
      <c r="J140" s="4">
        <v>0</v>
      </c>
      <c r="K140" s="36">
        <v>152867.17</v>
      </c>
      <c r="L140" s="4">
        <v>62573.56</v>
      </c>
      <c r="M140" t="s">
        <v>26</v>
      </c>
      <c r="N140" t="s">
        <v>23</v>
      </c>
    </row>
    <row r="141" spans="1:14" ht="12.75">
      <c r="A141">
        <v>200411</v>
      </c>
      <c r="B141">
        <v>1</v>
      </c>
      <c r="D141" t="s">
        <v>33</v>
      </c>
      <c r="E141">
        <v>360</v>
      </c>
      <c r="F141" t="s">
        <v>27</v>
      </c>
      <c r="G141" t="s">
        <v>20</v>
      </c>
      <c r="H141">
        <v>2.443</v>
      </c>
      <c r="J141" s="4">
        <v>0</v>
      </c>
      <c r="K141" s="36">
        <v>139423.97</v>
      </c>
      <c r="L141" s="4">
        <v>57070.8</v>
      </c>
      <c r="M141" t="s">
        <v>34</v>
      </c>
      <c r="N141" t="s">
        <v>23</v>
      </c>
    </row>
    <row r="142" spans="1:14" ht="12.75">
      <c r="A142">
        <v>200411</v>
      </c>
      <c r="B142">
        <v>1</v>
      </c>
      <c r="D142" t="s">
        <v>24</v>
      </c>
      <c r="E142">
        <v>360</v>
      </c>
      <c r="F142" t="s">
        <v>27</v>
      </c>
      <c r="G142" t="s">
        <v>20</v>
      </c>
      <c r="H142">
        <v>2.443</v>
      </c>
      <c r="J142" s="4">
        <v>0</v>
      </c>
      <c r="K142" s="36">
        <v>148516.79</v>
      </c>
      <c r="L142" s="4">
        <v>60792.8</v>
      </c>
      <c r="M142" t="s">
        <v>26</v>
      </c>
      <c r="N142" t="s">
        <v>23</v>
      </c>
    </row>
    <row r="143" spans="1:14" ht="12.75">
      <c r="A143">
        <v>200412</v>
      </c>
      <c r="B143">
        <v>1</v>
      </c>
      <c r="D143" t="s">
        <v>33</v>
      </c>
      <c r="E143">
        <v>360</v>
      </c>
      <c r="F143" t="s">
        <v>27</v>
      </c>
      <c r="G143" t="s">
        <v>20</v>
      </c>
      <c r="H143">
        <v>2.443</v>
      </c>
      <c r="J143" s="4">
        <v>0</v>
      </c>
      <c r="K143" s="36">
        <v>146534.75</v>
      </c>
      <c r="L143" s="4">
        <v>59981.47</v>
      </c>
      <c r="M143" t="s">
        <v>34</v>
      </c>
      <c r="N143" t="s">
        <v>23</v>
      </c>
    </row>
    <row r="144" spans="1:14" ht="12.75">
      <c r="A144">
        <v>200412</v>
      </c>
      <c r="B144">
        <v>1</v>
      </c>
      <c r="D144" t="s">
        <v>24</v>
      </c>
      <c r="E144">
        <v>360</v>
      </c>
      <c r="F144" t="s">
        <v>27</v>
      </c>
      <c r="G144" t="s">
        <v>20</v>
      </c>
      <c r="H144">
        <v>2.443</v>
      </c>
      <c r="J144" s="4">
        <v>0</v>
      </c>
      <c r="K144" s="36">
        <v>142808.12</v>
      </c>
      <c r="L144" s="4">
        <v>58456.06</v>
      </c>
      <c r="M144" t="s">
        <v>26</v>
      </c>
      <c r="N144" t="s">
        <v>23</v>
      </c>
    </row>
    <row r="145" spans="11:12" ht="12.75">
      <c r="K145" s="37">
        <f>SUM(K128:K144)</f>
        <v>2364818.7</v>
      </c>
      <c r="L145" s="5">
        <f>SUM(L128:L144)</f>
        <v>968011.2800000003</v>
      </c>
    </row>
  </sheetData>
  <sheetProtection/>
  <printOptions/>
  <pageMargins left="0.75" right="0.75" top="1" bottom="0.75" header="0.5" footer="0.5"/>
  <pageSetup horizontalDpi="600" verticalDpi="600" orientation="landscape" r:id="rId1"/>
  <headerFooter alignWithMargins="0">
    <oddFooter>&amp;L&amp;D&amp;C&amp;F&amp;R&amp;A</oddFooter>
  </headerFooter>
  <rowBreaks count="3" manualBreakCount="3">
    <brk id="73" max="255" man="1"/>
    <brk id="99" max="255" man="1"/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Brantford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GMaldonado</dc:creator>
  <cp:keywords/>
  <dc:description/>
  <cp:lastModifiedBy>Glenda Maldonado</cp:lastModifiedBy>
  <cp:lastPrinted>2005-08-02T14:27:32Z</cp:lastPrinted>
  <dcterms:created xsi:type="dcterms:W3CDTF">2005-01-18T17:21:30Z</dcterms:created>
  <dcterms:modified xsi:type="dcterms:W3CDTF">2011-11-07T02:00:20Z</dcterms:modified>
  <cp:category/>
  <cp:version/>
  <cp:contentType/>
  <cp:contentStatus/>
</cp:coreProperties>
</file>