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8" yWindow="312" windowWidth="1848" windowHeight="9816" tabRatio="892" activeTab="0"/>
  </bookViews>
  <sheets>
    <sheet name="App.2-T_1592_Defer_PILs" sheetId="1" r:id="rId1"/>
    <sheet name="App.2-V Bill Impacts Res 100kwh" sheetId="2" r:id="rId2"/>
    <sheet name="App.2-V Bill Impacts Res 250kwh" sheetId="3" r:id="rId3"/>
    <sheet name="App.2-V Bill Impacts Res 500" sheetId="4" r:id="rId4"/>
    <sheet name="App.2-V Bill Impact Res 800kwh" sheetId="5" r:id="rId5"/>
    <sheet name="App.2-V Bill Impact Res 1000kwh" sheetId="6" r:id="rId6"/>
    <sheet name="App.2-V Bill Impact Res 1500kwh" sheetId="7" r:id="rId7"/>
    <sheet name="App.2-V Bill Impact Res 2000kwh" sheetId="8" r:id="rId8"/>
    <sheet name="App.2-V Bill Impact &lt;50 1000kwh" sheetId="9" r:id="rId9"/>
    <sheet name="App.2-V Bill Impact &lt;50 2000kwh" sheetId="10" r:id="rId10"/>
    <sheet name="App.2-V Bill Impact &lt;50 5000kwh" sheetId="11" r:id="rId11"/>
    <sheet name="App.2-V BillImpact &lt;50 10000kwh" sheetId="12" r:id="rId12"/>
    <sheet name="App.2-V BillImpact &lt;50 15000kwh" sheetId="13" r:id="rId13"/>
    <sheet name="App.2-V BillImpact &gt;50 60kw" sheetId="14" r:id="rId14"/>
    <sheet name="App.2-V BillImpact &gt;50 100kw" sheetId="15" r:id="rId15"/>
    <sheet name="App.2-V BillImpac &gt;50 500kw" sheetId="16" r:id="rId16"/>
    <sheet name="App.2-V BillImpac &gt;50 1000kw" sheetId="17" r:id="rId17"/>
    <sheet name="App.2-V BillImpact Strt 2500 Cn" sheetId="18" r:id="rId18"/>
    <sheet name="App.2-V BillImpact Strt 1 kW" sheetId="19" r:id="rId19"/>
    <sheet name="App.2-V BillImpact USL 150kwh" sheetId="20" r:id="rId20"/>
    <sheet name="App.2-V BillImpact USL 4500kwh" sheetId="21" r:id="rId21"/>
    <sheet name="App.2-W_CoS_Flowchart" sheetId="22" r:id="rId22"/>
  </sheets>
  <definedNames>
    <definedName name="_xlfn.BAHTTEXT" hidden="1">#NAME?</definedName>
    <definedName name="_xlfn.SUMIFS" hidden="1">#NAME?</definedName>
    <definedName name="_xlnm.Print_Area" localSheetId="0">'App.2-T_1592_Defer_PILs'!$A$1:$F$51</definedName>
    <definedName name="_xlnm.Print_Area" localSheetId="8">'App.2-V Bill Impact &lt;50 1000kwh'!$A$1:$Q$64</definedName>
    <definedName name="_xlnm.Print_Area" localSheetId="9">'App.2-V Bill Impact &lt;50 2000kwh'!$A$1:$Q$64</definedName>
    <definedName name="_xlnm.Print_Area" localSheetId="10">'App.2-V Bill Impact &lt;50 5000kwh'!$A$1:$Q$64</definedName>
    <definedName name="_xlnm.Print_Area" localSheetId="5">'App.2-V Bill Impact Res 1000kwh'!$A$1:$Q$64</definedName>
    <definedName name="_xlnm.Print_Area" localSheetId="6">'App.2-V Bill Impact Res 1500kwh'!$A$1:$Q$64</definedName>
    <definedName name="_xlnm.Print_Area" localSheetId="7">'App.2-V Bill Impact Res 2000kwh'!$A$1:$Q$64</definedName>
    <definedName name="_xlnm.Print_Area" localSheetId="4">'App.2-V Bill Impact Res 800kwh'!$A$1:$Q$64</definedName>
    <definedName name="_xlnm.Print_Area" localSheetId="1">'App.2-V Bill Impacts Res 100kwh'!$A$1:$Q$63</definedName>
    <definedName name="_xlnm.Print_Area" localSheetId="2">'App.2-V Bill Impacts Res 250kwh'!$A$1:$Q$63</definedName>
    <definedName name="_xlnm.Print_Area" localSheetId="3">'App.2-V Bill Impacts Res 500'!$A$1:$Q$63</definedName>
    <definedName name="_xlnm.Print_Area" localSheetId="16">'App.2-V BillImpac &gt;50 1000kw'!$A$1:$Q$63</definedName>
    <definedName name="_xlnm.Print_Area" localSheetId="15">'App.2-V BillImpac &gt;50 500kw'!$A$1:$Q$63</definedName>
    <definedName name="_xlnm.Print_Area" localSheetId="11">'App.2-V BillImpact &lt;50 10000kwh'!$A$1:$Q$64</definedName>
    <definedName name="_xlnm.Print_Area" localSheetId="12">'App.2-V BillImpact &lt;50 15000kwh'!$A$1:$Q$64</definedName>
    <definedName name="_xlnm.Print_Area" localSheetId="14">'App.2-V BillImpact &gt;50 100kw'!$A$1:$Q$63</definedName>
    <definedName name="_xlnm.Print_Area" localSheetId="13">'App.2-V BillImpact &gt;50 60kw'!$A$1:$Q$63</definedName>
    <definedName name="_xlnm.Print_Area" localSheetId="18">'App.2-V BillImpact Strt 1 kW'!$A$1:$Q$62</definedName>
    <definedName name="_xlnm.Print_Area" localSheetId="17">'App.2-V BillImpact Strt 2500 Cn'!$A$1:$Q$62</definedName>
    <definedName name="_xlnm.Print_Area" localSheetId="19">'App.2-V BillImpact USL 150kwh'!$A$1:$Q$62</definedName>
    <definedName name="_xlnm.Print_Area" localSheetId="20">'App.2-V BillImpact USL 4500kwh'!$A$1:$Q$62</definedName>
    <definedName name="_xlnm.Print_Area" localSheetId="21">'App.2-W_CoS_Flowchart'!$A$1:$G$38</definedName>
  </definedNames>
  <calcPr fullCalcOnLoad="1"/>
</workbook>
</file>

<file path=xl/sharedStrings.xml><?xml version="1.0" encoding="utf-8"?>
<sst xmlns="http://schemas.openxmlformats.org/spreadsheetml/2006/main" count="1727" uniqueCount="105">
  <si>
    <t xml:space="preserve">The Cost of Service Rate Application Schematic is a flowchart appended to Chapter 2 of the Filing Requirements as a guide for the components of an application and how demand and costs interrelate to derive the revenue requirement and then how the revenue requirement is allocated between classes and through fixed/variable splits to derive rates that will be compensatory for the annual revenue requirement, based on the the forecasted demand.  There is no form to be filled out; therefore, this Schedule is not required to be filed. </t>
  </si>
  <si>
    <t>HST/OVAT Input Tax Credits</t>
  </si>
  <si>
    <t>Total</t>
  </si>
  <si>
    <t>File Number:</t>
  </si>
  <si>
    <t>Exhibit:</t>
  </si>
  <si>
    <t>Tab:</t>
  </si>
  <si>
    <t>Schedule:</t>
  </si>
  <si>
    <t>Page:</t>
  </si>
  <si>
    <t>Date:</t>
  </si>
  <si>
    <t>X</t>
  </si>
  <si>
    <t>Y</t>
  </si>
  <si>
    <t>Z</t>
  </si>
  <si>
    <t>xx</t>
  </si>
  <si>
    <t>($)</t>
  </si>
  <si>
    <t>Stranded Meter Rate Rider</t>
  </si>
  <si>
    <t>Notes:</t>
  </si>
  <si>
    <t>Consumption</t>
  </si>
  <si>
    <t xml:space="preserve"> kWh</t>
  </si>
  <si>
    <t>Current Board-Approved</t>
  </si>
  <si>
    <t>Proposed</t>
  </si>
  <si>
    <t>Impact</t>
  </si>
  <si>
    <t>Charge Unit</t>
  </si>
  <si>
    <t>Rate</t>
  </si>
  <si>
    <t>Volume</t>
  </si>
  <si>
    <t>Charge</t>
  </si>
  <si>
    <t>$ Change</t>
  </si>
  <si>
    <t>% Change</t>
  </si>
  <si>
    <t>Monthly Service Charge</t>
  </si>
  <si>
    <t>Smart Meter Rate Adder</t>
  </si>
  <si>
    <t>Service Charge Rate Adder(s)</t>
  </si>
  <si>
    <t>Service Charge Rate Rider(s)</t>
  </si>
  <si>
    <t>Distribution Volumetric Rate</t>
  </si>
  <si>
    <t>Low Voltage Rate Adder</t>
  </si>
  <si>
    <t>Volumetric Rate Adder(s)</t>
  </si>
  <si>
    <t>Volumetric Rate Rider(s)</t>
  </si>
  <si>
    <t>Smart Meter Disposition Rider</t>
  </si>
  <si>
    <t>LRAM &amp; SSM Rate Rider</t>
  </si>
  <si>
    <t>Deferral/Variance Account Disposition Rate Rider</t>
  </si>
  <si>
    <t>Sub-Total A - Distribution</t>
  </si>
  <si>
    <t>RTSR - Network</t>
  </si>
  <si>
    <t>RTSR - Line and Transformation Connection</t>
  </si>
  <si>
    <t>Sub-Total B - Delivery (including Sub-Total A)</t>
  </si>
  <si>
    <t>Wholesale Market Service Charge (WMSC)</t>
  </si>
  <si>
    <t>Rural and Remote Rate Protection (RRRP)</t>
  </si>
  <si>
    <t>Special Purpose Charge</t>
  </si>
  <si>
    <t>Standard Supply Service Charge</t>
  </si>
  <si>
    <t>Debt Retirement Charge (DRC)</t>
  </si>
  <si>
    <t>Energy</t>
  </si>
  <si>
    <t>Total Bill (before Taxes)</t>
  </si>
  <si>
    <t>HST</t>
  </si>
  <si>
    <t>Total Bill (including Sub-total B)</t>
  </si>
  <si>
    <t>Loss Factor (%)</t>
  </si>
  <si>
    <t>Customer Class:</t>
  </si>
  <si>
    <t>Appendix 2-V</t>
  </si>
  <si>
    <t>Bill Impacts</t>
  </si>
  <si>
    <t>Total Bill (including OCEB)</t>
  </si>
  <si>
    <t>Residential</t>
  </si>
  <si>
    <t>Unmetered Scattered Load</t>
  </si>
  <si>
    <t>Appendix 2-T</t>
  </si>
  <si>
    <t xml:space="preserve">Note that the "Charge $" columns provide breakdowns of the amounts that each bill component contributes to the total monthly bill at the referenced </t>
  </si>
  <si>
    <t>consumption level at existing and proposed rates.</t>
  </si>
  <si>
    <t>to their service territory, class by class. A general guideline of consumption levels follows:</t>
  </si>
  <si>
    <t>Residential (kWh) - 100, 250, 500, 800, 1000, 1500, 2000</t>
  </si>
  <si>
    <t>GS&lt;50kW (kWh) - 1000, 2000, 5000, 10000, 15000</t>
  </si>
  <si>
    <t>GS&gt;50kW (kW) - 60, 100, 500, 1000</t>
  </si>
  <si>
    <t>Large User - range appropriate for utility</t>
  </si>
  <si>
    <t>Lighting Classes and USL - 150 kWh and 1 kW, range appropriate for utility.</t>
  </si>
  <si>
    <t>The following table should be completed based on the information requested below, in accordance with the notes following the table. An explanation should be provided for any blank entries.</t>
  </si>
  <si>
    <t>Large Corporation Tax grossed-up proxy from 2006 EDR application PILs model for the period from January 1, 2006 to April 30, 2006 (4/12ths of the approved grossed-up proxy), if not recorded in PILs account 1562</t>
  </si>
  <si>
    <t>EB-20XX-XXXX</t>
  </si>
  <si>
    <t>20XX</t>
  </si>
  <si>
    <t>Cost of Service Rate Application Schematic</t>
  </si>
  <si>
    <t>Monthly</t>
  </si>
  <si>
    <t>per kWh</t>
  </si>
  <si>
    <t>General Service &lt;50</t>
  </si>
  <si>
    <t>General Service &gt;50</t>
  </si>
  <si>
    <t>per kW</t>
  </si>
  <si>
    <t xml:space="preserve"> kW</t>
  </si>
  <si>
    <t>Deferred PILs Account 1592 Balances</t>
  </si>
  <si>
    <t>Appendix 2-W</t>
  </si>
  <si>
    <t>Tax Item</t>
  </si>
  <si>
    <t>Principal as of</t>
  </si>
  <si>
    <t>December 31,</t>
  </si>
  <si>
    <t>Large Corporation Tax grossed-up proxy from 2006 EDR application PILs model for the period from May 1, 2006 to April 30, 2007</t>
  </si>
  <si>
    <t>Ontario Capital Tax rate decrease and increase in capital deduction for 2007</t>
  </si>
  <si>
    <t>Ontario Capital Tax rate decrease and increase in capital deduction for 2008</t>
  </si>
  <si>
    <t>Ontario Capital Tax rate decrease and increase in capital deduction for 2009</t>
  </si>
  <si>
    <t>Ontario Capital Tax rate decrease and increase in capital deduction for 2010</t>
  </si>
  <si>
    <t>Capital Cost Allowance class changes from 2006 EDR application for 2006</t>
  </si>
  <si>
    <t>Capital Cost Allowance class changes from 2006 EDR application for 2007</t>
  </si>
  <si>
    <t>Connections</t>
  </si>
  <si>
    <t>Capital Cost Allowance class changes from 2006 EDR application for 2008</t>
  </si>
  <si>
    <t>Capital Cost Allowance class changes from 2006 EDR application for 2009</t>
  </si>
  <si>
    <t>Capital Cost Allowance class changes from 2006 EDR application for 2010</t>
  </si>
  <si>
    <t>Capital Cost Allowance class changes from any prior application not recorded above.  Please provide details and explanation separately.</t>
  </si>
  <si>
    <t>Revise the deferral and variance account continuity schedule to include account 1592 as a group 2 account and enter all relevant information for transactions, adjustments, etc., for all relevant years.</t>
  </si>
  <si>
    <t>Describe each type of tax item that has been recorded in account 1592.</t>
  </si>
  <si>
    <t>Provide the calculations that show how each item was determined and provide any pertinent supporting evidence and documentation.</t>
  </si>
  <si>
    <t>Please state whether or not the applicant followed the guidance provided in the FAQ of July 2007.  If not, please provide an explanation.</t>
  </si>
  <si>
    <t>Identify the account balance as of December 31, 2010 as per the 2010 Audited Financial Statements.  Identify the account balance as of December 31, 2010 as per the April 2011 2.1.7 RRR filing to the Board.  Provide a reconciliation if the balances provided are not identical to each other and to the total shown on the continuity schedule.</t>
  </si>
  <si>
    <t>Complete the above table based on the answers to the previous.  Add rows as required to complete the analysis in an informative manner.  Please provide the completed table as a working Excel spreadsheet.</t>
  </si>
  <si>
    <t>Applicants must provide bill impacts for residential at 800 kWh and GS&lt;50kW at 2000 kWh. In addition, their filing should cover the range that is relevant</t>
  </si>
  <si>
    <r>
      <t xml:space="preserve">Ontario Clean Energy Benefit </t>
    </r>
    <r>
      <rPr>
        <b/>
        <i/>
        <vertAlign val="superscript"/>
        <sz val="10"/>
        <rFont val="Arial"/>
        <family val="2"/>
      </rPr>
      <t>1</t>
    </r>
  </si>
  <si>
    <r>
      <t>1</t>
    </r>
    <r>
      <rPr>
        <sz val="10"/>
        <rFont val="Arial"/>
        <family val="0"/>
      </rPr>
      <t xml:space="preserve"> Applicable to eligible customers only.  Refer to the </t>
    </r>
    <r>
      <rPr>
        <i/>
        <sz val="10"/>
        <rFont val="Arial"/>
        <family val="2"/>
      </rPr>
      <t>Ontario Clean Energy Benefit Act, 2010.</t>
    </r>
  </si>
  <si>
    <t>Street Lighting</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</si>
</sst>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
    <numFmt numFmtId="177" formatCode="&quot;$&quot;#,##0_);[Red]\(&quot;$&quot;#,##0\);&quot;$&quot;\ \-"/>
    <numFmt numFmtId="178" formatCode="0.0%"/>
    <numFmt numFmtId="179" formatCode="_-&quot;$&quot;* #,##0.0_-;\-&quot;$&quot;* #,##0.0_-;_-&quot;$&quot;* &quot;-&quot;??_-;_-@_-"/>
    <numFmt numFmtId="180" formatCode="_-&quot;$&quot;* #,##0_-;\-&quot;$&quot;* #,##0_-;_-&quot;$&quot;* &quot;-&quot;??_-;_-@_-"/>
    <numFmt numFmtId="181" formatCode="_-* #,##0.0_-;\-* #,##0.0_-;_-* &quot;-&quot;??_-;_-@_-"/>
    <numFmt numFmtId="182" formatCode="_-* #,##0_-;\-* #,##0_-;_-* &quot;-&quot;??_-;_-@_-"/>
    <numFmt numFmtId="183" formatCode="_-&quot;$&quot;* #,##0.0000_-;\-&quot;$&quot;* #,##0.0000_-;_-&quot;$&quot;* &quot;-&quot;??_-;_-@_-"/>
    <numFmt numFmtId="184" formatCode="_-&quot;$&quot;* #,##0.0000000_-;\-&quot;$&quot;* #,##0.0000000_-;_-&quot;$&quot;* &quot;-&quot;??_-;_-@_-"/>
    <numFmt numFmtId="185" formatCode="0.0"/>
    <numFmt numFmtId="186" formatCode="\(#\)\l"/>
    <numFmt numFmtId="187" formatCode="0.000%"/>
    <numFmt numFmtId="188" formatCode="0.0000%"/>
    <numFmt numFmtId="189" formatCode="_-&quot;$&quot;* #,##0.000_-;\-&quot;$&quot;* #,##0.000_-;_-&quot;$&quot;* &quot;-&quot;??_-;_-@_-"/>
    <numFmt numFmtId="190" formatCode="_-&quot;$&quot;* #,##0.00000_-;\-&quot;$&quot;* #,##0.00000_-;_-&quot;$&quot;* &quot;-&quot;??_-;_-@_-"/>
    <numFmt numFmtId="191" formatCode="_-&quot;$&quot;* #,##0.000000_-;\-&quot;$&quot;* #,##0.000000_-;_-&quot;$&quot;* &quot;-&quot;??_-;_-@_-"/>
    <numFmt numFmtId="192" formatCode="_-* #,##0.0000_-;\-* #,##0.0000_-;_-* &quot;-&quot;????_-;_-@_-"/>
    <numFmt numFmtId="193" formatCode="0.00000%"/>
    <numFmt numFmtId="194" formatCode="_-&quot;$&quot;* #,##0.00000_-;\-&quot;$&quot;* #,##0.00000_-;_-&quot;$&quot;* &quot;-&quot;?????_-;_-@_-"/>
    <numFmt numFmtId="195" formatCode="_-&quot;$&quot;* #,##0.000000_-;\-&quot;$&quot;* #,##0.000000_-;_-&quot;$&quot;* &quot;-&quot;??????_-;_-@_-"/>
    <numFmt numFmtId="196" formatCode="[$-1009]mmmm\ d\,\ yyyy"/>
    <numFmt numFmtId="197" formatCode="[$-1009]mmmm\ d\,\ yyyy;@"/>
    <numFmt numFmtId="198" formatCode="#,##0;[Red]\(#,##0\)"/>
    <numFmt numFmtId="199" formatCode="_(* #,##0_);_(* \(#,##0\);_(* \-??_);_(@_)"/>
    <numFmt numFmtId="200" formatCode="_(* #,##0.00_);_(* \(#,##0.00\);_(* \-??_);_(@_)"/>
    <numFmt numFmtId="201" formatCode="[$-409]dddd\,\ mmmm\ dd\,\ yyyy"/>
    <numFmt numFmtId="202" formatCode="_(* #,##0.0_);_(* \(#,##0.0\);_(* &quot;-&quot;_);_(@_)"/>
    <numFmt numFmtId="203" formatCode="_(* #,##0.00_);_(* \(#,##0.00\);_(* &quot;-&quot;_);_(@_)"/>
    <numFmt numFmtId="204" formatCode="_-&quot;$&quot;* #,##0.0_-;\-&quot;$&quot;* #,##0.0_-;_-&quot;$&quot;* &quot;-&quot;?_-;_-@_-"/>
    <numFmt numFmtId="205" formatCode="_-* #,##0.000_-;\-* #,##0.000_-;_-* &quot;-&quot;??_-;_-@_-"/>
    <numFmt numFmtId="206" formatCode="_-* #,##0.0_-;\-* #,##0.0_-;_-* &quot;-&quot;?_-;_-@_-"/>
    <numFmt numFmtId="207" formatCode="0.00_)"/>
    <numFmt numFmtId="208" formatCode="0.0000"/>
    <numFmt numFmtId="209" formatCode="#,##0.0000"/>
    <numFmt numFmtId="210" formatCode="_(* #,##0.00000000000000_);_(* \(#,##0.00000000000000\);_(* &quot;-&quot;??????????????_);_(@_)"/>
    <numFmt numFmtId="211" formatCode="_(* #,##0.0000_);_(* \(#,##0.0000\);_(* &quot;-&quot;????_);_(@_)"/>
    <numFmt numFmtId="212" formatCode="#,##0.00;[Red]\(#,##0.00\)"/>
    <numFmt numFmtId="213" formatCode="_-&quot;$&quot;* #,##0.0000000000_-;\-&quot;$&quot;* #,##0.0000000000_-;_-&quot;$&quot;* &quot;-&quot;??????????_-;_-@_-"/>
    <numFmt numFmtId="214" formatCode="_(&quot;$&quot;* #,##0.0_);_(&quot;$&quot;* \(#,##0.0\);_(&quot;$&quot;* &quot;-&quot;??_);_(@_)"/>
    <numFmt numFmtId="215" formatCode="_(&quot;$&quot;* #,##0_);_(&quot;$&quot;* \(#,##0\);_(&quot;$&quot;* &quot;-&quot;??_);_(@_)"/>
    <numFmt numFmtId="216" formatCode="_-* #,##0.0000_-;\-* #,##0.0000_-;_-* &quot;-&quot;??_-;_-@_-"/>
    <numFmt numFmtId="217" formatCode="_-* #,##0.00000_-;\-* #,##0.00000_-;_-* &quot;-&quot;??_-;_-@_-"/>
    <numFmt numFmtId="218" formatCode="_-* #,##0.000000_-;\-* #,##0.000000_-;_-* &quot;-&quot;??_-;_-@_-"/>
    <numFmt numFmtId="219" formatCode="0.000"/>
    <numFmt numFmtId="220" formatCode="0.00000"/>
    <numFmt numFmtId="221" formatCode="_(* #,##0.0_);_(* \(#,##0.0\);_(* &quot;-&quot;?_);_(@_)"/>
  </numFmts>
  <fonts count="31">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2"/>
      <name val="Arial"/>
      <family val="2"/>
    </font>
    <font>
      <b/>
      <sz val="14"/>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2"/>
      <name val="Algerian"/>
      <family val="5"/>
    </font>
    <font>
      <sz val="14"/>
      <name val="Arial"/>
      <family val="2"/>
    </font>
    <font>
      <i/>
      <sz val="10"/>
      <name val="Arial"/>
      <family val="2"/>
    </font>
    <font>
      <b/>
      <i/>
      <sz val="10"/>
      <name val="Arial"/>
      <family val="2"/>
    </font>
    <font>
      <vertAlign val="superscript"/>
      <sz val="10"/>
      <name val="Arial"/>
      <family val="2"/>
    </font>
    <font>
      <b/>
      <i/>
      <vertAlign val="superscript"/>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medium"/>
      <top style="thin"/>
      <bottom style="thin"/>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medium"/>
      <top style="double"/>
      <bottom style="medium"/>
    </border>
    <border>
      <left>
        <color indexed="63"/>
      </left>
      <right style="thin"/>
      <top style="medium"/>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74">
    <xf numFmtId="0" fontId="0" fillId="0" borderId="0" xfId="0" applyAlignment="1">
      <alignment/>
    </xf>
    <xf numFmtId="0" fontId="0" fillId="0" borderId="10" xfId="0" applyBorder="1" applyAlignment="1">
      <alignment/>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lignment/>
    </xf>
    <xf numFmtId="0" fontId="0" fillId="0" borderId="11" xfId="0" applyBorder="1" applyAlignment="1">
      <alignment/>
    </xf>
    <xf numFmtId="0" fontId="4" fillId="4" borderId="12" xfId="0" applyFont="1" applyFill="1" applyBorder="1" applyAlignment="1" applyProtection="1">
      <alignment/>
      <protection locked="0"/>
    </xf>
    <xf numFmtId="0" fontId="7" fillId="0" borderId="0" xfId="0" applyFont="1" applyAlignment="1" applyProtection="1">
      <alignment/>
      <protection/>
    </xf>
    <xf numFmtId="0" fontId="7" fillId="0" borderId="0" xfId="0" applyFont="1"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13"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4" xfId="0" applyFont="1" applyBorder="1" applyAlignment="1" applyProtection="1">
      <alignment horizontal="center"/>
      <protection/>
    </xf>
    <xf numFmtId="0" fontId="4" fillId="0" borderId="15" xfId="0" applyFont="1" applyBorder="1" applyAlignment="1" applyProtection="1" quotePrefix="1">
      <alignment horizontal="center"/>
      <protection/>
    </xf>
    <xf numFmtId="0" fontId="4" fillId="0" borderId="16" xfId="0" applyFont="1" applyBorder="1" applyAlignment="1" applyProtection="1" quotePrefix="1">
      <alignment horizontal="center"/>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83" fontId="0" fillId="4" borderId="10" xfId="44" applyNumberFormat="1" applyFill="1" applyBorder="1" applyAlignment="1" applyProtection="1">
      <alignment vertical="top"/>
      <protection locked="0"/>
    </xf>
    <xf numFmtId="0" fontId="0" fillId="0" borderId="10" xfId="0" applyFill="1" applyBorder="1" applyAlignment="1" applyProtection="1">
      <alignment vertical="top"/>
      <protection/>
    </xf>
    <xf numFmtId="44" fontId="0" fillId="0" borderId="11" xfId="44" applyBorder="1" applyAlignment="1" applyProtection="1">
      <alignment vertical="top"/>
      <protection/>
    </xf>
    <xf numFmtId="0" fontId="0" fillId="0" borderId="11" xfId="0" applyFill="1" applyBorder="1" applyAlignment="1" applyProtection="1">
      <alignment vertical="top"/>
      <protection/>
    </xf>
    <xf numFmtId="44" fontId="0" fillId="0" borderId="10" xfId="0" applyNumberFormat="1" applyBorder="1" applyAlignment="1" applyProtection="1">
      <alignment vertical="top"/>
      <protection/>
    </xf>
    <xf numFmtId="10" fontId="0" fillId="0" borderId="11" xfId="59" applyNumberFormat="1" applyBorder="1" applyAlignment="1" applyProtection="1">
      <alignment vertical="top"/>
      <protection/>
    </xf>
    <xf numFmtId="0" fontId="0" fillId="0" borderId="0" xfId="0" applyAlignment="1" applyProtection="1">
      <alignment vertical="top" wrapText="1"/>
      <protection/>
    </xf>
    <xf numFmtId="0" fontId="0" fillId="4" borderId="0" xfId="0" applyFill="1" applyAlignment="1" applyProtection="1">
      <alignment vertical="top"/>
      <protection locked="0"/>
    </xf>
    <xf numFmtId="0" fontId="0" fillId="4" borderId="10" xfId="0" applyFill="1" applyBorder="1" applyAlignment="1" applyProtection="1">
      <alignment vertical="top"/>
      <protection locked="0"/>
    </xf>
    <xf numFmtId="0" fontId="0" fillId="4" borderId="11" xfId="0" applyFill="1" applyBorder="1" applyAlignment="1" applyProtection="1">
      <alignment vertical="top"/>
      <protection locked="0"/>
    </xf>
    <xf numFmtId="0" fontId="0" fillId="0" borderId="0" xfId="0" applyFill="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44" fontId="4" fillId="0" borderId="19" xfId="0" applyNumberFormat="1" applyFont="1" applyBorder="1" applyAlignment="1" applyProtection="1">
      <alignment/>
      <protection/>
    </xf>
    <xf numFmtId="0" fontId="0" fillId="0" borderId="20" xfId="0" applyBorder="1" applyAlignment="1" applyProtection="1">
      <alignment/>
      <protection/>
    </xf>
    <xf numFmtId="44" fontId="4" fillId="0" borderId="17" xfId="0" applyNumberFormat="1" applyFont="1" applyBorder="1" applyAlignment="1" applyProtection="1">
      <alignment/>
      <protection/>
    </xf>
    <xf numFmtId="10" fontId="4" fillId="0" borderId="19" xfId="59" applyNumberFormat="1" applyFont="1" applyBorder="1" applyAlignment="1" applyProtection="1">
      <alignment/>
      <protection/>
    </xf>
    <xf numFmtId="0" fontId="0" fillId="0" borderId="0" xfId="0" applyAlignment="1" applyProtection="1">
      <alignment vertical="center"/>
      <protection/>
    </xf>
    <xf numFmtId="0" fontId="0" fillId="22" borderId="0" xfId="0" applyFill="1" applyAlignment="1" applyProtection="1">
      <alignment vertical="center"/>
      <protection locked="0"/>
    </xf>
    <xf numFmtId="0" fontId="0" fillId="0" borderId="0" xfId="0" applyFill="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44" fontId="0" fillId="0" borderId="10" xfId="0" applyNumberFormat="1" applyBorder="1" applyAlignment="1" applyProtection="1">
      <alignment vertical="center"/>
      <protection/>
    </xf>
    <xf numFmtId="0" fontId="0" fillId="0" borderId="0" xfId="0" applyAlignment="1" applyProtection="1">
      <alignment vertical="center" wrapText="1"/>
      <protection/>
    </xf>
    <xf numFmtId="0" fontId="4" fillId="0" borderId="0" xfId="0" applyFont="1" applyAlignment="1" applyProtection="1">
      <alignment vertical="top" wrapText="1"/>
      <protection/>
    </xf>
    <xf numFmtId="0" fontId="0" fillId="0" borderId="17" xfId="0" applyBorder="1" applyAlignment="1" applyProtection="1">
      <alignment vertical="top"/>
      <protection/>
    </xf>
    <xf numFmtId="0" fontId="0" fillId="0" borderId="18" xfId="0" applyBorder="1" applyAlignment="1" applyProtection="1">
      <alignment vertical="top"/>
      <protection/>
    </xf>
    <xf numFmtId="44" fontId="4" fillId="0" borderId="19" xfId="0" applyNumberFormat="1" applyFont="1" applyBorder="1" applyAlignment="1" applyProtection="1">
      <alignment vertical="top"/>
      <protection/>
    </xf>
    <xf numFmtId="0" fontId="4" fillId="0" borderId="0" xfId="0" applyFont="1" applyAlignment="1" applyProtection="1">
      <alignment vertical="top"/>
      <protection/>
    </xf>
    <xf numFmtId="0" fontId="4" fillId="0" borderId="17" xfId="0" applyFont="1" applyBorder="1" applyAlignment="1" applyProtection="1">
      <alignment vertical="top"/>
      <protection/>
    </xf>
    <xf numFmtId="0" fontId="4" fillId="0" borderId="20" xfId="0" applyFont="1" applyBorder="1" applyAlignment="1" applyProtection="1">
      <alignment vertical="top"/>
      <protection/>
    </xf>
    <xf numFmtId="44" fontId="4" fillId="0" borderId="17" xfId="0" applyNumberFormat="1" applyFont="1" applyBorder="1" applyAlignment="1" applyProtection="1">
      <alignment vertical="top"/>
      <protection/>
    </xf>
    <xf numFmtId="10" fontId="4" fillId="0" borderId="19" xfId="59" applyNumberFormat="1" applyFont="1" applyBorder="1" applyAlignment="1" applyProtection="1">
      <alignment vertical="top"/>
      <protection/>
    </xf>
    <xf numFmtId="184" fontId="0" fillId="4" borderId="10" xfId="44" applyNumberFormat="1" applyFill="1" applyBorder="1" applyAlignment="1" applyProtection="1">
      <alignment vertical="top"/>
      <protection locked="0"/>
    </xf>
    <xf numFmtId="0" fontId="0" fillId="4" borderId="0" xfId="0" applyFill="1" applyAlignment="1" applyProtection="1">
      <alignment vertical="top"/>
      <protection/>
    </xf>
    <xf numFmtId="0" fontId="0" fillId="4" borderId="10" xfId="0" applyFill="1" applyBorder="1" applyAlignment="1" applyProtection="1">
      <alignment vertical="top"/>
      <protection/>
    </xf>
    <xf numFmtId="0" fontId="0" fillId="4" borderId="11" xfId="0" applyFill="1" applyBorder="1" applyAlignment="1" applyProtection="1">
      <alignment vertical="top"/>
      <protection/>
    </xf>
    <xf numFmtId="0" fontId="4" fillId="0" borderId="0" xfId="0" applyFont="1" applyFill="1" applyAlignment="1" applyProtection="1">
      <alignment vertical="top"/>
      <protection/>
    </xf>
    <xf numFmtId="9" fontId="0" fillId="0" borderId="17" xfId="0" applyNumberFormat="1" applyBorder="1" applyAlignment="1" applyProtection="1">
      <alignment vertical="top"/>
      <protection/>
    </xf>
    <xf numFmtId="9" fontId="0" fillId="0" borderId="18" xfId="0" applyNumberFormat="1" applyBorder="1" applyAlignment="1" applyProtection="1">
      <alignment vertical="top"/>
      <protection/>
    </xf>
    <xf numFmtId="9" fontId="4" fillId="0" borderId="17" xfId="0" applyNumberFormat="1" applyFont="1" applyBorder="1" applyAlignment="1" applyProtection="1">
      <alignment vertical="top"/>
      <protection/>
    </xf>
    <xf numFmtId="9" fontId="4" fillId="0" borderId="20" xfId="0" applyNumberFormat="1" applyFont="1" applyBorder="1" applyAlignment="1" applyProtection="1">
      <alignment vertical="top"/>
      <protection/>
    </xf>
    <xf numFmtId="9" fontId="0" fillId="4" borderId="10" xfId="0" applyNumberFormat="1" applyFill="1" applyBorder="1" applyAlignment="1" applyProtection="1">
      <alignment vertical="top"/>
      <protection locked="0"/>
    </xf>
    <xf numFmtId="0" fontId="0" fillId="0" borderId="10" xfId="0" applyBorder="1" applyAlignment="1" applyProtection="1">
      <alignment vertical="top"/>
      <protection/>
    </xf>
    <xf numFmtId="44" fontId="0" fillId="0" borderId="11" xfId="0" applyNumberFormat="1" applyBorder="1" applyAlignment="1" applyProtection="1">
      <alignment vertical="top"/>
      <protection/>
    </xf>
    <xf numFmtId="0" fontId="0" fillId="0" borderId="11" xfId="0" applyBorder="1" applyAlignment="1" applyProtection="1">
      <alignment vertical="top"/>
      <protection/>
    </xf>
    <xf numFmtId="10" fontId="0" fillId="4" borderId="12" xfId="59" applyNumberFormat="1" applyFill="1" applyBorder="1" applyAlignment="1" applyProtection="1">
      <alignment/>
      <protection locked="0"/>
    </xf>
    <xf numFmtId="0" fontId="0" fillId="24" borderId="0" xfId="0" applyFill="1" applyBorder="1" applyAlignment="1" applyProtection="1">
      <alignment/>
      <protection/>
    </xf>
    <xf numFmtId="0" fontId="0" fillId="24" borderId="0" xfId="0" applyFill="1" applyBorder="1" applyAlignment="1" applyProtection="1">
      <alignment horizontal="left" indent="1"/>
      <protection/>
    </xf>
    <xf numFmtId="0" fontId="5" fillId="24" borderId="0" xfId="0" applyFont="1" applyFill="1" applyBorder="1" applyAlignment="1" applyProtection="1">
      <alignment/>
      <protection/>
    </xf>
    <xf numFmtId="0" fontId="26" fillId="24" borderId="0" xfId="0" applyFont="1" applyFill="1" applyBorder="1" applyAlignment="1" applyProtection="1">
      <alignment/>
      <protection/>
    </xf>
    <xf numFmtId="0" fontId="25" fillId="24" borderId="0" xfId="0" applyFont="1" applyFill="1" applyAlignment="1" applyProtection="1">
      <alignment vertical="top" wrapText="1"/>
      <protection/>
    </xf>
    <xf numFmtId="0" fontId="5" fillId="0" borderId="0" xfId="0" applyFont="1" applyAlignment="1" applyProtection="1">
      <alignment horizontal="center"/>
      <protection/>
    </xf>
    <xf numFmtId="0" fontId="4" fillId="0" borderId="0" xfId="0" applyFont="1" applyAlignment="1" applyProtection="1">
      <alignment horizontal="right"/>
      <protection/>
    </xf>
    <xf numFmtId="0" fontId="0" fillId="4" borderId="0" xfId="0" applyFill="1" applyAlignment="1">
      <alignment/>
    </xf>
    <xf numFmtId="180" fontId="0" fillId="4" borderId="21" xfId="44" applyNumberFormat="1" applyFont="1" applyFill="1" applyBorder="1" applyAlignment="1">
      <alignment/>
    </xf>
    <xf numFmtId="44" fontId="4" fillId="0" borderId="22" xfId="0" applyNumberFormat="1" applyFont="1" applyBorder="1" applyAlignment="1" applyProtection="1">
      <alignment vertical="top"/>
      <protection/>
    </xf>
    <xf numFmtId="10" fontId="4" fillId="0" borderId="22" xfId="59" applyNumberFormat="1" applyFont="1" applyBorder="1" applyAlignment="1" applyProtection="1">
      <alignment vertical="top"/>
      <protection/>
    </xf>
    <xf numFmtId="44" fontId="4" fillId="0" borderId="23" xfId="0" applyNumberFormat="1" applyFont="1" applyBorder="1" applyAlignment="1" applyProtection="1">
      <alignment vertical="top"/>
      <protection/>
    </xf>
    <xf numFmtId="0" fontId="4" fillId="0" borderId="24" xfId="0" applyFont="1" applyBorder="1" applyAlignment="1" applyProtection="1">
      <alignment vertical="top"/>
      <protection/>
    </xf>
    <xf numFmtId="0" fontId="4" fillId="0" borderId="23" xfId="0" applyFont="1" applyBorder="1" applyAlignment="1" applyProtection="1">
      <alignment vertical="top"/>
      <protection/>
    </xf>
    <xf numFmtId="0" fontId="0" fillId="0" borderId="20" xfId="0" applyBorder="1" applyAlignment="1" applyProtection="1">
      <alignment vertical="top"/>
      <protection/>
    </xf>
    <xf numFmtId="0" fontId="0" fillId="0" borderId="24" xfId="0" applyBorder="1" applyAlignment="1" applyProtection="1">
      <alignment vertical="top"/>
      <protection/>
    </xf>
    <xf numFmtId="0" fontId="0" fillId="0" borderId="23" xfId="0" applyBorder="1" applyAlignment="1" applyProtection="1">
      <alignment vertical="top"/>
      <protection/>
    </xf>
    <xf numFmtId="0" fontId="28" fillId="0" borderId="0" xfId="0" applyFont="1" applyAlignment="1" applyProtection="1">
      <alignment vertical="top" wrapText="1"/>
      <protection/>
    </xf>
    <xf numFmtId="0" fontId="0" fillId="0" borderId="0" xfId="0" applyAlignment="1">
      <alignment horizontal="left"/>
    </xf>
    <xf numFmtId="180" fontId="0" fillId="0" borderId="25" xfId="44" applyNumberFormat="1" applyFont="1" applyBorder="1" applyAlignment="1">
      <alignment/>
    </xf>
    <xf numFmtId="0" fontId="0" fillId="0" borderId="0" xfId="0" applyFill="1" applyAlignment="1">
      <alignment/>
    </xf>
    <xf numFmtId="0" fontId="0" fillId="0" borderId="0" xfId="0" applyAlignment="1">
      <alignment wrapText="1"/>
    </xf>
    <xf numFmtId="0" fontId="0" fillId="0" borderId="0" xfId="0" applyFont="1" applyAlignment="1">
      <alignment/>
    </xf>
    <xf numFmtId="0" fontId="0" fillId="0" borderId="0" xfId="0" applyAlignment="1">
      <alignment horizontal="left" wrapText="1"/>
    </xf>
    <xf numFmtId="0" fontId="0" fillId="0" borderId="26" xfId="0" applyBorder="1" applyAlignment="1">
      <alignment/>
    </xf>
    <xf numFmtId="0" fontId="0" fillId="0" borderId="27" xfId="0" applyBorder="1" applyAlignment="1">
      <alignment/>
    </xf>
    <xf numFmtId="180" fontId="0" fillId="4" borderId="28" xfId="44" applyNumberFormat="1" applyFont="1" applyFill="1" applyBorder="1" applyAlignment="1">
      <alignment/>
    </xf>
    <xf numFmtId="0" fontId="4" fillId="0" borderId="0" xfId="0" applyFont="1" applyAlignment="1">
      <alignment horizontal="center"/>
    </xf>
    <xf numFmtId="0" fontId="4" fillId="4" borderId="29" xfId="0" applyFont="1" applyFill="1" applyBorder="1" applyAlignment="1">
      <alignment horizontal="center"/>
    </xf>
    <xf numFmtId="0" fontId="0" fillId="0" borderId="0" xfId="0" applyFont="1" applyAlignment="1">
      <alignment wrapText="1"/>
    </xf>
    <xf numFmtId="197" fontId="0" fillId="4" borderId="0" xfId="0" applyNumberFormat="1" applyFill="1" applyAlignment="1">
      <alignment/>
    </xf>
    <xf numFmtId="0" fontId="4" fillId="0" borderId="30" xfId="0" applyFont="1" applyFill="1" applyBorder="1" applyAlignment="1">
      <alignment horizontal="center"/>
    </xf>
    <xf numFmtId="0" fontId="0" fillId="0" borderId="0" xfId="0" applyFont="1" applyAlignment="1" applyProtection="1">
      <alignment horizontal="right"/>
      <protection/>
    </xf>
    <xf numFmtId="0" fontId="0" fillId="0" borderId="0" xfId="0" applyFont="1" applyAlignment="1" applyProtection="1">
      <alignment/>
      <protection/>
    </xf>
    <xf numFmtId="183" fontId="0" fillId="4" borderId="10" xfId="44" applyNumberFormat="1" applyFont="1" applyFill="1" applyBorder="1" applyAlignment="1" applyProtection="1">
      <alignment vertical="top"/>
      <protection locked="0"/>
    </xf>
    <xf numFmtId="44" fontId="0" fillId="0" borderId="11" xfId="44" applyFont="1" applyBorder="1" applyAlignment="1" applyProtection="1">
      <alignment vertical="top"/>
      <protection/>
    </xf>
    <xf numFmtId="10" fontId="0" fillId="0" borderId="11" xfId="59" applyNumberFormat="1" applyFont="1" applyBorder="1" applyAlignment="1" applyProtection="1">
      <alignment vertical="top"/>
      <protection/>
    </xf>
    <xf numFmtId="183" fontId="0" fillId="4" borderId="10" xfId="44" applyNumberFormat="1" applyFont="1" applyFill="1" applyBorder="1" applyAlignment="1" applyProtection="1">
      <alignment vertical="center"/>
      <protection locked="0"/>
    </xf>
    <xf numFmtId="44" fontId="0" fillId="0" borderId="11" xfId="44" applyFont="1" applyBorder="1" applyAlignment="1" applyProtection="1">
      <alignment vertical="center"/>
      <protection/>
    </xf>
    <xf numFmtId="10" fontId="0" fillId="0" borderId="11" xfId="59" applyNumberFormat="1" applyFont="1" applyBorder="1" applyAlignment="1" applyProtection="1">
      <alignment vertical="center"/>
      <protection/>
    </xf>
    <xf numFmtId="0" fontId="4" fillId="0" borderId="31" xfId="0" applyFont="1" applyFill="1" applyBorder="1" applyAlignment="1">
      <alignment horizontal="center"/>
    </xf>
    <xf numFmtId="0" fontId="29" fillId="0" borderId="0" xfId="0" applyFont="1" applyAlignment="1" applyProtection="1">
      <alignment/>
      <protection/>
    </xf>
    <xf numFmtId="183" fontId="0" fillId="4" borderId="10" xfId="44" applyNumberFormat="1" applyFont="1" applyFill="1" applyBorder="1" applyAlignment="1" applyProtection="1">
      <alignment vertical="top"/>
      <protection locked="0"/>
    </xf>
    <xf numFmtId="44" fontId="0" fillId="0" borderId="11" xfId="44" applyFont="1" applyBorder="1" applyAlignment="1" applyProtection="1">
      <alignment vertical="top"/>
      <protection/>
    </xf>
    <xf numFmtId="10" fontId="0" fillId="0" borderId="11" xfId="59" applyNumberFormat="1" applyFont="1" applyBorder="1" applyAlignment="1" applyProtection="1">
      <alignment vertical="top"/>
      <protection/>
    </xf>
    <xf numFmtId="183" fontId="0" fillId="4" borderId="10" xfId="44" applyNumberFormat="1" applyFont="1" applyFill="1" applyBorder="1" applyAlignment="1" applyProtection="1">
      <alignment vertical="center"/>
      <protection locked="0"/>
    </xf>
    <xf numFmtId="44" fontId="0" fillId="0" borderId="11" xfId="44" applyFont="1" applyBorder="1" applyAlignment="1" applyProtection="1">
      <alignment vertical="center"/>
      <protection/>
    </xf>
    <xf numFmtId="10" fontId="0" fillId="0" borderId="11" xfId="59" applyNumberFormat="1" applyFont="1" applyBorder="1" applyAlignment="1" applyProtection="1">
      <alignment vertical="center"/>
      <protection/>
    </xf>
    <xf numFmtId="9" fontId="0" fillId="0" borderId="0" xfId="59" applyFont="1" applyAlignment="1" applyProtection="1">
      <alignment/>
      <protection/>
    </xf>
    <xf numFmtId="0" fontId="0" fillId="4" borderId="0" xfId="0" applyFont="1" applyFill="1" applyAlignment="1" applyProtection="1">
      <alignment vertical="top"/>
      <protection locked="0"/>
    </xf>
    <xf numFmtId="43" fontId="0" fillId="0" borderId="0" xfId="42" applyFont="1" applyAlignment="1" applyProtection="1">
      <alignment/>
      <protection/>
    </xf>
    <xf numFmtId="171" fontId="0" fillId="0" borderId="0" xfId="0" applyNumberFormat="1" applyAlignment="1" applyProtection="1">
      <alignment/>
      <protection/>
    </xf>
    <xf numFmtId="10" fontId="0" fillId="0" borderId="0" xfId="59" applyNumberFormat="1" applyFont="1" applyAlignment="1" applyProtection="1">
      <alignment/>
      <protection/>
    </xf>
    <xf numFmtId="43" fontId="0" fillId="0" borderId="0" xfId="42" applyFont="1" applyAlignment="1" applyProtection="1">
      <alignment/>
      <protection/>
    </xf>
    <xf numFmtId="10" fontId="0" fillId="4" borderId="12" xfId="59" applyNumberFormat="1" applyFont="1" applyFill="1" applyBorder="1" applyAlignment="1" applyProtection="1">
      <alignment/>
      <protection/>
    </xf>
    <xf numFmtId="10" fontId="0" fillId="0" borderId="0" xfId="59" applyNumberFormat="1" applyAlignment="1" applyProtection="1">
      <alignment/>
      <protection/>
    </xf>
    <xf numFmtId="9" fontId="0" fillId="0" borderId="0" xfId="59" applyAlignment="1" applyProtection="1">
      <alignment/>
      <protection/>
    </xf>
    <xf numFmtId="9" fontId="0" fillId="0" borderId="0" xfId="59" applyFont="1" applyAlignment="1" applyProtection="1">
      <alignment/>
      <protection/>
    </xf>
    <xf numFmtId="0" fontId="4" fillId="0" borderId="0" xfId="0" applyFont="1" applyFill="1" applyBorder="1" applyAlignment="1" applyProtection="1">
      <alignment/>
      <protection locked="0"/>
    </xf>
    <xf numFmtId="218" fontId="0" fillId="0" borderId="0" xfId="42" applyNumberFormat="1" applyFont="1" applyAlignment="1" applyProtection="1">
      <alignment/>
      <protection/>
    </xf>
    <xf numFmtId="218" fontId="0" fillId="0" borderId="0" xfId="0" applyNumberFormat="1" applyAlignment="1" applyProtection="1">
      <alignment/>
      <protection/>
    </xf>
    <xf numFmtId="220" fontId="0" fillId="0" borderId="0" xfId="0" applyNumberFormat="1" applyAlignment="1" applyProtection="1">
      <alignment/>
      <protection/>
    </xf>
    <xf numFmtId="0" fontId="0" fillId="0" borderId="16" xfId="0" applyBorder="1" applyAlignment="1">
      <alignment wrapText="1"/>
    </xf>
    <xf numFmtId="0" fontId="4" fillId="0" borderId="0" xfId="0" applyFont="1" applyAlignment="1" applyProtection="1">
      <alignment horizontal="center" wrapText="1"/>
      <protection/>
    </xf>
    <xf numFmtId="0" fontId="0" fillId="0" borderId="0" xfId="0" applyAlignment="1">
      <alignment horizontal="center" wrapText="1"/>
    </xf>
    <xf numFmtId="0" fontId="4" fillId="0" borderId="10" xfId="0" applyFont="1" applyFill="1" applyBorder="1" applyAlignment="1" applyProtection="1">
      <alignment horizontal="center" wrapText="1"/>
      <protection/>
    </xf>
    <xf numFmtId="0" fontId="0" fillId="0" borderId="15" xfId="0" applyBorder="1" applyAlignment="1">
      <alignment wrapText="1"/>
    </xf>
    <xf numFmtId="0" fontId="4" fillId="0" borderId="11" xfId="0" applyFont="1" applyFill="1" applyBorder="1" applyAlignment="1" applyProtection="1">
      <alignment horizontal="center" wrapText="1"/>
      <protection/>
    </xf>
    <xf numFmtId="0" fontId="4" fillId="0" borderId="32" xfId="0" applyFont="1" applyBorder="1" applyAlignment="1" applyProtection="1">
      <alignment horizontal="center"/>
      <protection/>
    </xf>
    <xf numFmtId="0" fontId="4" fillId="0" borderId="33" xfId="0" applyFont="1" applyBorder="1" applyAlignment="1" applyProtection="1">
      <alignment horizontal="center"/>
      <protection/>
    </xf>
    <xf numFmtId="0" fontId="4" fillId="0" borderId="34" xfId="0" applyFont="1" applyBorder="1" applyAlignment="1" applyProtection="1">
      <alignment horizontal="center"/>
      <protection/>
    </xf>
    <xf numFmtId="10" fontId="0" fillId="0" borderId="0" xfId="59" applyNumberFormat="1" applyFont="1" applyAlignment="1" applyProtection="1">
      <alignment/>
      <protection/>
    </xf>
    <xf numFmtId="0" fontId="5" fillId="4" borderId="0" xfId="0" applyFont="1" applyFill="1" applyAlignment="1" applyProtection="1">
      <alignment horizontal="center"/>
      <protection/>
    </xf>
    <xf numFmtId="0" fontId="5" fillId="4" borderId="0" xfId="0" applyFont="1" applyFill="1" applyAlignment="1" applyProtection="1">
      <alignment horizontal="left"/>
      <protection/>
    </xf>
    <xf numFmtId="0" fontId="0" fillId="0" borderId="0" xfId="0" applyAlignment="1">
      <alignment horizontal="left" wrapText="1"/>
    </xf>
    <xf numFmtId="0" fontId="6" fillId="0" borderId="0" xfId="0" applyFont="1" applyAlignment="1">
      <alignment horizontal="center"/>
    </xf>
    <xf numFmtId="0" fontId="0" fillId="0" borderId="0" xfId="0" applyAlignment="1">
      <alignment wrapText="1"/>
    </xf>
    <xf numFmtId="0" fontId="0" fillId="0" borderId="0" xfId="0" applyFont="1" applyAlignment="1">
      <alignment wrapText="1"/>
    </xf>
    <xf numFmtId="0" fontId="0" fillId="0" borderId="0" xfId="0" applyFont="1" applyAlignment="1">
      <alignment vertical="top" wrapText="1"/>
    </xf>
    <xf numFmtId="0" fontId="0" fillId="4" borderId="0" xfId="0" applyFill="1" applyAlignment="1">
      <alignment horizontal="left"/>
    </xf>
    <xf numFmtId="0" fontId="0" fillId="0" borderId="35" xfId="0" applyBorder="1" applyAlignment="1">
      <alignment horizontal="left" wrapText="1"/>
    </xf>
    <xf numFmtId="0" fontId="0" fillId="0" borderId="36" xfId="0" applyBorder="1" applyAlignment="1">
      <alignment horizontal="left" wrapText="1"/>
    </xf>
    <xf numFmtId="0" fontId="0" fillId="0" borderId="14" xfId="0" applyBorder="1" applyAlignment="1">
      <alignment horizontal="left" wrapText="1"/>
    </xf>
    <xf numFmtId="0" fontId="0" fillId="0" borderId="37"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8"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4" fillId="0" borderId="39" xfId="0" applyFont="1" applyBorder="1" applyAlignment="1">
      <alignment horizontal="left" wrapText="1"/>
    </xf>
    <xf numFmtId="0" fontId="4" fillId="0" borderId="40" xfId="0" applyFont="1" applyBorder="1" applyAlignment="1">
      <alignment horizontal="left" wrapText="1"/>
    </xf>
    <xf numFmtId="0" fontId="4" fillId="0" borderId="24" xfId="0" applyFont="1" applyBorder="1" applyAlignment="1">
      <alignment horizontal="left" wrapText="1"/>
    </xf>
    <xf numFmtId="0" fontId="4" fillId="0" borderId="0" xfId="0" applyFont="1" applyAlignment="1">
      <alignment horizontal="center" vertical="top"/>
    </xf>
    <xf numFmtId="0" fontId="4" fillId="0" borderId="0" xfId="0" applyFont="1" applyAlignment="1">
      <alignment horizontal="center" vertical="top" wrapText="1"/>
    </xf>
    <xf numFmtId="0" fontId="0" fillId="0" borderId="0" xfId="0" applyFont="1" applyAlignment="1">
      <alignment horizontal="left" wrapText="1"/>
    </xf>
    <xf numFmtId="0" fontId="0" fillId="4" borderId="41" xfId="0" applyFill="1" applyBorder="1" applyAlignment="1">
      <alignment horizontal="left" wrapText="1"/>
    </xf>
    <xf numFmtId="0" fontId="0" fillId="4" borderId="42" xfId="0" applyFill="1" applyBorder="1" applyAlignment="1">
      <alignment horizontal="left" wrapText="1"/>
    </xf>
    <xf numFmtId="0" fontId="0" fillId="4" borderId="43" xfId="0" applyFill="1" applyBorder="1" applyAlignment="1">
      <alignment horizontal="left"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38" xfId="0" applyFont="1" applyFill="1" applyBorder="1" applyAlignment="1">
      <alignment vertical="center" wrapText="1"/>
    </xf>
    <xf numFmtId="0" fontId="4" fillId="0" borderId="0" xfId="0" applyFont="1" applyFill="1" applyBorder="1" applyAlignment="1">
      <alignment vertical="center" wrapText="1"/>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197" fontId="0" fillId="4" borderId="0" xfId="0" applyNumberFormat="1" applyFill="1" applyAlignment="1">
      <alignment horizontal="left"/>
    </xf>
    <xf numFmtId="0" fontId="26" fillId="24" borderId="0" xfId="0" applyFont="1" applyFill="1" applyBorder="1" applyAlignment="1" applyProtection="1">
      <alignment horizontal="left" indent="7"/>
      <protection/>
    </xf>
    <xf numFmtId="0" fontId="5" fillId="4" borderId="0" xfId="0" applyFont="1" applyFill="1" applyAlignment="1" applyProtection="1">
      <alignment horizontal="center"/>
      <protection/>
    </xf>
    <xf numFmtId="0" fontId="6"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6</xdr:col>
      <xdr:colOff>571500</xdr:colOff>
      <xdr:row>37</xdr:row>
      <xdr:rowOff>114300</xdr:rowOff>
    </xdr:to>
    <xdr:pic>
      <xdr:nvPicPr>
        <xdr:cNvPr id="1" name="Picture 1"/>
        <xdr:cNvPicPr preferRelativeResize="1">
          <a:picLocks noChangeAspect="1"/>
        </xdr:cNvPicPr>
      </xdr:nvPicPr>
      <xdr:blipFill>
        <a:blip r:embed="rId1"/>
        <a:stretch>
          <a:fillRect/>
        </a:stretch>
      </xdr:blipFill>
      <xdr:spPr>
        <a:xfrm>
          <a:off x="180975" y="1571625"/>
          <a:ext cx="84677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H51"/>
  <sheetViews>
    <sheetView showGridLines="0" tabSelected="1" zoomScalePageLayoutView="0" workbookViewId="0" topLeftCell="A10">
      <selection activeCell="F30" sqref="F30"/>
    </sheetView>
  </sheetViews>
  <sheetFormatPr defaultColWidth="9.140625" defaultRowHeight="12.75"/>
  <cols>
    <col min="1" max="1" width="2.8515625" style="0" customWidth="1"/>
    <col min="2" max="2" width="5.00390625" style="0" customWidth="1"/>
    <col min="3" max="3" width="62.00390625" style="0" customWidth="1"/>
    <col min="4" max="4" width="12.7109375" style="0" bestFit="1" customWidth="1"/>
    <col min="5" max="5" width="1.7109375" style="0" customWidth="1"/>
    <col min="6" max="6" width="16.7109375" style="0" customWidth="1"/>
    <col min="7" max="7" width="13.7109375" style="0" customWidth="1"/>
  </cols>
  <sheetData>
    <row r="1" spans="4:7" ht="12.75">
      <c r="D1" s="4" t="s">
        <v>3</v>
      </c>
      <c r="F1" s="73" t="s">
        <v>69</v>
      </c>
      <c r="G1" s="86"/>
    </row>
    <row r="2" spans="4:7" ht="12.75">
      <c r="D2" s="4" t="s">
        <v>4</v>
      </c>
      <c r="F2" s="73" t="s">
        <v>9</v>
      </c>
      <c r="G2" s="86"/>
    </row>
    <row r="3" spans="4:7" ht="12.75">
      <c r="D3" s="4" t="s">
        <v>5</v>
      </c>
      <c r="F3" s="73" t="s">
        <v>10</v>
      </c>
      <c r="G3" s="86"/>
    </row>
    <row r="4" spans="4:7" ht="12.75">
      <c r="D4" s="4" t="s">
        <v>6</v>
      </c>
      <c r="F4" s="73" t="s">
        <v>11</v>
      </c>
      <c r="G4" s="86"/>
    </row>
    <row r="5" spans="4:7" ht="12.75">
      <c r="D5" s="4" t="s">
        <v>7</v>
      </c>
      <c r="F5" s="73" t="s">
        <v>12</v>
      </c>
      <c r="G5" s="86"/>
    </row>
    <row r="6" spans="4:7" ht="12.75">
      <c r="D6" s="4"/>
      <c r="G6" s="86"/>
    </row>
    <row r="7" spans="4:7" ht="12.75">
      <c r="D7" s="4" t="s">
        <v>8</v>
      </c>
      <c r="F7" s="96"/>
      <c r="G7" s="86"/>
    </row>
    <row r="9" spans="2:6" ht="17.25">
      <c r="B9" s="141" t="s">
        <v>58</v>
      </c>
      <c r="C9" s="141"/>
      <c r="D9" s="141"/>
      <c r="E9" s="141"/>
      <c r="F9" s="141"/>
    </row>
    <row r="10" spans="2:6" ht="17.25">
      <c r="B10" s="141" t="s">
        <v>78</v>
      </c>
      <c r="C10" s="141"/>
      <c r="D10" s="141"/>
      <c r="E10" s="141"/>
      <c r="F10" s="141"/>
    </row>
    <row r="12" spans="2:6" ht="27" customHeight="1">
      <c r="B12" s="142" t="s">
        <v>67</v>
      </c>
      <c r="C12" s="142"/>
      <c r="D12" s="142"/>
      <c r="E12" s="142"/>
      <c r="F12" s="142"/>
    </row>
    <row r="13" ht="13.5" thickBot="1"/>
    <row r="14" spans="2:6" ht="12.75">
      <c r="B14" s="164" t="s">
        <v>80</v>
      </c>
      <c r="C14" s="165"/>
      <c r="D14" s="165"/>
      <c r="E14" s="90"/>
      <c r="F14" s="97" t="s">
        <v>81</v>
      </c>
    </row>
    <row r="15" spans="2:6" ht="12.75">
      <c r="B15" s="166"/>
      <c r="C15" s="167"/>
      <c r="D15" s="167"/>
      <c r="E15" s="5"/>
      <c r="F15" s="106" t="s">
        <v>82</v>
      </c>
    </row>
    <row r="16" spans="2:6" ht="12.75">
      <c r="B16" s="168"/>
      <c r="C16" s="169"/>
      <c r="D16" s="169"/>
      <c r="E16" s="5"/>
      <c r="F16" s="94" t="s">
        <v>70</v>
      </c>
    </row>
    <row r="17" spans="2:6" ht="27" customHeight="1">
      <c r="B17" s="152" t="s">
        <v>83</v>
      </c>
      <c r="C17" s="153"/>
      <c r="D17" s="154"/>
      <c r="E17" s="1"/>
      <c r="F17" s="74"/>
    </row>
    <row r="18" spans="2:6" ht="39.75" customHeight="1">
      <c r="B18" s="149" t="s">
        <v>68</v>
      </c>
      <c r="C18" s="150"/>
      <c r="D18" s="151"/>
      <c r="E18" s="1"/>
      <c r="F18" s="74"/>
    </row>
    <row r="19" spans="2:6" ht="13.5" customHeight="1">
      <c r="B19" s="152" t="s">
        <v>84</v>
      </c>
      <c r="C19" s="153"/>
      <c r="D19" s="154"/>
      <c r="E19" s="1"/>
      <c r="F19" s="74"/>
    </row>
    <row r="20" spans="2:6" ht="13.5" customHeight="1">
      <c r="B20" s="146" t="s">
        <v>85</v>
      </c>
      <c r="C20" s="147"/>
      <c r="D20" s="148"/>
      <c r="E20" s="1"/>
      <c r="F20" s="74"/>
    </row>
    <row r="21" spans="2:6" ht="13.5" customHeight="1">
      <c r="B21" s="149" t="s">
        <v>86</v>
      </c>
      <c r="C21" s="150"/>
      <c r="D21" s="151"/>
      <c r="E21" s="1"/>
      <c r="F21" s="74"/>
    </row>
    <row r="22" spans="2:6" ht="13.5" customHeight="1">
      <c r="B22" s="152" t="s">
        <v>87</v>
      </c>
      <c r="C22" s="153"/>
      <c r="D22" s="154"/>
      <c r="E22" s="1"/>
      <c r="F22" s="74"/>
    </row>
    <row r="23" spans="2:6" ht="13.5" customHeight="1">
      <c r="B23" s="146" t="s">
        <v>88</v>
      </c>
      <c r="C23" s="147"/>
      <c r="D23" s="148"/>
      <c r="E23" s="1"/>
      <c r="F23" s="74"/>
    </row>
    <row r="24" spans="2:6" ht="13.5" customHeight="1">
      <c r="B24" s="146" t="s">
        <v>89</v>
      </c>
      <c r="C24" s="147"/>
      <c r="D24" s="148"/>
      <c r="E24" s="1"/>
      <c r="F24" s="74"/>
    </row>
    <row r="25" spans="2:6" ht="13.5" customHeight="1">
      <c r="B25" s="149" t="s">
        <v>91</v>
      </c>
      <c r="C25" s="150"/>
      <c r="D25" s="151"/>
      <c r="E25" s="1"/>
      <c r="F25" s="74"/>
    </row>
    <row r="26" spans="2:6" ht="13.5" customHeight="1">
      <c r="B26" s="152" t="s">
        <v>92</v>
      </c>
      <c r="C26" s="153"/>
      <c r="D26" s="154"/>
      <c r="E26" s="1"/>
      <c r="F26" s="74"/>
    </row>
    <row r="27" spans="2:6" ht="13.5" customHeight="1">
      <c r="B27" s="149" t="s">
        <v>93</v>
      </c>
      <c r="C27" s="150"/>
      <c r="D27" s="151"/>
      <c r="E27" s="1"/>
      <c r="F27" s="74"/>
    </row>
    <row r="28" spans="2:6" ht="27" customHeight="1">
      <c r="B28" s="149" t="s">
        <v>94</v>
      </c>
      <c r="C28" s="150"/>
      <c r="D28" s="151"/>
      <c r="E28" s="1"/>
      <c r="F28" s="74"/>
    </row>
    <row r="29" spans="2:6" ht="13.5" thickBot="1">
      <c r="B29" s="161" t="s">
        <v>1</v>
      </c>
      <c r="C29" s="162"/>
      <c r="D29" s="163"/>
      <c r="E29" s="1"/>
      <c r="F29" s="92">
        <v>15945.7</v>
      </c>
    </row>
    <row r="30" spans="2:6" ht="14.25" thickBot="1" thickTop="1">
      <c r="B30" s="155" t="s">
        <v>2</v>
      </c>
      <c r="C30" s="156"/>
      <c r="D30" s="157"/>
      <c r="E30" s="91"/>
      <c r="F30" s="85">
        <f>SUM(F17:F29)</f>
        <v>15945.7</v>
      </c>
    </row>
    <row r="32" spans="2:6" ht="12.75">
      <c r="B32" s="4" t="s">
        <v>15</v>
      </c>
      <c r="C32" s="4"/>
      <c r="D32" s="4"/>
      <c r="E32" s="88"/>
      <c r="F32" s="88"/>
    </row>
    <row r="33" spans="2:6" ht="12.75">
      <c r="B33" s="88"/>
      <c r="C33" s="88"/>
      <c r="D33" s="88"/>
      <c r="E33" s="88"/>
      <c r="F33" s="88"/>
    </row>
    <row r="34" spans="2:7" ht="13.5" customHeight="1">
      <c r="B34" s="158" t="str">
        <f>"(1)"</f>
        <v>(1)</v>
      </c>
      <c r="C34" s="160" t="s">
        <v>95</v>
      </c>
      <c r="D34" s="143"/>
      <c r="E34" s="143"/>
      <c r="F34" s="143"/>
      <c r="G34" s="89"/>
    </row>
    <row r="35" spans="2:7" ht="12.75">
      <c r="B35" s="158"/>
      <c r="C35" s="143"/>
      <c r="D35" s="143"/>
      <c r="E35" s="143"/>
      <c r="F35" s="143"/>
      <c r="G35" s="87"/>
    </row>
    <row r="36" spans="2:6" ht="12.75">
      <c r="B36" s="93"/>
      <c r="C36" s="88"/>
      <c r="D36" s="88"/>
      <c r="E36" s="88"/>
      <c r="F36" s="88"/>
    </row>
    <row r="37" spans="2:7" ht="12.75">
      <c r="B37" s="158" t="str">
        <f>"(2)"</f>
        <v>(2)</v>
      </c>
      <c r="C37" s="160" t="s">
        <v>96</v>
      </c>
      <c r="D37" s="160"/>
      <c r="E37" s="160"/>
      <c r="F37" s="160"/>
      <c r="G37" s="84"/>
    </row>
    <row r="38" spans="2:6" ht="12.75">
      <c r="B38" s="158"/>
      <c r="C38" s="88"/>
      <c r="D38" s="88"/>
      <c r="E38" s="88"/>
      <c r="F38" s="88"/>
    </row>
    <row r="39" spans="2:7" ht="12.75" customHeight="1">
      <c r="B39" s="158" t="str">
        <f>"(3)"</f>
        <v>(3)</v>
      </c>
      <c r="C39" s="144" t="s">
        <v>97</v>
      </c>
      <c r="D39" s="144"/>
      <c r="E39" s="144"/>
      <c r="F39" s="144"/>
      <c r="G39" s="87"/>
    </row>
    <row r="40" spans="2:7" ht="12.75">
      <c r="B40" s="158"/>
      <c r="C40" s="144"/>
      <c r="D40" s="144"/>
      <c r="E40" s="144"/>
      <c r="F40" s="144"/>
      <c r="G40" s="87"/>
    </row>
    <row r="41" spans="2:6" ht="12.75">
      <c r="B41" s="93"/>
      <c r="C41" s="88"/>
      <c r="D41" s="88"/>
      <c r="E41" s="88"/>
      <c r="F41" s="88"/>
    </row>
    <row r="42" spans="2:8" ht="12.75" customHeight="1">
      <c r="B42" s="158" t="str">
        <f>"(4)"</f>
        <v>(4)</v>
      </c>
      <c r="C42" s="144" t="s">
        <v>98</v>
      </c>
      <c r="D42" s="144"/>
      <c r="E42" s="144"/>
      <c r="F42" s="144"/>
      <c r="G42" s="87"/>
      <c r="H42" s="87"/>
    </row>
    <row r="43" spans="2:8" ht="12.75">
      <c r="B43" s="158"/>
      <c r="C43" s="143"/>
      <c r="D43" s="143"/>
      <c r="E43" s="143"/>
      <c r="F43" s="143"/>
      <c r="G43" s="87"/>
      <c r="H43" s="87"/>
    </row>
    <row r="44" spans="2:8" ht="12.75" customHeight="1">
      <c r="B44" s="93"/>
      <c r="C44" s="95"/>
      <c r="D44" s="95"/>
      <c r="E44" s="95"/>
      <c r="F44" s="95"/>
      <c r="G44" s="87"/>
      <c r="H44" s="87"/>
    </row>
    <row r="45" spans="2:8" ht="12.75">
      <c r="B45" s="159" t="str">
        <f>"(5)"</f>
        <v>(5)</v>
      </c>
      <c r="C45" s="144" t="s">
        <v>99</v>
      </c>
      <c r="D45" s="144"/>
      <c r="E45" s="144"/>
      <c r="F45" s="144"/>
      <c r="G45" s="87"/>
      <c r="H45" s="87"/>
    </row>
    <row r="46" spans="2:8" ht="12.75">
      <c r="B46" s="159"/>
      <c r="C46" s="144"/>
      <c r="D46" s="144"/>
      <c r="E46" s="144"/>
      <c r="F46" s="144"/>
      <c r="G46" s="87"/>
      <c r="H46" s="87"/>
    </row>
    <row r="47" spans="2:8" ht="12.75">
      <c r="B47" s="159"/>
      <c r="C47" s="143"/>
      <c r="D47" s="143"/>
      <c r="E47" s="143"/>
      <c r="F47" s="143"/>
      <c r="G47" s="87"/>
      <c r="H47" s="87"/>
    </row>
    <row r="48" spans="2:8" ht="12.75">
      <c r="B48" s="159"/>
      <c r="C48" s="143"/>
      <c r="D48" s="143"/>
      <c r="E48" s="143"/>
      <c r="F48" s="143"/>
      <c r="G48" s="87"/>
      <c r="H48" s="87"/>
    </row>
    <row r="49" spans="2:6" ht="12.75">
      <c r="B49" s="93"/>
      <c r="C49" s="88"/>
      <c r="D49" s="88"/>
      <c r="E49" s="88"/>
      <c r="F49" s="88"/>
    </row>
    <row r="50" spans="2:8" ht="12.75" customHeight="1">
      <c r="B50" s="158" t="str">
        <f>"(6)"</f>
        <v>(6)</v>
      </c>
      <c r="C50" s="144" t="s">
        <v>100</v>
      </c>
      <c r="D50" s="144"/>
      <c r="E50" s="144"/>
      <c r="F50" s="144"/>
      <c r="G50" s="87"/>
      <c r="H50" s="87"/>
    </row>
    <row r="51" spans="2:8" ht="12.75">
      <c r="B51" s="158"/>
      <c r="C51" s="144"/>
      <c r="D51" s="144"/>
      <c r="E51" s="144"/>
      <c r="F51" s="144"/>
      <c r="G51" s="87"/>
      <c r="H51" s="87"/>
    </row>
    <row r="53" ht="12.75" customHeight="1"/>
  </sheetData>
  <sheetProtection/>
  <mergeCells count="30">
    <mergeCell ref="B28:D28"/>
    <mergeCell ref="B29:D29"/>
    <mergeCell ref="B9:F9"/>
    <mergeCell ref="B10:F10"/>
    <mergeCell ref="B12:F12"/>
    <mergeCell ref="B14:D16"/>
    <mergeCell ref="B25:D25"/>
    <mergeCell ref="B17:D17"/>
    <mergeCell ref="B18:D18"/>
    <mergeCell ref="B19:D19"/>
    <mergeCell ref="C50:F51"/>
    <mergeCell ref="B34:B35"/>
    <mergeCell ref="B39:B40"/>
    <mergeCell ref="B42:B43"/>
    <mergeCell ref="B45:B48"/>
    <mergeCell ref="B50:B51"/>
    <mergeCell ref="C34:F35"/>
    <mergeCell ref="C42:F43"/>
    <mergeCell ref="C39:F40"/>
    <mergeCell ref="C37:F37"/>
    <mergeCell ref="C45:F48"/>
    <mergeCell ref="B20:D20"/>
    <mergeCell ref="B21:D21"/>
    <mergeCell ref="B22:D22"/>
    <mergeCell ref="B30:D30"/>
    <mergeCell ref="B26:D26"/>
    <mergeCell ref="B27:D27"/>
    <mergeCell ref="B23:D23"/>
    <mergeCell ref="B24:D24"/>
    <mergeCell ref="B37:B38"/>
  </mergeCells>
  <dataValidations count="1">
    <dataValidation allowBlank="1" showInputMessage="1" showErrorMessage="1" promptTitle="Date Format" prompt="E.g:  &quot;August 1, 2011&quot;" sqref="F7"/>
  </dataValidations>
  <printOptions/>
  <pageMargins left="0.75" right="0.75" top="1" bottom="1" header="0.5" footer="0.5"/>
  <pageSetup fitToHeight="1" fitToWidth="1" horizontalDpi="600" verticalDpi="6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T64"/>
  <sheetViews>
    <sheetView showGridLines="0" zoomScalePageLayoutView="0" workbookViewId="0" topLeftCell="A13">
      <selection activeCell="N44" sqref="N44"/>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0.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8.8515625" style="2" customWidth="1"/>
    <col min="17" max="17" width="10.0039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74</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2000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25.56</v>
      </c>
      <c r="I21" s="20">
        <v>1</v>
      </c>
      <c r="J21" s="109">
        <f aca="true" t="shared" si="0" ref="J21:J32">I21*H21</f>
        <v>25.56</v>
      </c>
      <c r="K21" s="16"/>
      <c r="L21" s="108">
        <v>31.53</v>
      </c>
      <c r="M21" s="22">
        <v>1</v>
      </c>
      <c r="N21" s="109">
        <f aca="true" t="shared" si="1" ref="N21:N32">M21*L21</f>
        <v>31.53</v>
      </c>
      <c r="O21" s="16"/>
      <c r="P21" s="23">
        <f aca="true" t="shared" si="2" ref="P21:P48">N21-J21</f>
        <v>5.970000000000002</v>
      </c>
      <c r="Q21" s="110">
        <f aca="true" t="shared" si="3" ref="Q21:Q48">IF((J21)=0,"",(P21/J21))</f>
        <v>0.233568075117371</v>
      </c>
    </row>
    <row r="22" spans="4:17" ht="12.75">
      <c r="D22" s="16" t="s">
        <v>28</v>
      </c>
      <c r="E22" s="16"/>
      <c r="F22" s="17" t="s">
        <v>72</v>
      </c>
      <c r="G22" s="18"/>
      <c r="H22" s="108">
        <v>1.99</v>
      </c>
      <c r="I22" s="20">
        <v>1</v>
      </c>
      <c r="J22" s="109">
        <f t="shared" si="0"/>
        <v>1.99</v>
      </c>
      <c r="K22" s="16"/>
      <c r="L22" s="100">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73</v>
      </c>
      <c r="G25" s="18"/>
      <c r="H25" s="108">
        <v>0.01</v>
      </c>
      <c r="I25" s="20">
        <f>H16</f>
        <v>2000</v>
      </c>
      <c r="J25" s="109">
        <f t="shared" si="0"/>
        <v>20</v>
      </c>
      <c r="K25" s="16"/>
      <c r="L25" s="108">
        <v>0.0123</v>
      </c>
      <c r="M25" s="22">
        <f>H16</f>
        <v>2000</v>
      </c>
      <c r="N25" s="109">
        <f t="shared" si="1"/>
        <v>24.6</v>
      </c>
      <c r="O25" s="16"/>
      <c r="P25" s="23">
        <f t="shared" si="2"/>
        <v>4.600000000000001</v>
      </c>
      <c r="Q25" s="110">
        <f t="shared" si="3"/>
        <v>0.23000000000000007</v>
      </c>
    </row>
    <row r="26" spans="4:17" ht="12.75">
      <c r="D26" s="16" t="s">
        <v>32</v>
      </c>
      <c r="E26" s="16"/>
      <c r="F26" s="17" t="s">
        <v>73</v>
      </c>
      <c r="G26" s="18"/>
      <c r="H26" s="108">
        <v>0.0006</v>
      </c>
      <c r="I26" s="20">
        <f>I25</f>
        <v>2000</v>
      </c>
      <c r="J26" s="109">
        <f t="shared" si="0"/>
        <v>1.2</v>
      </c>
      <c r="K26" s="16"/>
      <c r="L26" s="108">
        <v>0.0006</v>
      </c>
      <c r="M26" s="22">
        <f>M25</f>
        <v>2000</v>
      </c>
      <c r="N26" s="109">
        <f t="shared" si="1"/>
        <v>1.2</v>
      </c>
      <c r="O26" s="16"/>
      <c r="P26" s="23">
        <f t="shared" si="2"/>
        <v>0</v>
      </c>
      <c r="Q26" s="110">
        <f t="shared" si="3"/>
        <v>0</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row>
    <row r="30" spans="4:17" ht="12.75">
      <c r="D30" s="16" t="s">
        <v>36</v>
      </c>
      <c r="E30" s="16"/>
      <c r="F30" s="17" t="s">
        <v>73</v>
      </c>
      <c r="G30" s="18"/>
      <c r="H30" s="108"/>
      <c r="I30" s="20"/>
      <c r="J30" s="109">
        <f t="shared" si="0"/>
        <v>0</v>
      </c>
      <c r="K30" s="16"/>
      <c r="L30" s="108">
        <v>0.0004</v>
      </c>
      <c r="M30" s="20">
        <f>H16</f>
        <v>2000</v>
      </c>
      <c r="N30" s="109">
        <f t="shared" si="1"/>
        <v>0.8</v>
      </c>
      <c r="O30" s="16"/>
      <c r="P30" s="23">
        <f t="shared" si="2"/>
        <v>0.8</v>
      </c>
      <c r="Q30" s="110">
        <f t="shared" si="3"/>
      </c>
    </row>
    <row r="31" spans="4:17" ht="26.25">
      <c r="D31" s="25" t="s">
        <v>37</v>
      </c>
      <c r="E31" s="16"/>
      <c r="F31" s="17" t="s">
        <v>73</v>
      </c>
      <c r="G31" s="18"/>
      <c r="H31" s="108"/>
      <c r="I31" s="20"/>
      <c r="J31" s="109">
        <f t="shared" si="0"/>
        <v>0</v>
      </c>
      <c r="K31" s="16"/>
      <c r="L31" s="108">
        <v>-0.005817469203499612</v>
      </c>
      <c r="M31" s="22">
        <f>M30</f>
        <v>2000</v>
      </c>
      <c r="N31" s="109">
        <f t="shared" si="1"/>
        <v>-11.634938406999224</v>
      </c>
      <c r="O31" s="16"/>
      <c r="P31" s="23">
        <f t="shared" si="2"/>
        <v>-11.634938406999224</v>
      </c>
      <c r="Q31" s="110">
        <f t="shared" si="3"/>
      </c>
    </row>
    <row r="32" spans="4:19" ht="13.5" thickBot="1">
      <c r="D32" s="26"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c r="S32" s="117"/>
    </row>
    <row r="33" spans="4:17" ht="13.5" thickBot="1">
      <c r="D33" s="3" t="s">
        <v>38</v>
      </c>
      <c r="G33" s="29"/>
      <c r="H33" s="30"/>
      <c r="I33" s="31"/>
      <c r="J33" s="32">
        <f>SUM(J21:J32)</f>
        <v>48.75</v>
      </c>
      <c r="L33" s="30"/>
      <c r="M33" s="33"/>
      <c r="N33" s="32">
        <f>SUM(N21:N32)</f>
        <v>51.31838769023201</v>
      </c>
      <c r="P33" s="34">
        <f t="shared" si="2"/>
        <v>2.568387690232008</v>
      </c>
      <c r="Q33" s="35">
        <f t="shared" si="3"/>
        <v>0.05268487569706683</v>
      </c>
    </row>
    <row r="34" spans="4:17" ht="12.75">
      <c r="D34" s="36" t="s">
        <v>39</v>
      </c>
      <c r="E34" s="36"/>
      <c r="F34" s="37" t="s">
        <v>73</v>
      </c>
      <c r="G34" s="38"/>
      <c r="H34" s="111">
        <v>0.0054</v>
      </c>
      <c r="I34" s="39">
        <f>H16*(1+H50)</f>
        <v>2100.4</v>
      </c>
      <c r="J34" s="112">
        <f>I34*H34</f>
        <v>11.342160000000002</v>
      </c>
      <c r="K34" s="36"/>
      <c r="L34" s="111">
        <v>0.0061</v>
      </c>
      <c r="M34" s="40">
        <f>H16*(1+L50)</f>
        <v>2105.1063266708998</v>
      </c>
      <c r="N34" s="112">
        <f>M34*L34</f>
        <v>12.84114859269249</v>
      </c>
      <c r="O34" s="36"/>
      <c r="P34" s="41">
        <f t="shared" si="2"/>
        <v>1.4989885926924877</v>
      </c>
      <c r="Q34" s="113">
        <f t="shared" si="3"/>
        <v>0.13216076943831576</v>
      </c>
    </row>
    <row r="35" spans="4:17" ht="27" thickBot="1">
      <c r="D35" s="42" t="s">
        <v>40</v>
      </c>
      <c r="E35" s="36"/>
      <c r="F35" s="37" t="s">
        <v>73</v>
      </c>
      <c r="G35" s="38"/>
      <c r="H35" s="111">
        <v>0.0043</v>
      </c>
      <c r="I35" s="39">
        <f>I34</f>
        <v>2100.4</v>
      </c>
      <c r="J35" s="112">
        <f>I35*H35</f>
        <v>9.03172</v>
      </c>
      <c r="K35" s="36"/>
      <c r="L35" s="111">
        <v>0.0047</v>
      </c>
      <c r="M35" s="40">
        <f>M34</f>
        <v>2105.1063266708998</v>
      </c>
      <c r="N35" s="112">
        <f>M35*L35</f>
        <v>9.89399973535323</v>
      </c>
      <c r="O35" s="36"/>
      <c r="P35" s="41">
        <f t="shared" si="2"/>
        <v>0.8622797353532299</v>
      </c>
      <c r="Q35" s="113">
        <f t="shared" si="3"/>
        <v>0.0954723724111498</v>
      </c>
    </row>
    <row r="36" spans="4:17" ht="27" thickBot="1">
      <c r="D36" s="43" t="s">
        <v>41</v>
      </c>
      <c r="E36" s="16"/>
      <c r="F36" s="16"/>
      <c r="G36" s="18"/>
      <c r="H36" s="44"/>
      <c r="I36" s="45"/>
      <c r="J36" s="46">
        <f>SUM(J33:J35)</f>
        <v>69.12388</v>
      </c>
      <c r="K36" s="47"/>
      <c r="L36" s="48"/>
      <c r="M36" s="49"/>
      <c r="N36" s="46">
        <f>SUM(N33:N35)</f>
        <v>74.05353601827773</v>
      </c>
      <c r="O36" s="47"/>
      <c r="P36" s="50">
        <f t="shared" si="2"/>
        <v>4.929656018277726</v>
      </c>
      <c r="Q36" s="51">
        <f t="shared" si="3"/>
        <v>0.0713162516091071</v>
      </c>
    </row>
    <row r="37" spans="4:17" ht="26.25">
      <c r="D37" s="25" t="s">
        <v>42</v>
      </c>
      <c r="E37" s="16"/>
      <c r="F37" s="17"/>
      <c r="G37" s="18"/>
      <c r="H37" s="19">
        <v>0.0065</v>
      </c>
      <c r="I37" s="20">
        <f>I35</f>
        <v>2100.4</v>
      </c>
      <c r="J37" s="21">
        <f aca="true" t="shared" si="4" ref="J37:J43">I37*H37</f>
        <v>13.6526</v>
      </c>
      <c r="K37" s="16"/>
      <c r="L37" s="19">
        <v>0.0065</v>
      </c>
      <c r="M37" s="22">
        <f>M35</f>
        <v>2105.1063266708998</v>
      </c>
      <c r="N37" s="21">
        <f aca="true" t="shared" si="5" ref="N37:N43">M37*L37</f>
        <v>13.683191123360848</v>
      </c>
      <c r="O37" s="16"/>
      <c r="P37" s="23">
        <f t="shared" si="2"/>
        <v>0.030591123360848016</v>
      </c>
      <c r="Q37" s="24">
        <f t="shared" si="3"/>
        <v>0.002240681142115642</v>
      </c>
    </row>
    <row r="38" spans="4:17" ht="26.25">
      <c r="D38" s="25" t="s">
        <v>43</v>
      </c>
      <c r="E38" s="16"/>
      <c r="F38" s="17"/>
      <c r="G38" s="18"/>
      <c r="H38" s="19"/>
      <c r="I38" s="20">
        <f>I35</f>
        <v>2100.4</v>
      </c>
      <c r="J38" s="21">
        <f t="shared" si="4"/>
        <v>0</v>
      </c>
      <c r="K38" s="16"/>
      <c r="L38" s="19"/>
      <c r="M38" s="22">
        <f>M35</f>
        <v>2105.1063266708998</v>
      </c>
      <c r="N38" s="21">
        <f t="shared" si="5"/>
        <v>0</v>
      </c>
      <c r="O38" s="16"/>
      <c r="P38" s="23">
        <f t="shared" si="2"/>
        <v>0</v>
      </c>
      <c r="Q38" s="24">
        <f t="shared" si="3"/>
      </c>
    </row>
    <row r="39" spans="4:17" ht="12.75">
      <c r="D39" s="25" t="s">
        <v>44</v>
      </c>
      <c r="E39" s="16"/>
      <c r="F39" s="17"/>
      <c r="G39" s="18"/>
      <c r="H39" s="52"/>
      <c r="I39" s="20">
        <f>I35</f>
        <v>2100.4</v>
      </c>
      <c r="J39" s="21">
        <f t="shared" si="4"/>
        <v>0</v>
      </c>
      <c r="K39" s="16"/>
      <c r="L39" s="52"/>
      <c r="M39" s="22">
        <f>M35</f>
        <v>2105.1063266708998</v>
      </c>
      <c r="N39" s="21">
        <f t="shared" si="5"/>
        <v>0</v>
      </c>
      <c r="O39" s="16"/>
      <c r="P39" s="23">
        <f t="shared" si="2"/>
        <v>0</v>
      </c>
      <c r="Q39" s="24">
        <f t="shared" si="3"/>
      </c>
    </row>
    <row r="40" spans="4:17" ht="12.75">
      <c r="D40" s="16" t="s">
        <v>45</v>
      </c>
      <c r="E40" s="16"/>
      <c r="F40" s="17"/>
      <c r="G40" s="18"/>
      <c r="H40" s="19"/>
      <c r="I40" s="20">
        <v>1</v>
      </c>
      <c r="J40" s="21">
        <f t="shared" si="4"/>
        <v>0</v>
      </c>
      <c r="K40" s="16"/>
      <c r="L40" s="19"/>
      <c r="M40" s="22">
        <v>1</v>
      </c>
      <c r="N40" s="21">
        <f t="shared" si="5"/>
        <v>0</v>
      </c>
      <c r="O40" s="16"/>
      <c r="P40" s="23">
        <f t="shared" si="2"/>
        <v>0</v>
      </c>
      <c r="Q40" s="24">
        <f t="shared" si="3"/>
      </c>
    </row>
    <row r="41" spans="4:17" ht="12.75">
      <c r="D41" s="16" t="s">
        <v>46</v>
      </c>
      <c r="E41" s="16"/>
      <c r="F41" s="17" t="s">
        <v>73</v>
      </c>
      <c r="G41" s="18"/>
      <c r="H41" s="19">
        <v>0.007</v>
      </c>
      <c r="I41" s="20">
        <f>I38</f>
        <v>2100.4</v>
      </c>
      <c r="J41" s="21">
        <f t="shared" si="4"/>
        <v>14.702800000000002</v>
      </c>
      <c r="K41" s="16"/>
      <c r="L41" s="19">
        <v>0.007</v>
      </c>
      <c r="M41" s="22">
        <f>M38</f>
        <v>2105.1063266708998</v>
      </c>
      <c r="N41" s="21">
        <f t="shared" si="5"/>
        <v>14.735744286696299</v>
      </c>
      <c r="O41" s="16"/>
      <c r="P41" s="23">
        <f t="shared" si="2"/>
        <v>0.03294428669629745</v>
      </c>
      <c r="Q41" s="24">
        <f t="shared" si="3"/>
        <v>0.002240681142115614</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1500.4</v>
      </c>
      <c r="J43" s="21">
        <f t="shared" si="4"/>
        <v>118.53160000000001</v>
      </c>
      <c r="K43" s="16"/>
      <c r="L43" s="19">
        <v>0.079</v>
      </c>
      <c r="M43" s="55">
        <f>M41-M42</f>
        <v>1505.1063266708998</v>
      </c>
      <c r="N43" s="21">
        <f t="shared" si="5"/>
        <v>118.90339980700108</v>
      </c>
      <c r="O43" s="16"/>
      <c r="P43" s="23">
        <f t="shared" si="2"/>
        <v>0.37179980700106796</v>
      </c>
      <c r="Q43" s="24">
        <f t="shared" si="3"/>
        <v>0.0031367146566912783</v>
      </c>
    </row>
    <row r="44" spans="4:17" ht="13.5" thickBot="1">
      <c r="D44" s="56" t="s">
        <v>48</v>
      </c>
      <c r="E44" s="16"/>
      <c r="F44" s="16"/>
      <c r="G44" s="16"/>
      <c r="H44" s="57"/>
      <c r="I44" s="58"/>
      <c r="J44" s="46">
        <f>SUM(J36:J43)</f>
        <v>256.81088</v>
      </c>
      <c r="K44" s="47"/>
      <c r="L44" s="59"/>
      <c r="M44" s="60"/>
      <c r="N44" s="46">
        <f>SUM(N36:N43)</f>
        <v>262.175871235336</v>
      </c>
      <c r="O44" s="47"/>
      <c r="P44" s="50">
        <f t="shared" si="2"/>
        <v>5.364991235335992</v>
      </c>
      <c r="Q44" s="51">
        <f t="shared" si="3"/>
        <v>0.020890825323818026</v>
      </c>
    </row>
    <row r="45" spans="4:17" ht="13.5" thickBot="1">
      <c r="D45" s="18" t="s">
        <v>49</v>
      </c>
      <c r="E45" s="16"/>
      <c r="F45" s="16"/>
      <c r="G45" s="16"/>
      <c r="H45" s="61">
        <v>0.13</v>
      </c>
      <c r="I45" s="62"/>
      <c r="J45" s="63">
        <f>J44*H45</f>
        <v>33.3854144</v>
      </c>
      <c r="K45" s="16"/>
      <c r="L45" s="61">
        <v>0.13</v>
      </c>
      <c r="M45" s="64"/>
      <c r="N45" s="63">
        <f>N44*L45</f>
        <v>34.08286326059368</v>
      </c>
      <c r="O45" s="16"/>
      <c r="P45" s="23">
        <f t="shared" si="2"/>
        <v>0.6974488605936813</v>
      </c>
      <c r="Q45" s="24">
        <f t="shared" si="3"/>
        <v>0.020890825323818092</v>
      </c>
    </row>
    <row r="46" spans="4:17" ht="27" thickBot="1">
      <c r="D46" s="43" t="s">
        <v>50</v>
      </c>
      <c r="E46" s="16"/>
      <c r="F46" s="16"/>
      <c r="G46" s="16"/>
      <c r="H46" s="44"/>
      <c r="I46" s="45"/>
      <c r="J46" s="46">
        <f>ROUND(SUM(J44:J45),2)</f>
        <v>290.2</v>
      </c>
      <c r="K46" s="47"/>
      <c r="L46" s="48"/>
      <c r="M46" s="49"/>
      <c r="N46" s="46">
        <f>ROUND(SUM(N44:N45),2)</f>
        <v>296.26</v>
      </c>
      <c r="O46" s="47"/>
      <c r="P46" s="50">
        <f t="shared" si="2"/>
        <v>6.060000000000002</v>
      </c>
      <c r="Q46" s="51">
        <f t="shared" si="3"/>
        <v>0.020882150241212965</v>
      </c>
    </row>
    <row r="47" spans="4:17" ht="29.25" thickBot="1">
      <c r="D47" s="83" t="s">
        <v>102</v>
      </c>
      <c r="E47" s="16"/>
      <c r="F47" s="16"/>
      <c r="G47" s="16"/>
      <c r="H47" s="44"/>
      <c r="I47" s="80"/>
      <c r="J47" s="46">
        <f>ROUND(-J46*10%,2)</f>
        <v>-29.02</v>
      </c>
      <c r="K47" s="47"/>
      <c r="L47" s="48"/>
      <c r="M47" s="49"/>
      <c r="N47" s="46">
        <f>ROUND(-N46*10%,2)</f>
        <v>-29.63</v>
      </c>
      <c r="O47" s="47"/>
      <c r="P47" s="50">
        <f t="shared" si="2"/>
        <v>-0.6099999999999994</v>
      </c>
      <c r="Q47" s="51">
        <f t="shared" si="3"/>
        <v>0.021019986216402463</v>
      </c>
    </row>
    <row r="48" spans="4:17" ht="13.5" thickBot="1">
      <c r="D48" s="43" t="s">
        <v>55</v>
      </c>
      <c r="E48" s="16"/>
      <c r="F48" s="16"/>
      <c r="G48" s="16"/>
      <c r="H48" s="82"/>
      <c r="I48" s="81"/>
      <c r="J48" s="75">
        <f>J46+J47</f>
        <v>261.18</v>
      </c>
      <c r="K48" s="47"/>
      <c r="L48" s="79"/>
      <c r="M48" s="78"/>
      <c r="N48" s="75">
        <f>N46+N47</f>
        <v>266.63</v>
      </c>
      <c r="O48" s="47"/>
      <c r="P48" s="77">
        <f t="shared" si="2"/>
        <v>5.449999999999989</v>
      </c>
      <c r="Q48" s="76">
        <f t="shared" si="3"/>
        <v>0.02086683513285852</v>
      </c>
    </row>
    <row r="49" ht="10.5" customHeight="1">
      <c r="T49" s="114"/>
    </row>
    <row r="50" spans="4:12" ht="12.75">
      <c r="D50" s="3" t="s">
        <v>51</v>
      </c>
      <c r="H50" s="65">
        <v>0.0502</v>
      </c>
      <c r="I50" s="118"/>
      <c r="J50" s="118"/>
      <c r="K50" s="118"/>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3 G21:G32 G34:G35">
      <formula1>$B$14:$B$19</formula1>
    </dataValidation>
    <dataValidation type="list" allowBlank="1" showInputMessage="1" showErrorMessage="1" prompt="Select Charge Unit - monthly, per kWh, per kW" sqref="F34:F35 F21:F32 F37:F43">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T64"/>
  <sheetViews>
    <sheetView showGridLines="0" zoomScalePageLayoutView="0" workbookViewId="0" topLeftCell="A8">
      <selection activeCell="L21" sqref="L21:L3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0.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8.8515625" style="2" customWidth="1"/>
    <col min="17" max="17" width="10.0039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74</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5000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25.56</v>
      </c>
      <c r="I21" s="20">
        <v>1</v>
      </c>
      <c r="J21" s="109">
        <f aca="true" t="shared" si="0" ref="J21:J32">I21*H21</f>
        <v>25.56</v>
      </c>
      <c r="K21" s="16"/>
      <c r="L21" s="108">
        <f>'App.2-V Bill Impact &lt;50 2000kwh'!L21</f>
        <v>31.53</v>
      </c>
      <c r="M21" s="22">
        <v>1</v>
      </c>
      <c r="N21" s="109">
        <f aca="true" t="shared" si="1" ref="N21:N32">M21*L21</f>
        <v>31.53</v>
      </c>
      <c r="O21" s="16"/>
      <c r="P21" s="23">
        <f aca="true" t="shared" si="2" ref="P21:P48">N21-J21</f>
        <v>5.970000000000002</v>
      </c>
      <c r="Q21" s="110">
        <f aca="true" t="shared" si="3" ref="Q21:Q48">IF((J21)=0,"",(P21/J21))</f>
        <v>0.233568075117371</v>
      </c>
    </row>
    <row r="22" spans="4:17" ht="12.75">
      <c r="D22" s="16" t="s">
        <v>28</v>
      </c>
      <c r="E22" s="16"/>
      <c r="F22" s="17" t="s">
        <v>72</v>
      </c>
      <c r="G22" s="18"/>
      <c r="H22" s="108">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73</v>
      </c>
      <c r="G25" s="18"/>
      <c r="H25" s="108">
        <v>0.01</v>
      </c>
      <c r="I25" s="20">
        <f>H16</f>
        <v>5000</v>
      </c>
      <c r="J25" s="109">
        <f t="shared" si="0"/>
        <v>50</v>
      </c>
      <c r="K25" s="16"/>
      <c r="L25" s="108">
        <f>'App.2-V Bill Impact &lt;50 2000kwh'!L25</f>
        <v>0.0123</v>
      </c>
      <c r="M25" s="22">
        <f>H16</f>
        <v>5000</v>
      </c>
      <c r="N25" s="109">
        <f t="shared" si="1"/>
        <v>61.5</v>
      </c>
      <c r="O25" s="16"/>
      <c r="P25" s="23">
        <f t="shared" si="2"/>
        <v>11.5</v>
      </c>
      <c r="Q25" s="110">
        <f t="shared" si="3"/>
        <v>0.23</v>
      </c>
    </row>
    <row r="26" spans="4:17" ht="12.75">
      <c r="D26" s="16" t="s">
        <v>32</v>
      </c>
      <c r="E26" s="16"/>
      <c r="F26" s="17" t="s">
        <v>73</v>
      </c>
      <c r="G26" s="18"/>
      <c r="H26" s="108">
        <v>0.0006</v>
      </c>
      <c r="I26" s="20">
        <f>I25</f>
        <v>5000</v>
      </c>
      <c r="J26" s="109">
        <f t="shared" si="0"/>
        <v>2.9999999999999996</v>
      </c>
      <c r="K26" s="16"/>
      <c r="L26" s="108">
        <f>'App.2-V Bill Impact &lt;50 2000kwh'!L26</f>
        <v>0.0006</v>
      </c>
      <c r="M26" s="22">
        <f>M25</f>
        <v>5000</v>
      </c>
      <c r="N26" s="109">
        <f t="shared" si="1"/>
        <v>2.9999999999999996</v>
      </c>
      <c r="O26" s="16"/>
      <c r="P26" s="23">
        <f t="shared" si="2"/>
        <v>0</v>
      </c>
      <c r="Q26" s="110">
        <f t="shared" si="3"/>
        <v>0</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 Impact &lt;50 2000kwh'!L29</f>
        <v>0</v>
      </c>
      <c r="M29" s="22">
        <v>1</v>
      </c>
      <c r="N29" s="109">
        <f t="shared" si="1"/>
        <v>0</v>
      </c>
      <c r="O29" s="16"/>
      <c r="P29" s="23">
        <f t="shared" si="2"/>
        <v>0</v>
      </c>
      <c r="Q29" s="110">
        <f t="shared" si="3"/>
      </c>
    </row>
    <row r="30" spans="4:17" ht="12.75">
      <c r="D30" s="16" t="s">
        <v>36</v>
      </c>
      <c r="E30" s="16"/>
      <c r="F30" s="17" t="s">
        <v>73</v>
      </c>
      <c r="G30" s="18"/>
      <c r="H30" s="108"/>
      <c r="I30" s="20"/>
      <c r="J30" s="109">
        <f t="shared" si="0"/>
        <v>0</v>
      </c>
      <c r="K30" s="16"/>
      <c r="L30" s="108">
        <f>'App.2-V Bill Impact &lt;50 2000kwh'!L30</f>
        <v>0.0004</v>
      </c>
      <c r="M30" s="20">
        <f>H16</f>
        <v>5000</v>
      </c>
      <c r="N30" s="109">
        <f t="shared" si="1"/>
        <v>2</v>
      </c>
      <c r="O30" s="16"/>
      <c r="P30" s="23">
        <f t="shared" si="2"/>
        <v>2</v>
      </c>
      <c r="Q30" s="110">
        <f t="shared" si="3"/>
      </c>
    </row>
    <row r="31" spans="4:17" ht="26.25">
      <c r="D31" s="25" t="s">
        <v>37</v>
      </c>
      <c r="E31" s="16"/>
      <c r="F31" s="17" t="s">
        <v>73</v>
      </c>
      <c r="G31" s="18"/>
      <c r="H31" s="108"/>
      <c r="I31" s="20"/>
      <c r="J31" s="109">
        <f t="shared" si="0"/>
        <v>0</v>
      </c>
      <c r="K31" s="16"/>
      <c r="L31" s="108">
        <f>'App.2-V Bill Impact &lt;50 2000kwh'!L31</f>
        <v>-0.005817469203499612</v>
      </c>
      <c r="M31" s="22">
        <f>M30</f>
        <v>5000</v>
      </c>
      <c r="N31" s="109">
        <f t="shared" si="1"/>
        <v>-29.08734601749806</v>
      </c>
      <c r="O31" s="16"/>
      <c r="P31" s="23">
        <f t="shared" si="2"/>
        <v>-29.08734601749806</v>
      </c>
      <c r="Q31" s="110">
        <f t="shared" si="3"/>
      </c>
    </row>
    <row r="32" spans="4:19" ht="13.5" thickBot="1">
      <c r="D32" s="26" t="s">
        <v>14</v>
      </c>
      <c r="E32" s="16"/>
      <c r="F32" s="17" t="s">
        <v>72</v>
      </c>
      <c r="G32" s="18"/>
      <c r="H32" s="108"/>
      <c r="I32" s="27"/>
      <c r="J32" s="109">
        <f t="shared" si="0"/>
        <v>0</v>
      </c>
      <c r="K32" s="16"/>
      <c r="L32" s="108">
        <f>'App.2-V Bill Impact &lt;50 2000kwh'!L32</f>
        <v>0</v>
      </c>
      <c r="M32" s="28">
        <v>1</v>
      </c>
      <c r="N32" s="109">
        <f t="shared" si="1"/>
        <v>0</v>
      </c>
      <c r="O32" s="16"/>
      <c r="P32" s="23">
        <f t="shared" si="2"/>
        <v>0</v>
      </c>
      <c r="Q32" s="110">
        <f t="shared" si="3"/>
      </c>
      <c r="S32" s="117"/>
    </row>
    <row r="33" spans="4:17" ht="13.5" thickBot="1">
      <c r="D33" s="3" t="s">
        <v>38</v>
      </c>
      <c r="G33" s="29"/>
      <c r="H33" s="30"/>
      <c r="I33" s="31"/>
      <c r="J33" s="32">
        <f>SUM(J21:J32)</f>
        <v>80.55</v>
      </c>
      <c r="L33" s="30"/>
      <c r="M33" s="33"/>
      <c r="N33" s="32">
        <f>SUM(N21:N32)</f>
        <v>73.76598007973317</v>
      </c>
      <c r="P33" s="34">
        <f t="shared" si="2"/>
        <v>-6.784019920266829</v>
      </c>
      <c r="Q33" s="35">
        <f t="shared" si="3"/>
        <v>-0.08422122806041997</v>
      </c>
    </row>
    <row r="34" spans="4:17" ht="12.75">
      <c r="D34" s="36" t="s">
        <v>39</v>
      </c>
      <c r="E34" s="36"/>
      <c r="F34" s="37" t="s">
        <v>73</v>
      </c>
      <c r="G34" s="38"/>
      <c r="H34" s="111">
        <v>0.0054</v>
      </c>
      <c r="I34" s="39">
        <f>H16*(1+H50)</f>
        <v>5251</v>
      </c>
      <c r="J34" s="112">
        <f>I34*H34</f>
        <v>28.355400000000003</v>
      </c>
      <c r="K34" s="36"/>
      <c r="L34" s="111">
        <v>0.0061</v>
      </c>
      <c r="M34" s="40">
        <f>H16*(1+L50)</f>
        <v>5262.76581667725</v>
      </c>
      <c r="N34" s="112">
        <f>M34*L34</f>
        <v>32.10287148173123</v>
      </c>
      <c r="O34" s="36"/>
      <c r="P34" s="41">
        <f t="shared" si="2"/>
        <v>3.7474714817312247</v>
      </c>
      <c r="Q34" s="113">
        <f t="shared" si="3"/>
        <v>0.13216076943831595</v>
      </c>
    </row>
    <row r="35" spans="4:17" ht="27" thickBot="1">
      <c r="D35" s="42" t="s">
        <v>40</v>
      </c>
      <c r="E35" s="36"/>
      <c r="F35" s="37" t="s">
        <v>73</v>
      </c>
      <c r="G35" s="38"/>
      <c r="H35" s="111">
        <v>0.0043</v>
      </c>
      <c r="I35" s="39">
        <f>I34</f>
        <v>5251</v>
      </c>
      <c r="J35" s="112">
        <f>I35*H35</f>
        <v>22.5793</v>
      </c>
      <c r="K35" s="36"/>
      <c r="L35" s="111">
        <v>0.0047</v>
      </c>
      <c r="M35" s="40">
        <f>M34</f>
        <v>5262.76581667725</v>
      </c>
      <c r="N35" s="112">
        <f>M35*L35</f>
        <v>24.734999338383076</v>
      </c>
      <c r="O35" s="36"/>
      <c r="P35" s="41">
        <f t="shared" si="2"/>
        <v>2.1556993383830765</v>
      </c>
      <c r="Q35" s="113">
        <f t="shared" si="3"/>
        <v>0.09547237241114988</v>
      </c>
    </row>
    <row r="36" spans="4:17" ht="27" thickBot="1">
      <c r="D36" s="43" t="s">
        <v>41</v>
      </c>
      <c r="E36" s="16"/>
      <c r="F36" s="16"/>
      <c r="G36" s="18"/>
      <c r="H36" s="44"/>
      <c r="I36" s="45"/>
      <c r="J36" s="46">
        <f>SUM(J33:J35)</f>
        <v>131.4847</v>
      </c>
      <c r="K36" s="47"/>
      <c r="L36" s="48"/>
      <c r="M36" s="49"/>
      <c r="N36" s="46">
        <f>SUM(N33:N35)</f>
        <v>130.6038508998475</v>
      </c>
      <c r="O36" s="47"/>
      <c r="P36" s="50">
        <f t="shared" si="2"/>
        <v>-0.8808491001525169</v>
      </c>
      <c r="Q36" s="51">
        <f t="shared" si="3"/>
        <v>-0.006699251701167641</v>
      </c>
    </row>
    <row r="37" spans="4:17" ht="26.25">
      <c r="D37" s="25" t="s">
        <v>42</v>
      </c>
      <c r="E37" s="16"/>
      <c r="F37" s="17"/>
      <c r="G37" s="18"/>
      <c r="H37" s="19">
        <v>0.0065</v>
      </c>
      <c r="I37" s="20">
        <f>I35</f>
        <v>5251</v>
      </c>
      <c r="J37" s="21">
        <f aca="true" t="shared" si="4" ref="J37:J43">I37*H37</f>
        <v>34.131499999999996</v>
      </c>
      <c r="K37" s="16"/>
      <c r="L37" s="19">
        <v>0.0065</v>
      </c>
      <c r="M37" s="22">
        <f>M35</f>
        <v>5262.76581667725</v>
      </c>
      <c r="N37" s="21">
        <f aca="true" t="shared" si="5" ref="N37:N43">M37*L37</f>
        <v>34.20797780840212</v>
      </c>
      <c r="O37" s="16"/>
      <c r="P37" s="23">
        <f t="shared" si="2"/>
        <v>0.07647780840212448</v>
      </c>
      <c r="Q37" s="24">
        <f t="shared" si="3"/>
        <v>0.0022406811421157727</v>
      </c>
    </row>
    <row r="38" spans="4:17" ht="26.25">
      <c r="D38" s="25" t="s">
        <v>43</v>
      </c>
      <c r="E38" s="16"/>
      <c r="F38" s="17"/>
      <c r="G38" s="18"/>
      <c r="H38" s="19"/>
      <c r="I38" s="20">
        <f>I35</f>
        <v>5251</v>
      </c>
      <c r="J38" s="21">
        <f t="shared" si="4"/>
        <v>0</v>
      </c>
      <c r="K38" s="16"/>
      <c r="L38" s="19"/>
      <c r="M38" s="22">
        <f>M35</f>
        <v>5262.76581667725</v>
      </c>
      <c r="N38" s="21">
        <f t="shared" si="5"/>
        <v>0</v>
      </c>
      <c r="O38" s="16"/>
      <c r="P38" s="23">
        <f t="shared" si="2"/>
        <v>0</v>
      </c>
      <c r="Q38" s="24">
        <f t="shared" si="3"/>
      </c>
    </row>
    <row r="39" spans="4:17" ht="12.75">
      <c r="D39" s="25" t="s">
        <v>44</v>
      </c>
      <c r="E39" s="16"/>
      <c r="F39" s="17"/>
      <c r="G39" s="18"/>
      <c r="H39" s="52"/>
      <c r="I39" s="20">
        <f>I35</f>
        <v>5251</v>
      </c>
      <c r="J39" s="21">
        <f t="shared" si="4"/>
        <v>0</v>
      </c>
      <c r="K39" s="16"/>
      <c r="L39" s="52"/>
      <c r="M39" s="22">
        <f>M35</f>
        <v>5262.76581667725</v>
      </c>
      <c r="N39" s="21">
        <f t="shared" si="5"/>
        <v>0</v>
      </c>
      <c r="O39" s="16"/>
      <c r="P39" s="23">
        <f t="shared" si="2"/>
        <v>0</v>
      </c>
      <c r="Q39" s="24">
        <f t="shared" si="3"/>
      </c>
    </row>
    <row r="40" spans="4:17" ht="12.75">
      <c r="D40" s="16" t="s">
        <v>45</v>
      </c>
      <c r="E40" s="16"/>
      <c r="F40" s="17"/>
      <c r="G40" s="18"/>
      <c r="H40" s="19"/>
      <c r="I40" s="20">
        <v>1</v>
      </c>
      <c r="J40" s="21">
        <f t="shared" si="4"/>
        <v>0</v>
      </c>
      <c r="K40" s="16"/>
      <c r="L40" s="19"/>
      <c r="M40" s="22">
        <v>1</v>
      </c>
      <c r="N40" s="21">
        <f t="shared" si="5"/>
        <v>0</v>
      </c>
      <c r="O40" s="16"/>
      <c r="P40" s="23">
        <f t="shared" si="2"/>
        <v>0</v>
      </c>
      <c r="Q40" s="24">
        <f t="shared" si="3"/>
      </c>
    </row>
    <row r="41" spans="4:17" ht="12.75">
      <c r="D41" s="16" t="s">
        <v>46</v>
      </c>
      <c r="E41" s="16"/>
      <c r="F41" s="17" t="s">
        <v>73</v>
      </c>
      <c r="G41" s="18"/>
      <c r="H41" s="19">
        <v>0.007</v>
      </c>
      <c r="I41" s="20">
        <f>I38</f>
        <v>5251</v>
      </c>
      <c r="J41" s="21">
        <f t="shared" si="4"/>
        <v>36.757</v>
      </c>
      <c r="K41" s="16"/>
      <c r="L41" s="19">
        <v>0.007</v>
      </c>
      <c r="M41" s="22">
        <f>M38</f>
        <v>5262.76581667725</v>
      </c>
      <c r="N41" s="21">
        <f t="shared" si="5"/>
        <v>36.83936071674075</v>
      </c>
      <c r="O41" s="16"/>
      <c r="P41" s="23">
        <f t="shared" si="2"/>
        <v>0.08236071674075163</v>
      </c>
      <c r="Q41" s="24">
        <f t="shared" si="3"/>
        <v>0.0022406811421158317</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4651</v>
      </c>
      <c r="J43" s="21">
        <f t="shared" si="4"/>
        <v>367.42900000000003</v>
      </c>
      <c r="K43" s="16"/>
      <c r="L43" s="19">
        <v>0.079</v>
      </c>
      <c r="M43" s="55">
        <f>M41-M42</f>
        <v>4662.76581667725</v>
      </c>
      <c r="N43" s="21">
        <f t="shared" si="5"/>
        <v>368.35849951750276</v>
      </c>
      <c r="O43" s="16"/>
      <c r="P43" s="23">
        <f t="shared" si="2"/>
        <v>0.9294995175027339</v>
      </c>
      <c r="Q43" s="24">
        <f t="shared" si="3"/>
        <v>0.0025297391264781327</v>
      </c>
    </row>
    <row r="44" spans="4:17" ht="13.5" thickBot="1">
      <c r="D44" s="56" t="s">
        <v>48</v>
      </c>
      <c r="E44" s="16"/>
      <c r="F44" s="16"/>
      <c r="G44" s="16"/>
      <c r="H44" s="57"/>
      <c r="I44" s="58"/>
      <c r="J44" s="46">
        <f>SUM(J36:J43)</f>
        <v>610.6022</v>
      </c>
      <c r="K44" s="47"/>
      <c r="L44" s="59"/>
      <c r="M44" s="60"/>
      <c r="N44" s="46">
        <f>SUM(N36:N43)</f>
        <v>610.8096889424932</v>
      </c>
      <c r="O44" s="47"/>
      <c r="P44" s="50">
        <f t="shared" si="2"/>
        <v>0.20748894249311434</v>
      </c>
      <c r="Q44" s="51">
        <f t="shared" si="3"/>
        <v>0.00033981034213947204</v>
      </c>
    </row>
    <row r="45" spans="4:17" ht="13.5" thickBot="1">
      <c r="D45" s="18" t="s">
        <v>49</v>
      </c>
      <c r="E45" s="16"/>
      <c r="F45" s="16"/>
      <c r="G45" s="16"/>
      <c r="H45" s="61">
        <v>0.13</v>
      </c>
      <c r="I45" s="62"/>
      <c r="J45" s="63">
        <f>J44*H45</f>
        <v>79.378286</v>
      </c>
      <c r="K45" s="16"/>
      <c r="L45" s="61">
        <v>0.13</v>
      </c>
      <c r="M45" s="64"/>
      <c r="N45" s="63">
        <f>N44*L45</f>
        <v>79.40525956252411</v>
      </c>
      <c r="O45" s="16"/>
      <c r="P45" s="23">
        <f t="shared" si="2"/>
        <v>0.026973562524105432</v>
      </c>
      <c r="Q45" s="24">
        <f t="shared" si="3"/>
        <v>0.0003398103421394792</v>
      </c>
    </row>
    <row r="46" spans="4:17" ht="27" thickBot="1">
      <c r="D46" s="43" t="s">
        <v>50</v>
      </c>
      <c r="E46" s="16"/>
      <c r="F46" s="16"/>
      <c r="G46" s="16"/>
      <c r="H46" s="44"/>
      <c r="I46" s="45"/>
      <c r="J46" s="46">
        <f>ROUND(SUM(J44:J45),2)</f>
        <v>689.98</v>
      </c>
      <c r="K46" s="47"/>
      <c r="L46" s="48"/>
      <c r="M46" s="49"/>
      <c r="N46" s="46">
        <f>ROUND(SUM(N44:N45),2)</f>
        <v>690.21</v>
      </c>
      <c r="O46" s="47"/>
      <c r="P46" s="50">
        <f t="shared" si="2"/>
        <v>0.2300000000000182</v>
      </c>
      <c r="Q46" s="51">
        <f t="shared" si="3"/>
        <v>0.0003333429954491698</v>
      </c>
    </row>
    <row r="47" spans="4:17" ht="29.25" thickBot="1">
      <c r="D47" s="83" t="s">
        <v>102</v>
      </c>
      <c r="E47" s="16"/>
      <c r="F47" s="16"/>
      <c r="G47" s="16"/>
      <c r="H47" s="44"/>
      <c r="I47" s="80"/>
      <c r="J47" s="46">
        <f>ROUND(-J46*10%,2)</f>
        <v>-69</v>
      </c>
      <c r="K47" s="47"/>
      <c r="L47" s="48"/>
      <c r="M47" s="49"/>
      <c r="N47" s="46">
        <f>ROUND(-N46*10%,2)</f>
        <v>-69.02</v>
      </c>
      <c r="O47" s="47"/>
      <c r="P47" s="50">
        <f t="shared" si="2"/>
        <v>-0.01999999999999602</v>
      </c>
      <c r="Q47" s="51">
        <f t="shared" si="3"/>
        <v>0.00028985507246371043</v>
      </c>
    </row>
    <row r="48" spans="4:17" ht="13.5" thickBot="1">
      <c r="D48" s="43" t="s">
        <v>55</v>
      </c>
      <c r="E48" s="16"/>
      <c r="F48" s="16"/>
      <c r="G48" s="16"/>
      <c r="H48" s="82"/>
      <c r="I48" s="81"/>
      <c r="J48" s="75">
        <f>J46+J47</f>
        <v>620.98</v>
      </c>
      <c r="K48" s="47"/>
      <c r="L48" s="79"/>
      <c r="M48" s="78"/>
      <c r="N48" s="75">
        <f>N46+N47</f>
        <v>621.19</v>
      </c>
      <c r="O48" s="47"/>
      <c r="P48" s="77">
        <f t="shared" si="2"/>
        <v>0.21000000000003638</v>
      </c>
      <c r="Q48" s="76">
        <f t="shared" si="3"/>
        <v>0.00033817514251672576</v>
      </c>
    </row>
    <row r="49" ht="10.5" customHeight="1">
      <c r="T49" s="123"/>
    </row>
    <row r="50" spans="4:12" ht="12.75">
      <c r="D50" s="3" t="s">
        <v>51</v>
      </c>
      <c r="H50" s="65">
        <v>0.0502</v>
      </c>
      <c r="I50" s="121"/>
      <c r="J50" s="121"/>
      <c r="K50" s="121"/>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3 G21:G32 G34:G35">
      <formula1>$B$14:$B$19</formula1>
    </dataValidation>
    <dataValidation type="list" allowBlank="1" showInputMessage="1" showErrorMessage="1" prompt="Select Charge Unit - monthly, per kWh, per kW" sqref="F34:F35 F21:F32 F37:F43">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T64"/>
  <sheetViews>
    <sheetView showGridLines="0" zoomScalePageLayoutView="0" workbookViewId="0" topLeftCell="A9">
      <selection activeCell="L21" sqref="L21:L3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0.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8.8515625" style="2" customWidth="1"/>
    <col min="17" max="17" width="10.0039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74</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10000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25.56</v>
      </c>
      <c r="I21" s="20">
        <v>1</v>
      </c>
      <c r="J21" s="109">
        <f aca="true" t="shared" si="0" ref="J21:J32">I21*H21</f>
        <v>25.56</v>
      </c>
      <c r="K21" s="16"/>
      <c r="L21" s="108">
        <f>'App.2-V Bill Impact &lt;50 2000kwh'!L21</f>
        <v>31.53</v>
      </c>
      <c r="M21" s="22">
        <v>1</v>
      </c>
      <c r="N21" s="109">
        <f aca="true" t="shared" si="1" ref="N21:N32">M21*L21</f>
        <v>31.53</v>
      </c>
      <c r="O21" s="16"/>
      <c r="P21" s="23">
        <f aca="true" t="shared" si="2" ref="P21:P48">N21-J21</f>
        <v>5.970000000000002</v>
      </c>
      <c r="Q21" s="110">
        <f aca="true" t="shared" si="3" ref="Q21:Q48">IF((J21)=0,"",(P21/J21))</f>
        <v>0.233568075117371</v>
      </c>
    </row>
    <row r="22" spans="4:17" ht="12.75">
      <c r="D22" s="16" t="s">
        <v>28</v>
      </c>
      <c r="E22" s="16"/>
      <c r="F22" s="17" t="s">
        <v>72</v>
      </c>
      <c r="G22" s="18"/>
      <c r="H22" s="108">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73</v>
      </c>
      <c r="G25" s="18"/>
      <c r="H25" s="108">
        <v>0.01</v>
      </c>
      <c r="I25" s="20">
        <f>H16</f>
        <v>10000</v>
      </c>
      <c r="J25" s="109">
        <f t="shared" si="0"/>
        <v>100</v>
      </c>
      <c r="K25" s="16"/>
      <c r="L25" s="108">
        <f>'App.2-V Bill Impact &lt;50 2000kwh'!L25</f>
        <v>0.0123</v>
      </c>
      <c r="M25" s="22">
        <f>H16</f>
        <v>10000</v>
      </c>
      <c r="N25" s="109">
        <f t="shared" si="1"/>
        <v>123</v>
      </c>
      <c r="O25" s="16"/>
      <c r="P25" s="23">
        <f t="shared" si="2"/>
        <v>23</v>
      </c>
      <c r="Q25" s="110">
        <f t="shared" si="3"/>
        <v>0.23</v>
      </c>
    </row>
    <row r="26" spans="4:17" ht="12.75">
      <c r="D26" s="16" t="s">
        <v>32</v>
      </c>
      <c r="E26" s="16"/>
      <c r="F26" s="17" t="s">
        <v>73</v>
      </c>
      <c r="G26" s="18"/>
      <c r="H26" s="108">
        <v>0.0006</v>
      </c>
      <c r="I26" s="20">
        <f>I25</f>
        <v>10000</v>
      </c>
      <c r="J26" s="109">
        <f t="shared" si="0"/>
        <v>5.999999999999999</v>
      </c>
      <c r="K26" s="16"/>
      <c r="L26" s="108">
        <f>'App.2-V Bill Impact &lt;50 2000kwh'!L26</f>
        <v>0.0006</v>
      </c>
      <c r="M26" s="22">
        <f>M25</f>
        <v>10000</v>
      </c>
      <c r="N26" s="109">
        <f t="shared" si="1"/>
        <v>5.999999999999999</v>
      </c>
      <c r="O26" s="16"/>
      <c r="P26" s="23">
        <f t="shared" si="2"/>
        <v>0</v>
      </c>
      <c r="Q26" s="110">
        <f t="shared" si="3"/>
        <v>0</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 Impact &lt;50 2000kwh'!L29</f>
        <v>0</v>
      </c>
      <c r="M29" s="22">
        <v>1</v>
      </c>
      <c r="N29" s="109">
        <f t="shared" si="1"/>
        <v>0</v>
      </c>
      <c r="O29" s="16"/>
      <c r="P29" s="23">
        <f t="shared" si="2"/>
        <v>0</v>
      </c>
      <c r="Q29" s="110">
        <f t="shared" si="3"/>
      </c>
    </row>
    <row r="30" spans="4:17" ht="12.75">
      <c r="D30" s="16" t="s">
        <v>36</v>
      </c>
      <c r="E30" s="16"/>
      <c r="F30" s="17" t="s">
        <v>73</v>
      </c>
      <c r="G30" s="18"/>
      <c r="H30" s="108"/>
      <c r="I30" s="20"/>
      <c r="J30" s="109">
        <f t="shared" si="0"/>
        <v>0</v>
      </c>
      <c r="K30" s="16"/>
      <c r="L30" s="108">
        <f>'App.2-V Bill Impact &lt;50 2000kwh'!L30</f>
        <v>0.0004</v>
      </c>
      <c r="M30" s="20">
        <f>H16</f>
        <v>10000</v>
      </c>
      <c r="N30" s="109">
        <f t="shared" si="1"/>
        <v>4</v>
      </c>
      <c r="O30" s="16"/>
      <c r="P30" s="23">
        <f t="shared" si="2"/>
        <v>4</v>
      </c>
      <c r="Q30" s="110">
        <f t="shared" si="3"/>
      </c>
    </row>
    <row r="31" spans="4:17" ht="26.25">
      <c r="D31" s="25" t="s">
        <v>37</v>
      </c>
      <c r="E31" s="16"/>
      <c r="F31" s="17" t="s">
        <v>73</v>
      </c>
      <c r="G31" s="18"/>
      <c r="H31" s="108"/>
      <c r="I31" s="20"/>
      <c r="J31" s="109">
        <f t="shared" si="0"/>
        <v>0</v>
      </c>
      <c r="K31" s="16"/>
      <c r="L31" s="108">
        <f>'App.2-V Bill Impact &lt;50 2000kwh'!L31</f>
        <v>-0.005817469203499612</v>
      </c>
      <c r="M31" s="22">
        <f>M30</f>
        <v>10000</v>
      </c>
      <c r="N31" s="109">
        <f t="shared" si="1"/>
        <v>-58.17469203499612</v>
      </c>
      <c r="O31" s="16"/>
      <c r="P31" s="23">
        <f t="shared" si="2"/>
        <v>-58.17469203499612</v>
      </c>
      <c r="Q31" s="110">
        <f t="shared" si="3"/>
      </c>
    </row>
    <row r="32" spans="4:19" ht="13.5" thickBot="1">
      <c r="D32" s="26" t="s">
        <v>14</v>
      </c>
      <c r="E32" s="16"/>
      <c r="F32" s="17" t="s">
        <v>72</v>
      </c>
      <c r="G32" s="18"/>
      <c r="H32" s="108"/>
      <c r="I32" s="27"/>
      <c r="J32" s="109">
        <f t="shared" si="0"/>
        <v>0</v>
      </c>
      <c r="K32" s="16"/>
      <c r="L32" s="108">
        <f>'App.2-V Bill Impact &lt;50 2000kwh'!L32</f>
        <v>0</v>
      </c>
      <c r="M32" s="28">
        <v>1</v>
      </c>
      <c r="N32" s="109">
        <f t="shared" si="1"/>
        <v>0</v>
      </c>
      <c r="O32" s="16"/>
      <c r="P32" s="23">
        <f t="shared" si="2"/>
        <v>0</v>
      </c>
      <c r="Q32" s="110">
        <f t="shared" si="3"/>
      </c>
      <c r="S32" s="117"/>
    </row>
    <row r="33" spans="4:17" ht="13.5" thickBot="1">
      <c r="D33" s="3" t="s">
        <v>38</v>
      </c>
      <c r="G33" s="29"/>
      <c r="H33" s="30"/>
      <c r="I33" s="31"/>
      <c r="J33" s="32">
        <f>SUM(J21:J32)</f>
        <v>133.54999999999998</v>
      </c>
      <c r="L33" s="30"/>
      <c r="M33" s="33"/>
      <c r="N33" s="32">
        <f>SUM(N21:N32)</f>
        <v>111.17863406223509</v>
      </c>
      <c r="P33" s="34">
        <f t="shared" si="2"/>
        <v>-22.371365937764892</v>
      </c>
      <c r="Q33" s="35">
        <f t="shared" si="3"/>
        <v>-0.1675130358499805</v>
      </c>
    </row>
    <row r="34" spans="4:17" ht="12.75">
      <c r="D34" s="36" t="s">
        <v>39</v>
      </c>
      <c r="E34" s="36"/>
      <c r="F34" s="37" t="s">
        <v>73</v>
      </c>
      <c r="G34" s="38"/>
      <c r="H34" s="111">
        <v>0.0054</v>
      </c>
      <c r="I34" s="39">
        <f>H16*(1+H50)</f>
        <v>10502</v>
      </c>
      <c r="J34" s="112">
        <f>I34*H34</f>
        <v>56.710800000000006</v>
      </c>
      <c r="K34" s="36"/>
      <c r="L34" s="111">
        <v>0.0061</v>
      </c>
      <c r="M34" s="40">
        <f>H16*(1+L50)</f>
        <v>10525.5316333545</v>
      </c>
      <c r="N34" s="112">
        <f>M34*L34</f>
        <v>64.20574296346246</v>
      </c>
      <c r="O34" s="36"/>
      <c r="P34" s="41">
        <f t="shared" si="2"/>
        <v>7.494942963462449</v>
      </c>
      <c r="Q34" s="113">
        <f t="shared" si="3"/>
        <v>0.13216076943831595</v>
      </c>
    </row>
    <row r="35" spans="4:17" ht="27" thickBot="1">
      <c r="D35" s="42" t="s">
        <v>40</v>
      </c>
      <c r="E35" s="36"/>
      <c r="F35" s="37" t="s">
        <v>73</v>
      </c>
      <c r="G35" s="38"/>
      <c r="H35" s="111">
        <v>0.0043</v>
      </c>
      <c r="I35" s="39">
        <f>I34</f>
        <v>10502</v>
      </c>
      <c r="J35" s="112">
        <f>I35*H35</f>
        <v>45.1586</v>
      </c>
      <c r="K35" s="36"/>
      <c r="L35" s="111">
        <v>0.0047</v>
      </c>
      <c r="M35" s="40">
        <f>M34</f>
        <v>10525.5316333545</v>
      </c>
      <c r="N35" s="112">
        <f>M35*L35</f>
        <v>49.46999867676615</v>
      </c>
      <c r="O35" s="36"/>
      <c r="P35" s="41">
        <f t="shared" si="2"/>
        <v>4.311398676766153</v>
      </c>
      <c r="Q35" s="113">
        <f t="shared" si="3"/>
        <v>0.09547237241114988</v>
      </c>
    </row>
    <row r="36" spans="4:17" ht="27" thickBot="1">
      <c r="D36" s="43" t="s">
        <v>41</v>
      </c>
      <c r="E36" s="16"/>
      <c r="F36" s="16"/>
      <c r="G36" s="18"/>
      <c r="H36" s="44"/>
      <c r="I36" s="45"/>
      <c r="J36" s="46">
        <f>SUM(J33:J35)</f>
        <v>235.4194</v>
      </c>
      <c r="K36" s="47"/>
      <c r="L36" s="48"/>
      <c r="M36" s="49"/>
      <c r="N36" s="46">
        <f>SUM(N33:N35)</f>
        <v>224.8543757024637</v>
      </c>
      <c r="O36" s="47"/>
      <c r="P36" s="50">
        <f t="shared" si="2"/>
        <v>-10.565024297536297</v>
      </c>
      <c r="Q36" s="51">
        <f t="shared" si="3"/>
        <v>-0.04487745826187773</v>
      </c>
    </row>
    <row r="37" spans="4:17" ht="26.25">
      <c r="D37" s="25" t="s">
        <v>42</v>
      </c>
      <c r="E37" s="16"/>
      <c r="F37" s="17"/>
      <c r="G37" s="18"/>
      <c r="H37" s="19">
        <v>0.0065</v>
      </c>
      <c r="I37" s="20">
        <f>I35</f>
        <v>10502</v>
      </c>
      <c r="J37" s="21">
        <f aca="true" t="shared" si="4" ref="J37:J43">I37*H37</f>
        <v>68.26299999999999</v>
      </c>
      <c r="K37" s="16"/>
      <c r="L37" s="19">
        <v>0.0065</v>
      </c>
      <c r="M37" s="22">
        <f>M35</f>
        <v>10525.5316333545</v>
      </c>
      <c r="N37" s="21">
        <f aca="true" t="shared" si="5" ref="N37:N43">M37*L37</f>
        <v>68.41595561680424</v>
      </c>
      <c r="O37" s="16"/>
      <c r="P37" s="23">
        <f t="shared" si="2"/>
        <v>0.15295561680424896</v>
      </c>
      <c r="Q37" s="24">
        <f t="shared" si="3"/>
        <v>0.0022406811421157727</v>
      </c>
    </row>
    <row r="38" spans="4:17" ht="26.25">
      <c r="D38" s="25" t="s">
        <v>43</v>
      </c>
      <c r="E38" s="16"/>
      <c r="F38" s="17"/>
      <c r="G38" s="18"/>
      <c r="H38" s="19"/>
      <c r="I38" s="20">
        <f>I35</f>
        <v>10502</v>
      </c>
      <c r="J38" s="21">
        <f t="shared" si="4"/>
        <v>0</v>
      </c>
      <c r="K38" s="16"/>
      <c r="L38" s="19"/>
      <c r="M38" s="22">
        <f>M35</f>
        <v>10525.5316333545</v>
      </c>
      <c r="N38" s="21">
        <f t="shared" si="5"/>
        <v>0</v>
      </c>
      <c r="O38" s="16"/>
      <c r="P38" s="23">
        <f t="shared" si="2"/>
        <v>0</v>
      </c>
      <c r="Q38" s="24">
        <f t="shared" si="3"/>
      </c>
    </row>
    <row r="39" spans="4:17" ht="12.75">
      <c r="D39" s="25" t="s">
        <v>44</v>
      </c>
      <c r="E39" s="16"/>
      <c r="F39" s="17"/>
      <c r="G39" s="18"/>
      <c r="H39" s="52"/>
      <c r="I39" s="20">
        <f>I35</f>
        <v>10502</v>
      </c>
      <c r="J39" s="21">
        <f t="shared" si="4"/>
        <v>0</v>
      </c>
      <c r="K39" s="16"/>
      <c r="L39" s="52"/>
      <c r="M39" s="22">
        <f>M35</f>
        <v>10525.5316333545</v>
      </c>
      <c r="N39" s="21">
        <f t="shared" si="5"/>
        <v>0</v>
      </c>
      <c r="O39" s="16"/>
      <c r="P39" s="23">
        <f t="shared" si="2"/>
        <v>0</v>
      </c>
      <c r="Q39" s="24">
        <f t="shared" si="3"/>
      </c>
    </row>
    <row r="40" spans="4:17" ht="12.75">
      <c r="D40" s="16" t="s">
        <v>45</v>
      </c>
      <c r="E40" s="16"/>
      <c r="F40" s="17"/>
      <c r="G40" s="18"/>
      <c r="H40" s="19"/>
      <c r="I40" s="20">
        <v>1</v>
      </c>
      <c r="J40" s="21">
        <f t="shared" si="4"/>
        <v>0</v>
      </c>
      <c r="K40" s="16"/>
      <c r="L40" s="19"/>
      <c r="M40" s="22">
        <v>1</v>
      </c>
      <c r="N40" s="21">
        <f t="shared" si="5"/>
        <v>0</v>
      </c>
      <c r="O40" s="16"/>
      <c r="P40" s="23">
        <f t="shared" si="2"/>
        <v>0</v>
      </c>
      <c r="Q40" s="24">
        <f t="shared" si="3"/>
      </c>
    </row>
    <row r="41" spans="4:17" ht="12.75">
      <c r="D41" s="16" t="s">
        <v>46</v>
      </c>
      <c r="E41" s="16"/>
      <c r="F41" s="17" t="s">
        <v>73</v>
      </c>
      <c r="G41" s="18"/>
      <c r="H41" s="19">
        <v>0.007</v>
      </c>
      <c r="I41" s="20">
        <f>I38</f>
        <v>10502</v>
      </c>
      <c r="J41" s="21">
        <f t="shared" si="4"/>
        <v>73.514</v>
      </c>
      <c r="K41" s="16"/>
      <c r="L41" s="19">
        <v>0.007</v>
      </c>
      <c r="M41" s="22">
        <f>M38</f>
        <v>10525.5316333545</v>
      </c>
      <c r="N41" s="21">
        <f t="shared" si="5"/>
        <v>73.6787214334815</v>
      </c>
      <c r="O41" s="16"/>
      <c r="P41" s="23">
        <f t="shared" si="2"/>
        <v>0.16472143348150325</v>
      </c>
      <c r="Q41" s="24">
        <f t="shared" si="3"/>
        <v>0.0022406811421158317</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9902</v>
      </c>
      <c r="J43" s="21">
        <f t="shared" si="4"/>
        <v>782.258</v>
      </c>
      <c r="K43" s="16"/>
      <c r="L43" s="19">
        <v>0.079</v>
      </c>
      <c r="M43" s="54">
        <f>M41-M42</f>
        <v>9925.5316333545</v>
      </c>
      <c r="N43" s="21">
        <f t="shared" si="5"/>
        <v>784.1169990350055</v>
      </c>
      <c r="O43" s="16"/>
      <c r="P43" s="23">
        <f t="shared" si="2"/>
        <v>1.8589990350054677</v>
      </c>
      <c r="Q43" s="24">
        <f t="shared" si="3"/>
        <v>0.002376452570642253</v>
      </c>
    </row>
    <row r="44" spans="4:17" ht="13.5" thickBot="1">
      <c r="D44" s="56" t="s">
        <v>48</v>
      </c>
      <c r="E44" s="16"/>
      <c r="F44" s="16"/>
      <c r="G44" s="16"/>
      <c r="H44" s="57"/>
      <c r="I44" s="58"/>
      <c r="J44" s="46">
        <f>SUM(J36:J43)</f>
        <v>1200.2544</v>
      </c>
      <c r="K44" s="47"/>
      <c r="L44" s="59"/>
      <c r="M44" s="60"/>
      <c r="N44" s="46">
        <f>SUM(N36:N43)</f>
        <v>1191.866051787755</v>
      </c>
      <c r="O44" s="47"/>
      <c r="P44" s="50">
        <f t="shared" si="2"/>
        <v>-8.388348212245091</v>
      </c>
      <c r="Q44" s="51">
        <f t="shared" si="3"/>
        <v>-0.006988808549458424</v>
      </c>
    </row>
    <row r="45" spans="4:17" ht="13.5" thickBot="1">
      <c r="D45" s="18" t="s">
        <v>49</v>
      </c>
      <c r="E45" s="16"/>
      <c r="F45" s="16"/>
      <c r="G45" s="16"/>
      <c r="H45" s="61">
        <v>0.13</v>
      </c>
      <c r="I45" s="62"/>
      <c r="J45" s="63">
        <f>J44*H45</f>
        <v>156.033072</v>
      </c>
      <c r="K45" s="16"/>
      <c r="L45" s="61">
        <v>0.13</v>
      </c>
      <c r="M45" s="64"/>
      <c r="N45" s="63">
        <f>N44*L45</f>
        <v>154.94258673240816</v>
      </c>
      <c r="O45" s="16"/>
      <c r="P45" s="23">
        <f t="shared" si="2"/>
        <v>-1.0904852675918448</v>
      </c>
      <c r="Q45" s="24">
        <f t="shared" si="3"/>
        <v>-0.006988808549458315</v>
      </c>
    </row>
    <row r="46" spans="4:17" ht="27" thickBot="1">
      <c r="D46" s="43" t="s">
        <v>50</v>
      </c>
      <c r="E46" s="16"/>
      <c r="F46" s="16"/>
      <c r="G46" s="16"/>
      <c r="H46" s="44"/>
      <c r="I46" s="45"/>
      <c r="J46" s="46">
        <f>ROUND(SUM(J44:J45),2)</f>
        <v>1356.29</v>
      </c>
      <c r="K46" s="47"/>
      <c r="L46" s="48"/>
      <c r="M46" s="49"/>
      <c r="N46" s="46">
        <f>ROUND(SUM(N44:N45),2)</f>
        <v>1346.81</v>
      </c>
      <c r="O46" s="47"/>
      <c r="P46" s="50">
        <f t="shared" si="2"/>
        <v>-9.480000000000018</v>
      </c>
      <c r="Q46" s="51">
        <f t="shared" si="3"/>
        <v>-0.006989655604627343</v>
      </c>
    </row>
    <row r="47" spans="4:17" ht="29.25" thickBot="1">
      <c r="D47" s="83" t="s">
        <v>102</v>
      </c>
      <c r="E47" s="16"/>
      <c r="F47" s="16"/>
      <c r="G47" s="16"/>
      <c r="H47" s="44"/>
      <c r="I47" s="80"/>
      <c r="J47" s="46">
        <f>ROUND(-J46*10%,2)</f>
        <v>-135.63</v>
      </c>
      <c r="K47" s="47"/>
      <c r="L47" s="48"/>
      <c r="M47" s="49"/>
      <c r="N47" s="46">
        <f>ROUND(-N46*10%,2)</f>
        <v>-134.68</v>
      </c>
      <c r="O47" s="47"/>
      <c r="P47" s="50">
        <f t="shared" si="2"/>
        <v>0.9499999999999886</v>
      </c>
      <c r="Q47" s="51">
        <f t="shared" si="3"/>
        <v>-0.007004350070043417</v>
      </c>
    </row>
    <row r="48" spans="4:17" ht="13.5" thickBot="1">
      <c r="D48" s="43" t="s">
        <v>55</v>
      </c>
      <c r="E48" s="16"/>
      <c r="F48" s="16"/>
      <c r="G48" s="16"/>
      <c r="H48" s="82"/>
      <c r="I48" s="81"/>
      <c r="J48" s="75">
        <f>J46+J47</f>
        <v>1220.6599999999999</v>
      </c>
      <c r="K48" s="47"/>
      <c r="L48" s="79"/>
      <c r="M48" s="78"/>
      <c r="N48" s="75">
        <f>N46+N47</f>
        <v>1212.1299999999999</v>
      </c>
      <c r="O48" s="47"/>
      <c r="P48" s="77">
        <f t="shared" si="2"/>
        <v>-8.529999999999973</v>
      </c>
      <c r="Q48" s="76">
        <f t="shared" si="3"/>
        <v>-0.006988022872872032</v>
      </c>
    </row>
    <row r="49" ht="10.5" customHeight="1">
      <c r="T49" s="123"/>
    </row>
    <row r="50" spans="4:12" ht="12.75">
      <c r="D50" s="3" t="s">
        <v>51</v>
      </c>
      <c r="H50" s="65">
        <v>0.0502</v>
      </c>
      <c r="I50" s="121"/>
      <c r="J50" s="121"/>
      <c r="K50" s="121"/>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3 G21:G32 G34:G35">
      <formula1>$B$14:$B$19</formula1>
    </dataValidation>
    <dataValidation type="list" allowBlank="1" showInputMessage="1" showErrorMessage="1" prompt="Select Charge Unit - monthly, per kWh, per kW" sqref="F34:F35 F21:F32 F37:F43">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T64"/>
  <sheetViews>
    <sheetView showGridLines="0" zoomScalePageLayoutView="0" workbookViewId="0" topLeftCell="A13">
      <selection activeCell="L21" sqref="L21:L3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0.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8.8515625" style="2" customWidth="1"/>
    <col min="17" max="17" width="10.0039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74</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15000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25.56</v>
      </c>
      <c r="I21" s="20">
        <v>1</v>
      </c>
      <c r="J21" s="109">
        <f aca="true" t="shared" si="0" ref="J21:J32">I21*H21</f>
        <v>25.56</v>
      </c>
      <c r="K21" s="16"/>
      <c r="L21" s="108">
        <f>'App.2-V Bill Impact &lt;50 2000kwh'!L21</f>
        <v>31.53</v>
      </c>
      <c r="M21" s="22">
        <v>1</v>
      </c>
      <c r="N21" s="109">
        <f aca="true" t="shared" si="1" ref="N21:N32">M21*L21</f>
        <v>31.53</v>
      </c>
      <c r="O21" s="16"/>
      <c r="P21" s="23">
        <f aca="true" t="shared" si="2" ref="P21:P48">N21-J21</f>
        <v>5.970000000000002</v>
      </c>
      <c r="Q21" s="110">
        <f aca="true" t="shared" si="3" ref="Q21:Q48">IF((J21)=0,"",(P21/J21))</f>
        <v>0.233568075117371</v>
      </c>
    </row>
    <row r="22" spans="4:17" ht="12.75">
      <c r="D22" s="16" t="s">
        <v>28</v>
      </c>
      <c r="E22" s="16"/>
      <c r="F22" s="17" t="s">
        <v>72</v>
      </c>
      <c r="G22" s="18"/>
      <c r="H22" s="108">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73</v>
      </c>
      <c r="G25" s="18"/>
      <c r="H25" s="108">
        <v>0.01</v>
      </c>
      <c r="I25" s="20">
        <f>H16</f>
        <v>15000</v>
      </c>
      <c r="J25" s="109">
        <f t="shared" si="0"/>
        <v>150</v>
      </c>
      <c r="K25" s="16"/>
      <c r="L25" s="108">
        <f>'App.2-V Bill Impact &lt;50 2000kwh'!L25</f>
        <v>0.0123</v>
      </c>
      <c r="M25" s="22">
        <f>H16</f>
        <v>15000</v>
      </c>
      <c r="N25" s="109">
        <f t="shared" si="1"/>
        <v>184.5</v>
      </c>
      <c r="O25" s="16"/>
      <c r="P25" s="23">
        <f t="shared" si="2"/>
        <v>34.5</v>
      </c>
      <c r="Q25" s="110">
        <f t="shared" si="3"/>
        <v>0.23</v>
      </c>
    </row>
    <row r="26" spans="4:17" ht="12.75">
      <c r="D26" s="16" t="s">
        <v>32</v>
      </c>
      <c r="E26" s="16"/>
      <c r="F26" s="17" t="s">
        <v>73</v>
      </c>
      <c r="G26" s="18"/>
      <c r="H26" s="108">
        <v>0.0006</v>
      </c>
      <c r="I26" s="20">
        <f>I25</f>
        <v>15000</v>
      </c>
      <c r="J26" s="109">
        <f t="shared" si="0"/>
        <v>9</v>
      </c>
      <c r="K26" s="16"/>
      <c r="L26" s="108">
        <f>'App.2-V Bill Impact &lt;50 2000kwh'!L26</f>
        <v>0.0006</v>
      </c>
      <c r="M26" s="22">
        <f>M25</f>
        <v>15000</v>
      </c>
      <c r="N26" s="109">
        <f t="shared" si="1"/>
        <v>9</v>
      </c>
      <c r="O26" s="16"/>
      <c r="P26" s="23">
        <f t="shared" si="2"/>
        <v>0</v>
      </c>
      <c r="Q26" s="110">
        <f t="shared" si="3"/>
        <v>0</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 Impact &lt;50 2000kwh'!L29</f>
        <v>0</v>
      </c>
      <c r="M29" s="22">
        <v>1</v>
      </c>
      <c r="N29" s="109">
        <f t="shared" si="1"/>
        <v>0</v>
      </c>
      <c r="O29" s="16"/>
      <c r="P29" s="23">
        <f t="shared" si="2"/>
        <v>0</v>
      </c>
      <c r="Q29" s="110">
        <f t="shared" si="3"/>
      </c>
    </row>
    <row r="30" spans="4:17" ht="12.75">
      <c r="D30" s="16" t="s">
        <v>36</v>
      </c>
      <c r="E30" s="16"/>
      <c r="F30" s="17" t="s">
        <v>73</v>
      </c>
      <c r="G30" s="18"/>
      <c r="H30" s="108"/>
      <c r="I30" s="20"/>
      <c r="J30" s="109">
        <f t="shared" si="0"/>
        <v>0</v>
      </c>
      <c r="K30" s="16"/>
      <c r="L30" s="108">
        <f>'App.2-V Bill Impact &lt;50 2000kwh'!L30</f>
        <v>0.0004</v>
      </c>
      <c r="M30" s="20">
        <f>H16</f>
        <v>15000</v>
      </c>
      <c r="N30" s="109">
        <f t="shared" si="1"/>
        <v>6</v>
      </c>
      <c r="O30" s="16"/>
      <c r="P30" s="23">
        <f t="shared" si="2"/>
        <v>6</v>
      </c>
      <c r="Q30" s="110">
        <f t="shared" si="3"/>
      </c>
    </row>
    <row r="31" spans="4:17" ht="26.25">
      <c r="D31" s="25" t="s">
        <v>37</v>
      </c>
      <c r="E31" s="16"/>
      <c r="F31" s="17" t="s">
        <v>73</v>
      </c>
      <c r="G31" s="18"/>
      <c r="H31" s="108"/>
      <c r="I31" s="20"/>
      <c r="J31" s="109">
        <f t="shared" si="0"/>
        <v>0</v>
      </c>
      <c r="K31" s="16"/>
      <c r="L31" s="108">
        <f>'App.2-V Bill Impact &lt;50 2000kwh'!L31</f>
        <v>-0.005817469203499612</v>
      </c>
      <c r="M31" s="22">
        <f>M30</f>
        <v>15000</v>
      </c>
      <c r="N31" s="109">
        <f t="shared" si="1"/>
        <v>-87.26203805249418</v>
      </c>
      <c r="O31" s="16"/>
      <c r="P31" s="23">
        <f t="shared" si="2"/>
        <v>-87.26203805249418</v>
      </c>
      <c r="Q31" s="110">
        <f t="shared" si="3"/>
      </c>
    </row>
    <row r="32" spans="4:19" ht="13.5" thickBot="1">
      <c r="D32" s="26" t="s">
        <v>14</v>
      </c>
      <c r="E32" s="16"/>
      <c r="F32" s="17" t="s">
        <v>72</v>
      </c>
      <c r="G32" s="18"/>
      <c r="H32" s="108"/>
      <c r="I32" s="27"/>
      <c r="J32" s="109">
        <f t="shared" si="0"/>
        <v>0</v>
      </c>
      <c r="K32" s="16"/>
      <c r="L32" s="108">
        <f>'App.2-V Bill Impact &lt;50 2000kwh'!L32</f>
        <v>0</v>
      </c>
      <c r="M32" s="28">
        <v>1</v>
      </c>
      <c r="N32" s="109">
        <f t="shared" si="1"/>
        <v>0</v>
      </c>
      <c r="O32" s="16"/>
      <c r="P32" s="23">
        <f t="shared" si="2"/>
        <v>0</v>
      </c>
      <c r="Q32" s="110">
        <f t="shared" si="3"/>
      </c>
      <c r="S32" s="117"/>
    </row>
    <row r="33" spans="4:17" ht="13.5" thickBot="1">
      <c r="D33" s="3" t="s">
        <v>38</v>
      </c>
      <c r="G33" s="29"/>
      <c r="H33" s="30"/>
      <c r="I33" s="31"/>
      <c r="J33" s="32">
        <f>SUM(J21:J32)</f>
        <v>186.55</v>
      </c>
      <c r="L33" s="30"/>
      <c r="M33" s="33"/>
      <c r="N33" s="32">
        <f>SUM(N21:N32)</f>
        <v>148.59128804473704</v>
      </c>
      <c r="P33" s="34">
        <f t="shared" si="2"/>
        <v>-37.95871195526297</v>
      </c>
      <c r="Q33" s="35">
        <f t="shared" si="3"/>
        <v>-0.20347741600248173</v>
      </c>
    </row>
    <row r="34" spans="4:17" ht="12.75">
      <c r="D34" s="36" t="s">
        <v>39</v>
      </c>
      <c r="E34" s="36"/>
      <c r="F34" s="37" t="s">
        <v>73</v>
      </c>
      <c r="G34" s="38"/>
      <c r="H34" s="111">
        <v>0.0054</v>
      </c>
      <c r="I34" s="39">
        <f>H16*(1+H50)</f>
        <v>15753</v>
      </c>
      <c r="J34" s="112">
        <f>I34*H34</f>
        <v>85.06620000000001</v>
      </c>
      <c r="K34" s="36"/>
      <c r="L34" s="111">
        <v>0.0061</v>
      </c>
      <c r="M34" s="40">
        <f>H16*(1+L50)</f>
        <v>15788.297450031749</v>
      </c>
      <c r="N34" s="112">
        <f>M34*L34</f>
        <v>96.30861444519367</v>
      </c>
      <c r="O34" s="36"/>
      <c r="P34" s="41">
        <f t="shared" si="2"/>
        <v>11.24241444519366</v>
      </c>
      <c r="Q34" s="113">
        <f t="shared" si="3"/>
        <v>0.13216076943831578</v>
      </c>
    </row>
    <row r="35" spans="4:17" ht="27" thickBot="1">
      <c r="D35" s="42" t="s">
        <v>40</v>
      </c>
      <c r="E35" s="36"/>
      <c r="F35" s="37" t="s">
        <v>73</v>
      </c>
      <c r="G35" s="38"/>
      <c r="H35" s="111">
        <v>0.0043</v>
      </c>
      <c r="I35" s="39">
        <f>I34</f>
        <v>15753</v>
      </c>
      <c r="J35" s="112">
        <f>I35*H35</f>
        <v>67.7379</v>
      </c>
      <c r="K35" s="36"/>
      <c r="L35" s="111">
        <v>0.0047</v>
      </c>
      <c r="M35" s="40">
        <f>M34</f>
        <v>15788.297450031749</v>
      </c>
      <c r="N35" s="112">
        <f>M35*L35</f>
        <v>74.20499801514922</v>
      </c>
      <c r="O35" s="36"/>
      <c r="P35" s="41">
        <f t="shared" si="2"/>
        <v>6.467098015149219</v>
      </c>
      <c r="Q35" s="113">
        <f t="shared" si="3"/>
        <v>0.09547237241114973</v>
      </c>
    </row>
    <row r="36" spans="4:17" ht="27" thickBot="1">
      <c r="D36" s="43" t="s">
        <v>41</v>
      </c>
      <c r="E36" s="16"/>
      <c r="F36" s="16"/>
      <c r="G36" s="18"/>
      <c r="H36" s="44"/>
      <c r="I36" s="45"/>
      <c r="J36" s="46">
        <f>SUM(J33:J35)</f>
        <v>339.3541</v>
      </c>
      <c r="K36" s="47"/>
      <c r="L36" s="48"/>
      <c r="M36" s="49"/>
      <c r="N36" s="46">
        <f>SUM(N33:N35)</f>
        <v>319.1049005050799</v>
      </c>
      <c r="O36" s="47"/>
      <c r="P36" s="50">
        <f t="shared" si="2"/>
        <v>-20.249199494920106</v>
      </c>
      <c r="Q36" s="51">
        <f t="shared" si="3"/>
        <v>-0.05966982421877356</v>
      </c>
    </row>
    <row r="37" spans="4:17" ht="26.25">
      <c r="D37" s="25" t="s">
        <v>42</v>
      </c>
      <c r="E37" s="16"/>
      <c r="F37" s="17"/>
      <c r="G37" s="18"/>
      <c r="H37" s="19">
        <v>0.0065</v>
      </c>
      <c r="I37" s="20">
        <f>I35</f>
        <v>15753</v>
      </c>
      <c r="J37" s="21">
        <f aca="true" t="shared" si="4" ref="J37:J43">I37*H37</f>
        <v>102.3945</v>
      </c>
      <c r="K37" s="16"/>
      <c r="L37" s="19">
        <v>0.0065</v>
      </c>
      <c r="M37" s="22">
        <f>M35</f>
        <v>15788.297450031749</v>
      </c>
      <c r="N37" s="21">
        <f aca="true" t="shared" si="5" ref="N37:N43">M37*L37</f>
        <v>102.62393342520636</v>
      </c>
      <c r="O37" s="16"/>
      <c r="P37" s="23">
        <f t="shared" si="2"/>
        <v>0.22943342520636634</v>
      </c>
      <c r="Q37" s="24">
        <f t="shared" si="3"/>
        <v>0.002240681142115703</v>
      </c>
    </row>
    <row r="38" spans="4:17" ht="26.25">
      <c r="D38" s="25" t="s">
        <v>43</v>
      </c>
      <c r="E38" s="16"/>
      <c r="F38" s="17"/>
      <c r="G38" s="18"/>
      <c r="H38" s="19"/>
      <c r="I38" s="20">
        <f>I35</f>
        <v>15753</v>
      </c>
      <c r="J38" s="21">
        <f t="shared" si="4"/>
        <v>0</v>
      </c>
      <c r="K38" s="16"/>
      <c r="L38" s="19"/>
      <c r="M38" s="22">
        <f>M35</f>
        <v>15788.297450031749</v>
      </c>
      <c r="N38" s="21">
        <f t="shared" si="5"/>
        <v>0</v>
      </c>
      <c r="O38" s="16"/>
      <c r="P38" s="23">
        <f t="shared" si="2"/>
        <v>0</v>
      </c>
      <c r="Q38" s="24">
        <f t="shared" si="3"/>
      </c>
    </row>
    <row r="39" spans="4:17" ht="12.75">
      <c r="D39" s="25" t="s">
        <v>44</v>
      </c>
      <c r="E39" s="16"/>
      <c r="F39" s="17"/>
      <c r="G39" s="18"/>
      <c r="H39" s="52"/>
      <c r="I39" s="20">
        <f>I35</f>
        <v>15753</v>
      </c>
      <c r="J39" s="21">
        <f t="shared" si="4"/>
        <v>0</v>
      </c>
      <c r="K39" s="16"/>
      <c r="L39" s="52"/>
      <c r="M39" s="22">
        <f>M35</f>
        <v>15788.297450031749</v>
      </c>
      <c r="N39" s="21">
        <f t="shared" si="5"/>
        <v>0</v>
      </c>
      <c r="O39" s="16"/>
      <c r="P39" s="23">
        <f t="shared" si="2"/>
        <v>0</v>
      </c>
      <c r="Q39" s="24">
        <f t="shared" si="3"/>
      </c>
    </row>
    <row r="40" spans="4:17" ht="12.75">
      <c r="D40" s="16" t="s">
        <v>45</v>
      </c>
      <c r="E40" s="16"/>
      <c r="F40" s="17"/>
      <c r="G40" s="18"/>
      <c r="H40" s="19"/>
      <c r="I40" s="20">
        <v>1</v>
      </c>
      <c r="J40" s="21">
        <f t="shared" si="4"/>
        <v>0</v>
      </c>
      <c r="K40" s="16"/>
      <c r="L40" s="19"/>
      <c r="M40" s="22">
        <v>1</v>
      </c>
      <c r="N40" s="21">
        <f t="shared" si="5"/>
        <v>0</v>
      </c>
      <c r="O40" s="16"/>
      <c r="P40" s="23">
        <f t="shared" si="2"/>
        <v>0</v>
      </c>
      <c r="Q40" s="24">
        <f t="shared" si="3"/>
      </c>
    </row>
    <row r="41" spans="4:17" ht="12.75">
      <c r="D41" s="16" t="s">
        <v>46</v>
      </c>
      <c r="E41" s="16"/>
      <c r="F41" s="17" t="s">
        <v>73</v>
      </c>
      <c r="G41" s="18"/>
      <c r="H41" s="19">
        <v>0.007</v>
      </c>
      <c r="I41" s="20">
        <f>I38</f>
        <v>15753</v>
      </c>
      <c r="J41" s="21">
        <f t="shared" si="4"/>
        <v>110.271</v>
      </c>
      <c r="K41" s="16"/>
      <c r="L41" s="19">
        <v>0.007</v>
      </c>
      <c r="M41" s="22">
        <f>M38</f>
        <v>15788.297450031749</v>
      </c>
      <c r="N41" s="21">
        <f t="shared" si="5"/>
        <v>110.51808215022224</v>
      </c>
      <c r="O41" s="16"/>
      <c r="P41" s="23">
        <f t="shared" si="2"/>
        <v>0.24708215022224067</v>
      </c>
      <c r="Q41" s="24">
        <f t="shared" si="3"/>
        <v>0.002240681142115703</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15153</v>
      </c>
      <c r="J43" s="21">
        <f t="shared" si="4"/>
        <v>1197.087</v>
      </c>
      <c r="K43" s="16"/>
      <c r="L43" s="19">
        <v>0.079</v>
      </c>
      <c r="M43" s="54">
        <f>M41-M42</f>
        <v>15188.297450031749</v>
      </c>
      <c r="N43" s="21">
        <f t="shared" si="5"/>
        <v>1199.8754985525081</v>
      </c>
      <c r="O43" s="16"/>
      <c r="P43" s="23">
        <f t="shared" si="2"/>
        <v>2.7884985525081447</v>
      </c>
      <c r="Q43" s="24">
        <f t="shared" si="3"/>
        <v>0.002329403420560197</v>
      </c>
    </row>
    <row r="44" spans="4:17" ht="13.5" thickBot="1">
      <c r="D44" s="56" t="s">
        <v>48</v>
      </c>
      <c r="E44" s="16"/>
      <c r="F44" s="16"/>
      <c r="G44" s="16"/>
      <c r="H44" s="57"/>
      <c r="I44" s="58"/>
      <c r="J44" s="46">
        <f>SUM(J36:J43)</f>
        <v>1789.9065999999998</v>
      </c>
      <c r="K44" s="47"/>
      <c r="L44" s="59"/>
      <c r="M44" s="60"/>
      <c r="N44" s="46">
        <f>SUM(N36:N43)</f>
        <v>1772.9224146330166</v>
      </c>
      <c r="O44" s="47"/>
      <c r="P44" s="50">
        <f t="shared" si="2"/>
        <v>-16.984185366983183</v>
      </c>
      <c r="Q44" s="51">
        <f t="shared" si="3"/>
        <v>-0.009488866830807364</v>
      </c>
    </row>
    <row r="45" spans="4:17" ht="13.5" thickBot="1">
      <c r="D45" s="18" t="s">
        <v>49</v>
      </c>
      <c r="E45" s="16"/>
      <c r="F45" s="16"/>
      <c r="G45" s="16"/>
      <c r="H45" s="61">
        <v>0.13</v>
      </c>
      <c r="I45" s="62"/>
      <c r="J45" s="63">
        <f>J44*H45</f>
        <v>232.68785799999998</v>
      </c>
      <c r="K45" s="16"/>
      <c r="L45" s="61">
        <v>0.13</v>
      </c>
      <c r="M45" s="64"/>
      <c r="N45" s="63">
        <f>N44*L45</f>
        <v>230.47991390229217</v>
      </c>
      <c r="O45" s="16"/>
      <c r="P45" s="23">
        <f t="shared" si="2"/>
        <v>-2.2079440977078093</v>
      </c>
      <c r="Q45" s="24">
        <f t="shared" si="3"/>
        <v>-0.009488866830807345</v>
      </c>
    </row>
    <row r="46" spans="4:17" ht="27" thickBot="1">
      <c r="D46" s="43" t="s">
        <v>50</v>
      </c>
      <c r="E46" s="16"/>
      <c r="F46" s="16"/>
      <c r="G46" s="16"/>
      <c r="H46" s="44"/>
      <c r="I46" s="45"/>
      <c r="J46" s="46">
        <f>ROUND(SUM(J44:J45),2)</f>
        <v>2022.59</v>
      </c>
      <c r="K46" s="47"/>
      <c r="L46" s="48"/>
      <c r="M46" s="49"/>
      <c r="N46" s="46">
        <f>ROUND(SUM(N44:N45),2)</f>
        <v>2003.4</v>
      </c>
      <c r="O46" s="47"/>
      <c r="P46" s="50">
        <f t="shared" si="2"/>
        <v>-19.189999999999827</v>
      </c>
      <c r="Q46" s="51">
        <f t="shared" si="3"/>
        <v>-0.009487834904750754</v>
      </c>
    </row>
    <row r="47" spans="4:17" ht="29.25" thickBot="1">
      <c r="D47" s="83" t="s">
        <v>102</v>
      </c>
      <c r="E47" s="16"/>
      <c r="F47" s="16"/>
      <c r="G47" s="16"/>
      <c r="H47" s="44"/>
      <c r="I47" s="80"/>
      <c r="J47" s="46">
        <f>ROUND(-J46*10%,2)</f>
        <v>-202.26</v>
      </c>
      <c r="K47" s="47"/>
      <c r="L47" s="48"/>
      <c r="M47" s="49"/>
      <c r="N47" s="46">
        <f>ROUND(-N46*10%,2)</f>
        <v>-200.34</v>
      </c>
      <c r="O47" s="47"/>
      <c r="P47" s="50">
        <f t="shared" si="2"/>
        <v>1.9199999999999875</v>
      </c>
      <c r="Q47" s="51">
        <f t="shared" si="3"/>
        <v>-0.00949273212696523</v>
      </c>
    </row>
    <row r="48" spans="4:17" ht="13.5" thickBot="1">
      <c r="D48" s="43" t="s">
        <v>55</v>
      </c>
      <c r="E48" s="16"/>
      <c r="F48" s="16"/>
      <c r="G48" s="16"/>
      <c r="H48" s="82"/>
      <c r="I48" s="81"/>
      <c r="J48" s="75">
        <f>J46+J47</f>
        <v>1820.33</v>
      </c>
      <c r="K48" s="47"/>
      <c r="L48" s="79"/>
      <c r="M48" s="78"/>
      <c r="N48" s="75">
        <f>N46+N47</f>
        <v>1803.0600000000002</v>
      </c>
      <c r="O48" s="47"/>
      <c r="P48" s="77">
        <f t="shared" si="2"/>
        <v>-17.269999999999754</v>
      </c>
      <c r="Q48" s="76">
        <f t="shared" si="3"/>
        <v>-0.009487290765959883</v>
      </c>
    </row>
    <row r="49" ht="10.5" customHeight="1">
      <c r="T49" s="123"/>
    </row>
    <row r="50" spans="4:12" ht="12.75">
      <c r="D50" s="3" t="s">
        <v>51</v>
      </c>
      <c r="H50" s="65">
        <v>0.0502</v>
      </c>
      <c r="I50" s="121"/>
      <c r="J50" s="121"/>
      <c r="K50" s="121"/>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3 G21:G32 G34:G35">
      <formula1>$B$14:$B$19</formula1>
    </dataValidation>
    <dataValidation type="list" allowBlank="1" showInputMessage="1" showErrorMessage="1" prompt="Select Charge Unit - monthly, per kWh, per kW" sqref="F34:F35 F21:F32 F37:F43">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S63"/>
  <sheetViews>
    <sheetView showGridLines="0" zoomScalePageLayoutView="0" workbookViewId="0" topLeftCell="A11">
      <selection activeCell="L21" sqref="L21:L3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0.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0.28125" style="2" bestFit="1" customWidth="1"/>
    <col min="17" max="17" width="8.7109375" style="2"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75</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3" ht="12.75">
      <c r="B16" s="8"/>
      <c r="D16" s="99"/>
      <c r="F16" s="3" t="s">
        <v>16</v>
      </c>
      <c r="G16" s="3"/>
      <c r="H16" s="6">
        <v>22000</v>
      </c>
      <c r="I16" s="3" t="s">
        <v>17</v>
      </c>
      <c r="L16" s="6">
        <v>60</v>
      </c>
      <c r="M16" s="3" t="s">
        <v>77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165.08</v>
      </c>
      <c r="I21" s="20">
        <v>1</v>
      </c>
      <c r="J21" s="109">
        <f aca="true" t="shared" si="0" ref="J21:J32">I21*H21</f>
        <v>165.08</v>
      </c>
      <c r="K21" s="16"/>
      <c r="L21" s="108">
        <f>'App.2-V BillImpact &gt;50 100kw'!L21</f>
        <v>203.66</v>
      </c>
      <c r="M21" s="22">
        <v>1</v>
      </c>
      <c r="N21" s="109">
        <f aca="true" t="shared" si="1" ref="N21:N32">M21*L21</f>
        <v>203.66</v>
      </c>
      <c r="O21" s="16"/>
      <c r="P21" s="23">
        <f aca="true" t="shared" si="2" ref="P21:P47">N21-J21</f>
        <v>38.579999999999984</v>
      </c>
      <c r="Q21" s="110">
        <f aca="true" t="shared" si="3" ref="Q21:Q47">IF((J21)=0,"",(P21/J21))</f>
        <v>0.23370487036588308</v>
      </c>
    </row>
    <row r="22" spans="4:17" ht="12.75">
      <c r="D22" s="16" t="s">
        <v>28</v>
      </c>
      <c r="E22" s="16"/>
      <c r="F22" s="17" t="s">
        <v>72</v>
      </c>
      <c r="G22" s="18"/>
      <c r="H22" s="108">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76</v>
      </c>
      <c r="G25" s="18"/>
      <c r="H25" s="108">
        <v>1.4136</v>
      </c>
      <c r="I25" s="20">
        <f>L16</f>
        <v>60</v>
      </c>
      <c r="J25" s="109">
        <f t="shared" si="0"/>
        <v>84.816</v>
      </c>
      <c r="K25" s="16"/>
      <c r="L25" s="108">
        <f>'App.2-V BillImpact &gt;50 100kw'!L25</f>
        <v>1.7031</v>
      </c>
      <c r="M25" s="22">
        <f>L16</f>
        <v>60</v>
      </c>
      <c r="N25" s="109">
        <f t="shared" si="1"/>
        <v>102.186</v>
      </c>
      <c r="O25" s="16"/>
      <c r="P25" s="23">
        <f t="shared" si="2"/>
        <v>17.370000000000005</v>
      </c>
      <c r="Q25" s="110">
        <f t="shared" si="3"/>
        <v>0.20479626485568767</v>
      </c>
    </row>
    <row r="26" spans="4:17" ht="12.75">
      <c r="D26" s="16" t="s">
        <v>32</v>
      </c>
      <c r="E26" s="16"/>
      <c r="F26" s="17" t="s">
        <v>76</v>
      </c>
      <c r="G26" s="18"/>
      <c r="H26" s="108">
        <v>0.2877</v>
      </c>
      <c r="I26" s="20">
        <f>I25</f>
        <v>60</v>
      </c>
      <c r="J26" s="109">
        <f t="shared" si="0"/>
        <v>17.262</v>
      </c>
      <c r="K26" s="16"/>
      <c r="L26" s="108">
        <f>'App.2-V BillImpact &gt;50 100kw'!L26</f>
        <v>0.2603</v>
      </c>
      <c r="M26" s="22">
        <f>M25</f>
        <v>60</v>
      </c>
      <c r="N26" s="109">
        <f t="shared" si="1"/>
        <v>15.617999999999999</v>
      </c>
      <c r="O26" s="16"/>
      <c r="P26" s="23">
        <f t="shared" si="2"/>
        <v>-1.644000000000002</v>
      </c>
      <c r="Q26" s="110">
        <f t="shared" si="3"/>
        <v>-0.09523809523809534</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BillImpact &gt;50 100kw'!L29</f>
        <v>0</v>
      </c>
      <c r="M29" s="22">
        <v>1</v>
      </c>
      <c r="N29" s="109">
        <f t="shared" si="1"/>
        <v>0</v>
      </c>
      <c r="O29" s="16"/>
      <c r="P29" s="23">
        <f t="shared" si="2"/>
        <v>0</v>
      </c>
      <c r="Q29" s="110">
        <f t="shared" si="3"/>
      </c>
    </row>
    <row r="30" spans="4:17" ht="12.75">
      <c r="D30" s="16" t="s">
        <v>36</v>
      </c>
      <c r="E30" s="16"/>
      <c r="F30" s="17" t="s">
        <v>76</v>
      </c>
      <c r="G30" s="18"/>
      <c r="H30" s="108"/>
      <c r="I30" s="20"/>
      <c r="J30" s="109">
        <f t="shared" si="0"/>
        <v>0</v>
      </c>
      <c r="K30" s="16"/>
      <c r="L30" s="108">
        <f>'App.2-V BillImpact &gt;50 100kw'!L30</f>
        <v>0.1062</v>
      </c>
      <c r="M30" s="22">
        <f>L16</f>
        <v>60</v>
      </c>
      <c r="N30" s="109">
        <f t="shared" si="1"/>
        <v>6.372</v>
      </c>
      <c r="O30" s="16"/>
      <c r="P30" s="23">
        <f t="shared" si="2"/>
        <v>6.372</v>
      </c>
      <c r="Q30" s="110">
        <f t="shared" si="3"/>
      </c>
    </row>
    <row r="31" spans="4:17" ht="26.25">
      <c r="D31" s="25" t="s">
        <v>37</v>
      </c>
      <c r="E31" s="16"/>
      <c r="F31" s="17" t="s">
        <v>76</v>
      </c>
      <c r="G31" s="18"/>
      <c r="H31" s="108"/>
      <c r="I31" s="20"/>
      <c r="J31" s="109">
        <f t="shared" si="0"/>
        <v>0</v>
      </c>
      <c r="K31" s="16"/>
      <c r="L31" s="108">
        <f>'App.2-V BillImpact &gt;50 100kw'!L31</f>
        <v>-2.5414346530315033</v>
      </c>
      <c r="M31" s="22">
        <f>M30</f>
        <v>60</v>
      </c>
      <c r="N31" s="109">
        <f t="shared" si="1"/>
        <v>-152.4860791818902</v>
      </c>
      <c r="O31" s="16"/>
      <c r="P31" s="23">
        <f t="shared" si="2"/>
        <v>-152.4860791818902</v>
      </c>
      <c r="Q31" s="110">
        <f t="shared" si="3"/>
      </c>
    </row>
    <row r="32" spans="4:17" ht="13.5" thickBot="1">
      <c r="D32" s="26" t="s">
        <v>14</v>
      </c>
      <c r="E32" s="16"/>
      <c r="F32" s="17" t="s">
        <v>72</v>
      </c>
      <c r="G32" s="18"/>
      <c r="H32" s="108"/>
      <c r="I32" s="27"/>
      <c r="J32" s="109">
        <f t="shared" si="0"/>
        <v>0</v>
      </c>
      <c r="K32" s="16"/>
      <c r="L32" s="108">
        <f>'App.2-V BillImpact &gt;50 100kw'!L32</f>
        <v>0</v>
      </c>
      <c r="M32" s="28">
        <v>1</v>
      </c>
      <c r="N32" s="109">
        <f t="shared" si="1"/>
        <v>0</v>
      </c>
      <c r="O32" s="16"/>
      <c r="P32" s="23">
        <f t="shared" si="2"/>
        <v>0</v>
      </c>
      <c r="Q32" s="110">
        <f t="shared" si="3"/>
      </c>
    </row>
    <row r="33" spans="4:17" ht="13.5" thickBot="1">
      <c r="D33" s="3" t="s">
        <v>38</v>
      </c>
      <c r="G33" s="29"/>
      <c r="H33" s="30"/>
      <c r="I33" s="31"/>
      <c r="J33" s="32">
        <f>SUM(J21:J32)</f>
        <v>269.148</v>
      </c>
      <c r="L33" s="30"/>
      <c r="M33" s="33"/>
      <c r="N33" s="32">
        <f>SUM(N21:N32)</f>
        <v>180.173246915341</v>
      </c>
      <c r="P33" s="34">
        <f t="shared" si="2"/>
        <v>-88.97475308465903</v>
      </c>
      <c r="Q33" s="35">
        <f t="shared" si="3"/>
        <v>-0.33057928383141993</v>
      </c>
    </row>
    <row r="34" spans="4:19" ht="12.75">
      <c r="D34" s="36" t="s">
        <v>39</v>
      </c>
      <c r="E34" s="36"/>
      <c r="F34" s="37" t="s">
        <v>76</v>
      </c>
      <c r="G34" s="38"/>
      <c r="H34" s="111">
        <v>2.1814</v>
      </c>
      <c r="I34" s="39">
        <f>L16</f>
        <v>60</v>
      </c>
      <c r="J34" s="112">
        <f>I34*H34</f>
        <v>130.88400000000001</v>
      </c>
      <c r="K34" s="36"/>
      <c r="L34" s="111">
        <f>'App.2-V BillImpact &gt;50 100kw'!L34</f>
        <v>2.4546</v>
      </c>
      <c r="M34" s="39">
        <f>L16</f>
        <v>60</v>
      </c>
      <c r="N34" s="112">
        <f>M34*L34</f>
        <v>147.276</v>
      </c>
      <c r="O34" s="36"/>
      <c r="P34" s="41">
        <f t="shared" si="2"/>
        <v>16.391999999999996</v>
      </c>
      <c r="Q34" s="113">
        <f t="shared" si="3"/>
        <v>0.12524067112863294</v>
      </c>
      <c r="R34" s="29"/>
      <c r="S34" s="29"/>
    </row>
    <row r="35" spans="4:19" ht="27" thickBot="1">
      <c r="D35" s="42" t="s">
        <v>40</v>
      </c>
      <c r="E35" s="36"/>
      <c r="F35" s="37" t="s">
        <v>76</v>
      </c>
      <c r="G35" s="38"/>
      <c r="H35" s="111">
        <v>1.7374</v>
      </c>
      <c r="I35" s="39">
        <f>I34</f>
        <v>60</v>
      </c>
      <c r="J35" s="112">
        <f>I35*H35</f>
        <v>104.244</v>
      </c>
      <c r="K35" s="36"/>
      <c r="L35" s="111">
        <f>'App.2-V BillImpact &gt;50 100kw'!L35</f>
        <v>1.9125</v>
      </c>
      <c r="M35" s="40">
        <f>M34</f>
        <v>60</v>
      </c>
      <c r="N35" s="112">
        <f>M35*L35</f>
        <v>114.75</v>
      </c>
      <c r="O35" s="36"/>
      <c r="P35" s="41">
        <f t="shared" si="2"/>
        <v>10.506</v>
      </c>
      <c r="Q35" s="113">
        <f t="shared" si="3"/>
        <v>0.10078277886497065</v>
      </c>
      <c r="R35" s="29"/>
      <c r="S35" s="29"/>
    </row>
    <row r="36" spans="4:19" ht="27" thickBot="1">
      <c r="D36" s="43" t="s">
        <v>41</v>
      </c>
      <c r="E36" s="16"/>
      <c r="F36" s="16"/>
      <c r="G36" s="18"/>
      <c r="H36" s="44"/>
      <c r="I36" s="45"/>
      <c r="J36" s="46">
        <f>SUM(J33:J35)</f>
        <v>504.27600000000007</v>
      </c>
      <c r="K36" s="47"/>
      <c r="L36" s="48"/>
      <c r="M36" s="49"/>
      <c r="N36" s="46">
        <f>SUM(N33:N35)</f>
        <v>442.199246915341</v>
      </c>
      <c r="O36" s="47"/>
      <c r="P36" s="50">
        <f t="shared" si="2"/>
        <v>-62.07675308465906</v>
      </c>
      <c r="Q36" s="51">
        <f t="shared" si="3"/>
        <v>-0.12310074856756827</v>
      </c>
      <c r="R36" s="29"/>
      <c r="S36" s="29"/>
    </row>
    <row r="37" spans="4:17" ht="26.25">
      <c r="D37" s="25" t="s">
        <v>42</v>
      </c>
      <c r="E37" s="16"/>
      <c r="F37" s="17" t="s">
        <v>73</v>
      </c>
      <c r="G37" s="18"/>
      <c r="H37" s="19">
        <v>0.0065</v>
      </c>
      <c r="I37" s="20">
        <f>H16*(1+H49)</f>
        <v>23104.4</v>
      </c>
      <c r="J37" s="21">
        <f aca="true" t="shared" si="4" ref="J37:J42">I37*H37</f>
        <v>150.1786</v>
      </c>
      <c r="K37" s="16"/>
      <c r="L37" s="19">
        <f>'App.2-V BillImpact &gt;50 100kw'!L37</f>
        <v>0.0065</v>
      </c>
      <c r="M37" s="20">
        <f>H16*(1+L49)</f>
        <v>23156.1695933799</v>
      </c>
      <c r="N37" s="21">
        <f aca="true" t="shared" si="5" ref="N37:N42">M37*L37</f>
        <v>150.51510235696932</v>
      </c>
      <c r="O37" s="16"/>
      <c r="P37" s="23">
        <f t="shared" si="2"/>
        <v>0.3365023569693335</v>
      </c>
      <c r="Q37" s="24">
        <f t="shared" si="3"/>
        <v>0.0022406811421156777</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c r="G39" s="18"/>
      <c r="H39" s="52"/>
      <c r="I39" s="20"/>
      <c r="J39" s="21">
        <f t="shared" si="4"/>
        <v>0</v>
      </c>
      <c r="K39" s="16"/>
      <c r="L39" s="19"/>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23104.4</v>
      </c>
      <c r="J41" s="21">
        <f t="shared" si="4"/>
        <v>161.73080000000002</v>
      </c>
      <c r="K41" s="16"/>
      <c r="L41" s="19">
        <f>'App.2-V BillImpact &gt;50 100kw'!L41</f>
        <v>0.007</v>
      </c>
      <c r="M41" s="22">
        <f>M37</f>
        <v>23156.1695933799</v>
      </c>
      <c r="N41" s="21">
        <f t="shared" si="5"/>
        <v>162.0931871536593</v>
      </c>
      <c r="O41" s="16"/>
      <c r="P41" s="23">
        <f t="shared" si="2"/>
        <v>0.3623871536592844</v>
      </c>
      <c r="Q41" s="24">
        <f t="shared" si="3"/>
        <v>0.0022406811421156908</v>
      </c>
    </row>
    <row r="42" spans="4:17" ht="13.5" thickBot="1">
      <c r="D42" s="16" t="s">
        <v>47</v>
      </c>
      <c r="E42" s="16"/>
      <c r="F42" s="17" t="s">
        <v>73</v>
      </c>
      <c r="G42" s="18"/>
      <c r="H42" s="19">
        <v>0.068</v>
      </c>
      <c r="I42" s="39">
        <f>I41</f>
        <v>23104.4</v>
      </c>
      <c r="J42" s="21">
        <f t="shared" si="4"/>
        <v>1571.0992</v>
      </c>
      <c r="K42" s="16"/>
      <c r="L42" s="19">
        <f>'App.2-V BillImpact &gt;50 100kw'!L42</f>
        <v>0.068</v>
      </c>
      <c r="M42" s="39">
        <f>M41</f>
        <v>23156.1695933799</v>
      </c>
      <c r="N42" s="21">
        <f t="shared" si="5"/>
        <v>1574.6195323498332</v>
      </c>
      <c r="O42" s="16"/>
      <c r="P42" s="23">
        <f t="shared" si="2"/>
        <v>3.5203323498330974</v>
      </c>
      <c r="Q42" s="24">
        <f t="shared" si="3"/>
        <v>0.002240681142115722</v>
      </c>
    </row>
    <row r="43" spans="4:17" ht="13.5" thickBot="1">
      <c r="D43" s="56" t="s">
        <v>48</v>
      </c>
      <c r="E43" s="16"/>
      <c r="F43" s="16"/>
      <c r="G43" s="16"/>
      <c r="H43" s="57"/>
      <c r="I43" s="58"/>
      <c r="J43" s="46">
        <f>SUM(J36:J42)</f>
        <v>2387.2846</v>
      </c>
      <c r="K43" s="47"/>
      <c r="L43" s="59"/>
      <c r="M43" s="60"/>
      <c r="N43" s="46">
        <f>SUM(N36:N42)</f>
        <v>2329.4270687758026</v>
      </c>
      <c r="O43" s="47"/>
      <c r="P43" s="50">
        <f t="shared" si="2"/>
        <v>-57.85753122419737</v>
      </c>
      <c r="Q43" s="51">
        <f t="shared" si="3"/>
        <v>-0.024235707474591583</v>
      </c>
    </row>
    <row r="44" spans="4:17" ht="13.5" thickBot="1">
      <c r="D44" s="18" t="s">
        <v>49</v>
      </c>
      <c r="E44" s="16"/>
      <c r="F44" s="16"/>
      <c r="G44" s="16"/>
      <c r="H44" s="61">
        <v>0.13</v>
      </c>
      <c r="I44" s="62"/>
      <c r="J44" s="63">
        <f>J43*H44</f>
        <v>310.346998</v>
      </c>
      <c r="K44" s="16"/>
      <c r="L44" s="61">
        <v>0.13</v>
      </c>
      <c r="M44" s="64"/>
      <c r="N44" s="63">
        <f>N43*L44</f>
        <v>302.82551894085435</v>
      </c>
      <c r="O44" s="16"/>
      <c r="P44" s="23">
        <f t="shared" si="2"/>
        <v>-7.5214790591456335</v>
      </c>
      <c r="Q44" s="24">
        <f t="shared" si="3"/>
        <v>-0.0242357074745915</v>
      </c>
    </row>
    <row r="45" spans="4:17" ht="27" thickBot="1">
      <c r="D45" s="43" t="s">
        <v>50</v>
      </c>
      <c r="E45" s="16"/>
      <c r="F45" s="16"/>
      <c r="G45" s="16"/>
      <c r="H45" s="44"/>
      <c r="I45" s="45"/>
      <c r="J45" s="46">
        <f>ROUND(SUM(J43:J44),2)</f>
        <v>2697.63</v>
      </c>
      <c r="K45" s="47"/>
      <c r="L45" s="48"/>
      <c r="M45" s="49"/>
      <c r="N45" s="46">
        <f>ROUND(SUM(N43:N44),2)</f>
        <v>2632.25</v>
      </c>
      <c r="O45" s="47"/>
      <c r="P45" s="50">
        <f t="shared" si="2"/>
        <v>-65.38000000000011</v>
      </c>
      <c r="Q45" s="51">
        <f t="shared" si="3"/>
        <v>-0.02423608871490905</v>
      </c>
    </row>
    <row r="46" spans="4:17" ht="29.25" thickBot="1">
      <c r="D46" s="83" t="s">
        <v>102</v>
      </c>
      <c r="E46" s="16"/>
      <c r="F46" s="16"/>
      <c r="G46" s="16"/>
      <c r="H46" s="44"/>
      <c r="I46" s="80"/>
      <c r="J46" s="46">
        <f>ROUND(-J45*10%,2)</f>
        <v>-269.76</v>
      </c>
      <c r="K46" s="47"/>
      <c r="L46" s="48"/>
      <c r="M46" s="49"/>
      <c r="N46" s="46">
        <f>ROUND(-N45*10%,2)</f>
        <v>-263.23</v>
      </c>
      <c r="O46" s="47"/>
      <c r="P46" s="50">
        <f t="shared" si="2"/>
        <v>6.529999999999973</v>
      </c>
      <c r="Q46" s="51">
        <f t="shared" si="3"/>
        <v>-0.02420670225385518</v>
      </c>
    </row>
    <row r="47" spans="4:17" ht="13.5" thickBot="1">
      <c r="D47" s="43" t="s">
        <v>55</v>
      </c>
      <c r="E47" s="16"/>
      <c r="F47" s="16"/>
      <c r="G47" s="16"/>
      <c r="H47" s="82"/>
      <c r="I47" s="81"/>
      <c r="J47" s="75">
        <f>J45+J46</f>
        <v>2427.87</v>
      </c>
      <c r="K47" s="47"/>
      <c r="L47" s="79"/>
      <c r="M47" s="78"/>
      <c r="N47" s="75">
        <f>N45+N46</f>
        <v>2369.02</v>
      </c>
      <c r="O47" s="47"/>
      <c r="P47" s="77">
        <f t="shared" si="2"/>
        <v>-58.84999999999991</v>
      </c>
      <c r="Q47" s="76">
        <f t="shared" si="3"/>
        <v>-0.024239353836902268</v>
      </c>
    </row>
    <row r="48" ht="10.5" customHeight="1"/>
    <row r="49" spans="4:14" ht="12.75">
      <c r="D49" s="3" t="s">
        <v>51</v>
      </c>
      <c r="H49" s="65">
        <v>0.0502</v>
      </c>
      <c r="I49" s="137"/>
      <c r="J49" s="137"/>
      <c r="K49" s="137"/>
      <c r="L49" s="120">
        <v>0.05255316333545</v>
      </c>
      <c r="N49" s="123"/>
    </row>
    <row r="50" ht="10.5" customHeight="1"/>
    <row r="51" ht="10.5" customHeight="1">
      <c r="C51" s="107" t="s">
        <v>103</v>
      </c>
    </row>
    <row r="52" ht="10.5" customHeight="1"/>
    <row r="53" spans="2:3" ht="12.75">
      <c r="B53" s="3"/>
      <c r="C53" s="2" t="s">
        <v>59</v>
      </c>
    </row>
    <row r="54" ht="12.75">
      <c r="C54" s="2" t="s">
        <v>60</v>
      </c>
    </row>
    <row r="56" ht="12.75">
      <c r="C56" s="2" t="s">
        <v>101</v>
      </c>
    </row>
    <row r="57" ht="12.75">
      <c r="C57" s="2" t="s">
        <v>61</v>
      </c>
    </row>
    <row r="59" ht="12.75">
      <c r="C59" s="2" t="s">
        <v>62</v>
      </c>
    </row>
    <row r="60" ht="12.75">
      <c r="C60" s="2" t="s">
        <v>63</v>
      </c>
    </row>
    <row r="61" ht="12.75">
      <c r="C61" s="2" t="s">
        <v>64</v>
      </c>
    </row>
    <row r="62" ht="12.75">
      <c r="C62" s="2" t="s">
        <v>65</v>
      </c>
    </row>
    <row r="63" ht="12.75">
      <c r="C63"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2 G21:G32 G34:G35">
      <formula1>$B$14:$B$19</formula1>
    </dataValidation>
    <dataValidation type="list" allowBlank="1" showInputMessage="1" showErrorMessage="1" prompt="Select Charge Unit - monthly, per kWh, per kW" sqref="F34:F35 F21:F32 F37:F42">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S63"/>
  <sheetViews>
    <sheetView showGridLines="0" zoomScalePageLayoutView="0" workbookViewId="0" topLeftCell="A5">
      <selection activeCell="L21" sqref="L21:L3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0.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0.28125" style="2" bestFit="1" customWidth="1"/>
    <col min="17" max="17" width="8.7109375" style="2"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75</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3" ht="12.75">
      <c r="B16" s="8"/>
      <c r="D16" s="99"/>
      <c r="F16" s="3" t="s">
        <v>16</v>
      </c>
      <c r="G16" s="3"/>
      <c r="H16" s="6">
        <v>30000</v>
      </c>
      <c r="I16" s="3" t="s">
        <v>17</v>
      </c>
      <c r="L16" s="6">
        <v>100</v>
      </c>
      <c r="M16" s="3" t="s">
        <v>77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165.08</v>
      </c>
      <c r="I21" s="20">
        <v>1</v>
      </c>
      <c r="J21" s="109">
        <f aca="true" t="shared" si="0" ref="J21:J32">I21*H21</f>
        <v>165.08</v>
      </c>
      <c r="K21" s="16"/>
      <c r="L21" s="108">
        <v>203.66</v>
      </c>
      <c r="M21" s="22">
        <v>1</v>
      </c>
      <c r="N21" s="109">
        <f aca="true" t="shared" si="1" ref="N21:N32">M21*L21</f>
        <v>203.66</v>
      </c>
      <c r="O21" s="16"/>
      <c r="P21" s="23">
        <f aca="true" t="shared" si="2" ref="P21:P47">N21-J21</f>
        <v>38.579999999999984</v>
      </c>
      <c r="Q21" s="110">
        <f aca="true" t="shared" si="3" ref="Q21:Q47">IF((J21)=0,"",(P21/J21))</f>
        <v>0.23370487036588308</v>
      </c>
    </row>
    <row r="22" spans="4:17" ht="12.75">
      <c r="D22" s="16" t="s">
        <v>28</v>
      </c>
      <c r="E22" s="16"/>
      <c r="F22" s="17" t="s">
        <v>72</v>
      </c>
      <c r="G22" s="18"/>
      <c r="H22" s="108">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76</v>
      </c>
      <c r="G25" s="18"/>
      <c r="H25" s="108">
        <v>1.4136</v>
      </c>
      <c r="I25" s="20">
        <f>L16</f>
        <v>100</v>
      </c>
      <c r="J25" s="109">
        <f t="shared" si="0"/>
        <v>141.35999999999999</v>
      </c>
      <c r="K25" s="16"/>
      <c r="L25" s="108">
        <v>1.7031</v>
      </c>
      <c r="M25" s="22">
        <f>L16</f>
        <v>100</v>
      </c>
      <c r="N25" s="109">
        <f t="shared" si="1"/>
        <v>170.31</v>
      </c>
      <c r="O25" s="16"/>
      <c r="P25" s="23">
        <f t="shared" si="2"/>
        <v>28.950000000000017</v>
      </c>
      <c r="Q25" s="110">
        <f t="shared" si="3"/>
        <v>0.20479626485568775</v>
      </c>
    </row>
    <row r="26" spans="4:17" ht="12.75">
      <c r="D26" s="16" t="s">
        <v>32</v>
      </c>
      <c r="E26" s="16"/>
      <c r="F26" s="17" t="s">
        <v>76</v>
      </c>
      <c r="G26" s="18"/>
      <c r="H26" s="108">
        <v>0.2877</v>
      </c>
      <c r="I26" s="20">
        <f>I25</f>
        <v>100</v>
      </c>
      <c r="J26" s="109">
        <f t="shared" si="0"/>
        <v>28.77</v>
      </c>
      <c r="K26" s="16"/>
      <c r="L26" s="108">
        <v>0.2603</v>
      </c>
      <c r="M26" s="22">
        <f>M25</f>
        <v>100</v>
      </c>
      <c r="N26" s="109">
        <f t="shared" si="1"/>
        <v>26.029999999999998</v>
      </c>
      <c r="O26" s="16"/>
      <c r="P26" s="23">
        <f t="shared" si="2"/>
        <v>-2.740000000000002</v>
      </c>
      <c r="Q26" s="110">
        <f t="shared" si="3"/>
        <v>-0.0952380952380953</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row>
    <row r="30" spans="4:17" ht="12.75">
      <c r="D30" s="16" t="s">
        <v>36</v>
      </c>
      <c r="E30" s="16"/>
      <c r="F30" s="17" t="s">
        <v>76</v>
      </c>
      <c r="G30" s="18"/>
      <c r="H30" s="108"/>
      <c r="I30" s="20"/>
      <c r="J30" s="109">
        <f t="shared" si="0"/>
        <v>0</v>
      </c>
      <c r="K30" s="16"/>
      <c r="L30" s="108">
        <v>0.1062</v>
      </c>
      <c r="M30" s="22">
        <f>L16</f>
        <v>100</v>
      </c>
      <c r="N30" s="109">
        <f t="shared" si="1"/>
        <v>10.620000000000001</v>
      </c>
      <c r="O30" s="16"/>
      <c r="P30" s="23">
        <f t="shared" si="2"/>
        <v>10.620000000000001</v>
      </c>
      <c r="Q30" s="110">
        <f t="shared" si="3"/>
      </c>
    </row>
    <row r="31" spans="4:17" ht="26.25">
      <c r="D31" s="25" t="s">
        <v>37</v>
      </c>
      <c r="E31" s="16"/>
      <c r="F31" s="17" t="s">
        <v>76</v>
      </c>
      <c r="G31" s="18"/>
      <c r="H31" s="108"/>
      <c r="I31" s="20"/>
      <c r="J31" s="109">
        <f t="shared" si="0"/>
        <v>0</v>
      </c>
      <c r="K31" s="16"/>
      <c r="L31" s="108">
        <v>-2.5414346530315033</v>
      </c>
      <c r="M31" s="22">
        <f>M30</f>
        <v>100</v>
      </c>
      <c r="N31" s="109">
        <f t="shared" si="1"/>
        <v>-254.14346530315032</v>
      </c>
      <c r="O31" s="16"/>
      <c r="P31" s="23">
        <f t="shared" si="2"/>
        <v>-254.14346530315032</v>
      </c>
      <c r="Q31" s="110">
        <f t="shared" si="3"/>
      </c>
    </row>
    <row r="32" spans="4:17" ht="13.5" thickBot="1">
      <c r="D32" s="26"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row>
    <row r="33" spans="4:17" ht="13.5" thickBot="1">
      <c r="D33" s="3" t="s">
        <v>38</v>
      </c>
      <c r="G33" s="29"/>
      <c r="H33" s="30"/>
      <c r="I33" s="31"/>
      <c r="J33" s="32">
        <f>SUM(J21:J32)</f>
        <v>337.2</v>
      </c>
      <c r="L33" s="30"/>
      <c r="M33" s="33"/>
      <c r="N33" s="32">
        <f>SUM(N21:N32)</f>
        <v>161.29986079408087</v>
      </c>
      <c r="P33" s="34">
        <f t="shared" si="2"/>
        <v>-175.90013920591912</v>
      </c>
      <c r="Q33" s="35">
        <f t="shared" si="3"/>
        <v>-0.5216492859013022</v>
      </c>
    </row>
    <row r="34" spans="4:19" ht="12.75">
      <c r="D34" s="36" t="s">
        <v>39</v>
      </c>
      <c r="E34" s="36"/>
      <c r="F34" s="37" t="s">
        <v>76</v>
      </c>
      <c r="G34" s="38"/>
      <c r="H34" s="111">
        <v>2.1814</v>
      </c>
      <c r="I34" s="39">
        <f>L16</f>
        <v>100</v>
      </c>
      <c r="J34" s="112">
        <f>I34*H34</f>
        <v>218.14</v>
      </c>
      <c r="K34" s="36"/>
      <c r="L34" s="111">
        <v>2.4546</v>
      </c>
      <c r="M34" s="39">
        <f>L16</f>
        <v>100</v>
      </c>
      <c r="N34" s="112">
        <f>M34*L34</f>
        <v>245.46</v>
      </c>
      <c r="O34" s="36"/>
      <c r="P34" s="41">
        <f t="shared" si="2"/>
        <v>27.32000000000002</v>
      </c>
      <c r="Q34" s="113">
        <f t="shared" si="3"/>
        <v>0.1252406711286331</v>
      </c>
      <c r="R34" s="29"/>
      <c r="S34" s="29"/>
    </row>
    <row r="35" spans="4:19" ht="27" thickBot="1">
      <c r="D35" s="42" t="s">
        <v>40</v>
      </c>
      <c r="E35" s="36"/>
      <c r="F35" s="37" t="s">
        <v>76</v>
      </c>
      <c r="G35" s="38"/>
      <c r="H35" s="111">
        <v>1.7374</v>
      </c>
      <c r="I35" s="39">
        <f>I34</f>
        <v>100</v>
      </c>
      <c r="J35" s="112">
        <f>I35*H35</f>
        <v>173.74</v>
      </c>
      <c r="K35" s="36"/>
      <c r="L35" s="111">
        <v>1.9125</v>
      </c>
      <c r="M35" s="40">
        <f>M34</f>
        <v>100</v>
      </c>
      <c r="N35" s="112">
        <f>M35*L35</f>
        <v>191.25</v>
      </c>
      <c r="O35" s="36"/>
      <c r="P35" s="41">
        <f t="shared" si="2"/>
        <v>17.50999999999999</v>
      </c>
      <c r="Q35" s="113">
        <f t="shared" si="3"/>
        <v>0.10078277886497058</v>
      </c>
      <c r="R35" s="29"/>
      <c r="S35" s="29"/>
    </row>
    <row r="36" spans="4:19" ht="27" thickBot="1">
      <c r="D36" s="43" t="s">
        <v>41</v>
      </c>
      <c r="E36" s="16"/>
      <c r="F36" s="16"/>
      <c r="G36" s="18"/>
      <c r="H36" s="44"/>
      <c r="I36" s="45"/>
      <c r="J36" s="46">
        <f>SUM(J33:J35)</f>
        <v>729.0799999999999</v>
      </c>
      <c r="K36" s="47"/>
      <c r="L36" s="48"/>
      <c r="M36" s="49"/>
      <c r="N36" s="46">
        <f>SUM(N33:N35)</f>
        <v>598.0098607940809</v>
      </c>
      <c r="O36" s="47"/>
      <c r="P36" s="50">
        <f t="shared" si="2"/>
        <v>-131.07013920591908</v>
      </c>
      <c r="Q36" s="51">
        <f t="shared" si="3"/>
        <v>-0.1797747012754692</v>
      </c>
      <c r="R36" s="29"/>
      <c r="S36" s="29"/>
    </row>
    <row r="37" spans="4:17" ht="26.25">
      <c r="D37" s="25" t="s">
        <v>42</v>
      </c>
      <c r="E37" s="16"/>
      <c r="F37" s="17" t="s">
        <v>73</v>
      </c>
      <c r="G37" s="18"/>
      <c r="H37" s="19">
        <v>0.0065</v>
      </c>
      <c r="I37" s="20">
        <f>H16*(1+H49)</f>
        <v>31506</v>
      </c>
      <c r="J37" s="21">
        <f aca="true" t="shared" si="4" ref="J37:J42">I37*H37</f>
        <v>204.789</v>
      </c>
      <c r="K37" s="16"/>
      <c r="L37" s="19">
        <v>0.0065</v>
      </c>
      <c r="M37" s="20">
        <f>H16*(1+L49)</f>
        <v>31576.594900063497</v>
      </c>
      <c r="N37" s="21">
        <f aca="true" t="shared" si="5" ref="N37:N42">M37*L37</f>
        <v>205.24786685041272</v>
      </c>
      <c r="O37" s="16"/>
      <c r="P37" s="23">
        <f t="shared" si="2"/>
        <v>0.4588668504127327</v>
      </c>
      <c r="Q37" s="24">
        <f t="shared" si="3"/>
        <v>0.002240681142115703</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31506</v>
      </c>
      <c r="J41" s="21">
        <f t="shared" si="4"/>
        <v>220.542</v>
      </c>
      <c r="K41" s="16"/>
      <c r="L41" s="19">
        <v>0.007</v>
      </c>
      <c r="M41" s="22">
        <f>M37</f>
        <v>31576.594900063497</v>
      </c>
      <c r="N41" s="21">
        <f t="shared" si="5"/>
        <v>221.03616430044448</v>
      </c>
      <c r="O41" s="16"/>
      <c r="P41" s="23">
        <f t="shared" si="2"/>
        <v>0.49416430044448134</v>
      </c>
      <c r="Q41" s="24">
        <f t="shared" si="3"/>
        <v>0.002240681142115703</v>
      </c>
    </row>
    <row r="42" spans="4:17" ht="13.5" thickBot="1">
      <c r="D42" s="16" t="s">
        <v>47</v>
      </c>
      <c r="E42" s="16"/>
      <c r="F42" s="17" t="s">
        <v>73</v>
      </c>
      <c r="G42" s="18"/>
      <c r="H42" s="19">
        <v>0.068</v>
      </c>
      <c r="I42" s="39">
        <f>I41</f>
        <v>31506</v>
      </c>
      <c r="J42" s="21">
        <f t="shared" si="4"/>
        <v>2142.4080000000004</v>
      </c>
      <c r="K42" s="16"/>
      <c r="L42" s="19">
        <v>0.068</v>
      </c>
      <c r="M42" s="39">
        <f>M41</f>
        <v>31576.594900063497</v>
      </c>
      <c r="N42" s="21">
        <f t="shared" si="5"/>
        <v>2147.208453204318</v>
      </c>
      <c r="O42" s="16"/>
      <c r="P42" s="23">
        <f t="shared" si="2"/>
        <v>4.800453204317819</v>
      </c>
      <c r="Q42" s="24">
        <f t="shared" si="3"/>
        <v>0.0022406811421157025</v>
      </c>
    </row>
    <row r="43" spans="4:17" ht="13.5" thickBot="1">
      <c r="D43" s="56" t="s">
        <v>48</v>
      </c>
      <c r="E43" s="16"/>
      <c r="F43" s="16"/>
      <c r="G43" s="16"/>
      <c r="H43" s="57"/>
      <c r="I43" s="58"/>
      <c r="J43" s="46">
        <f>SUM(J36:J42)</f>
        <v>3296.8190000000004</v>
      </c>
      <c r="K43" s="47"/>
      <c r="L43" s="59"/>
      <c r="M43" s="60"/>
      <c r="N43" s="46">
        <f>SUM(N36:N42)</f>
        <v>3171.502345149256</v>
      </c>
      <c r="O43" s="47"/>
      <c r="P43" s="50">
        <f t="shared" si="2"/>
        <v>-125.31665485074427</v>
      </c>
      <c r="Q43" s="51">
        <f t="shared" si="3"/>
        <v>-0.03801138456516547</v>
      </c>
    </row>
    <row r="44" spans="4:17" ht="13.5" thickBot="1">
      <c r="D44" s="18" t="s">
        <v>49</v>
      </c>
      <c r="E44" s="16"/>
      <c r="F44" s="16"/>
      <c r="G44" s="16"/>
      <c r="H44" s="61">
        <v>0.13</v>
      </c>
      <c r="I44" s="62"/>
      <c r="J44" s="63">
        <f>J43*H44</f>
        <v>428.5864700000001</v>
      </c>
      <c r="K44" s="16"/>
      <c r="L44" s="61">
        <v>0.13</v>
      </c>
      <c r="M44" s="64"/>
      <c r="N44" s="63">
        <f>N43*L44</f>
        <v>412.2953048694033</v>
      </c>
      <c r="O44" s="16"/>
      <c r="P44" s="23">
        <f t="shared" si="2"/>
        <v>-16.291165130596767</v>
      </c>
      <c r="Q44" s="24">
        <f t="shared" si="3"/>
        <v>-0.03801138456516549</v>
      </c>
    </row>
    <row r="45" spans="4:17" ht="27" thickBot="1">
      <c r="D45" s="43" t="s">
        <v>50</v>
      </c>
      <c r="E45" s="16"/>
      <c r="F45" s="16"/>
      <c r="G45" s="16"/>
      <c r="H45" s="44"/>
      <c r="I45" s="45"/>
      <c r="J45" s="46">
        <f>ROUND(SUM(J43:J44),2)</f>
        <v>3725.41</v>
      </c>
      <c r="K45" s="47"/>
      <c r="L45" s="48"/>
      <c r="M45" s="49"/>
      <c r="N45" s="46">
        <f>ROUND(SUM(N43:N44),2)</f>
        <v>3583.8</v>
      </c>
      <c r="O45" s="47"/>
      <c r="P45" s="50">
        <f t="shared" si="2"/>
        <v>-141.60999999999967</v>
      </c>
      <c r="Q45" s="51">
        <f t="shared" si="3"/>
        <v>-0.03801192351982726</v>
      </c>
    </row>
    <row r="46" spans="4:17" ht="29.25" thickBot="1">
      <c r="D46" s="83" t="s">
        <v>102</v>
      </c>
      <c r="E46" s="16"/>
      <c r="F46" s="16"/>
      <c r="G46" s="16"/>
      <c r="H46" s="44"/>
      <c r="I46" s="80"/>
      <c r="J46" s="46">
        <f>ROUND(-J45*10%,2)</f>
        <v>-372.54</v>
      </c>
      <c r="K46" s="47"/>
      <c r="L46" s="48"/>
      <c r="M46" s="49"/>
      <c r="N46" s="46">
        <f>ROUND(-N45*10%,2)</f>
        <v>-358.38</v>
      </c>
      <c r="O46" s="47"/>
      <c r="P46" s="50">
        <f t="shared" si="2"/>
        <v>14.160000000000025</v>
      </c>
      <c r="Q46" s="51">
        <f t="shared" si="3"/>
        <v>-0.03800934127878892</v>
      </c>
    </row>
    <row r="47" spans="4:17" ht="13.5" thickBot="1">
      <c r="D47" s="43" t="s">
        <v>55</v>
      </c>
      <c r="E47" s="16"/>
      <c r="F47" s="16"/>
      <c r="G47" s="16"/>
      <c r="H47" s="82"/>
      <c r="I47" s="81"/>
      <c r="J47" s="75">
        <f>J45+J46</f>
        <v>3352.87</v>
      </c>
      <c r="K47" s="47"/>
      <c r="L47" s="79"/>
      <c r="M47" s="78"/>
      <c r="N47" s="75">
        <f>N45+N46</f>
        <v>3225.42</v>
      </c>
      <c r="O47" s="47"/>
      <c r="P47" s="77">
        <f t="shared" si="2"/>
        <v>-127.44999999999982</v>
      </c>
      <c r="Q47" s="76">
        <f t="shared" si="3"/>
        <v>-0.03801221043464251</v>
      </c>
    </row>
    <row r="48" ht="10.5" customHeight="1"/>
    <row r="49" spans="4:14" ht="12.75">
      <c r="D49" s="3" t="s">
        <v>51</v>
      </c>
      <c r="H49" s="65">
        <v>0.0502</v>
      </c>
      <c r="I49" s="118"/>
      <c r="J49" s="118"/>
      <c r="K49" s="118"/>
      <c r="L49" s="120">
        <v>0.05255316333545</v>
      </c>
      <c r="N49" s="114"/>
    </row>
    <row r="50" ht="10.5" customHeight="1"/>
    <row r="51" ht="10.5" customHeight="1">
      <c r="C51" s="107" t="s">
        <v>103</v>
      </c>
    </row>
    <row r="52" ht="10.5" customHeight="1"/>
    <row r="53" spans="2:3" ht="12.75">
      <c r="B53" s="3"/>
      <c r="C53" s="2" t="s">
        <v>59</v>
      </c>
    </row>
    <row r="54" ht="12.75">
      <c r="C54" s="2" t="s">
        <v>60</v>
      </c>
    </row>
    <row r="56" ht="12.75">
      <c r="C56" s="2" t="s">
        <v>101</v>
      </c>
    </row>
    <row r="57" ht="12.75">
      <c r="C57" s="2" t="s">
        <v>61</v>
      </c>
    </row>
    <row r="59" ht="12.75">
      <c r="C59" s="2" t="s">
        <v>62</v>
      </c>
    </row>
    <row r="60" ht="12.75">
      <c r="C60" s="2" t="s">
        <v>63</v>
      </c>
    </row>
    <row r="61" ht="12.75">
      <c r="C61" s="2" t="s">
        <v>64</v>
      </c>
    </row>
    <row r="62" ht="12.75">
      <c r="C62" s="2" t="s">
        <v>65</v>
      </c>
    </row>
    <row r="63" ht="12.75">
      <c r="C63"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2 G21:G32 G34:G35">
      <formula1>$B$14:$B$19</formula1>
    </dataValidation>
    <dataValidation type="list" allowBlank="1" showInputMessage="1" showErrorMessage="1" prompt="Select Charge Unit - monthly, per kWh, per kW" sqref="F34:F35 F21:F32 F37:F42">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S63"/>
  <sheetViews>
    <sheetView showGridLines="0" zoomScalePageLayoutView="0" workbookViewId="0" topLeftCell="A14">
      <selection activeCell="L21" sqref="L21:L3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1.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0.28125" style="2" bestFit="1" customWidth="1"/>
    <col min="17" max="17" width="8.7109375" style="2"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75</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3" ht="12.75">
      <c r="B16" s="8"/>
      <c r="D16" s="99"/>
      <c r="F16" s="3" t="s">
        <v>16</v>
      </c>
      <c r="G16" s="3"/>
      <c r="H16" s="6">
        <v>250000</v>
      </c>
      <c r="I16" s="3" t="s">
        <v>17</v>
      </c>
      <c r="L16" s="6">
        <v>500</v>
      </c>
      <c r="M16" s="3" t="s">
        <v>77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165.08</v>
      </c>
      <c r="I21" s="20">
        <v>1</v>
      </c>
      <c r="J21" s="109">
        <f aca="true" t="shared" si="0" ref="J21:J32">I21*H21</f>
        <v>165.08</v>
      </c>
      <c r="K21" s="16"/>
      <c r="L21" s="108">
        <f>'App.2-V BillImpact &gt;50 100kw'!L21</f>
        <v>203.66</v>
      </c>
      <c r="M21" s="22">
        <v>1</v>
      </c>
      <c r="N21" s="109">
        <f aca="true" t="shared" si="1" ref="N21:N32">M21*L21</f>
        <v>203.66</v>
      </c>
      <c r="O21" s="16"/>
      <c r="P21" s="23">
        <f aca="true" t="shared" si="2" ref="P21:P47">N21-J21</f>
        <v>38.579999999999984</v>
      </c>
      <c r="Q21" s="110">
        <f aca="true" t="shared" si="3" ref="Q21:Q47">IF((J21)=0,"",(P21/J21))</f>
        <v>0.23370487036588308</v>
      </c>
    </row>
    <row r="22" spans="4:17" ht="12.75">
      <c r="D22" s="16" t="s">
        <v>28</v>
      </c>
      <c r="E22" s="16"/>
      <c r="F22" s="17" t="s">
        <v>72</v>
      </c>
      <c r="G22" s="18"/>
      <c r="H22" s="108">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76</v>
      </c>
      <c r="G25" s="18"/>
      <c r="H25" s="108">
        <v>1.4136</v>
      </c>
      <c r="I25" s="20">
        <f>L16</f>
        <v>500</v>
      </c>
      <c r="J25" s="109">
        <f t="shared" si="0"/>
        <v>706.8</v>
      </c>
      <c r="K25" s="16"/>
      <c r="L25" s="108">
        <f>'App.2-V BillImpact &gt;50 100kw'!L25</f>
        <v>1.7031</v>
      </c>
      <c r="M25" s="22">
        <f>L16</f>
        <v>500</v>
      </c>
      <c r="N25" s="109">
        <f t="shared" si="1"/>
        <v>851.5500000000001</v>
      </c>
      <c r="O25" s="16"/>
      <c r="P25" s="23">
        <f t="shared" si="2"/>
        <v>144.7500000000001</v>
      </c>
      <c r="Q25" s="110">
        <f t="shared" si="3"/>
        <v>0.20479626485568778</v>
      </c>
    </row>
    <row r="26" spans="4:17" ht="12.75">
      <c r="D26" s="16" t="s">
        <v>32</v>
      </c>
      <c r="E26" s="16"/>
      <c r="F26" s="17" t="s">
        <v>76</v>
      </c>
      <c r="G26" s="18"/>
      <c r="H26" s="108">
        <v>0.2877</v>
      </c>
      <c r="I26" s="20">
        <f>I25</f>
        <v>500</v>
      </c>
      <c r="J26" s="109">
        <f t="shared" si="0"/>
        <v>143.85</v>
      </c>
      <c r="K26" s="16"/>
      <c r="L26" s="108">
        <f>'App.2-V BillImpact &gt;50 100kw'!L26</f>
        <v>0.2603</v>
      </c>
      <c r="M26" s="22">
        <f>M25</f>
        <v>500</v>
      </c>
      <c r="N26" s="109">
        <f t="shared" si="1"/>
        <v>130.14999999999998</v>
      </c>
      <c r="O26" s="16"/>
      <c r="P26" s="23">
        <f t="shared" si="2"/>
        <v>-13.700000000000017</v>
      </c>
      <c r="Q26" s="110">
        <f t="shared" si="3"/>
        <v>-0.09523809523809536</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BillImpact &gt;50 100kw'!L29</f>
        <v>0</v>
      </c>
      <c r="M29" s="22">
        <v>1</v>
      </c>
      <c r="N29" s="109">
        <f t="shared" si="1"/>
        <v>0</v>
      </c>
      <c r="O29" s="16"/>
      <c r="P29" s="23">
        <f t="shared" si="2"/>
        <v>0</v>
      </c>
      <c r="Q29" s="110">
        <f t="shared" si="3"/>
      </c>
    </row>
    <row r="30" spans="4:17" ht="12.75">
      <c r="D30" s="16" t="s">
        <v>36</v>
      </c>
      <c r="E30" s="16"/>
      <c r="F30" s="17" t="s">
        <v>76</v>
      </c>
      <c r="G30" s="18"/>
      <c r="H30" s="108"/>
      <c r="I30" s="20"/>
      <c r="J30" s="109">
        <f t="shared" si="0"/>
        <v>0</v>
      </c>
      <c r="K30" s="16"/>
      <c r="L30" s="108">
        <f>'App.2-V BillImpact &gt;50 100kw'!L30</f>
        <v>0.1062</v>
      </c>
      <c r="M30" s="22">
        <f>L16</f>
        <v>500</v>
      </c>
      <c r="N30" s="109">
        <f t="shared" si="1"/>
        <v>53.1</v>
      </c>
      <c r="O30" s="16"/>
      <c r="P30" s="23">
        <f t="shared" si="2"/>
        <v>53.1</v>
      </c>
      <c r="Q30" s="110">
        <f t="shared" si="3"/>
      </c>
    </row>
    <row r="31" spans="4:17" ht="26.25">
      <c r="D31" s="25" t="s">
        <v>37</v>
      </c>
      <c r="E31" s="16"/>
      <c r="F31" s="17" t="s">
        <v>76</v>
      </c>
      <c r="G31" s="18"/>
      <c r="H31" s="108"/>
      <c r="I31" s="20"/>
      <c r="J31" s="109">
        <f t="shared" si="0"/>
        <v>0</v>
      </c>
      <c r="K31" s="16"/>
      <c r="L31" s="108">
        <f>'App.2-V BillImpact &gt;50 100kw'!L31</f>
        <v>-2.5414346530315033</v>
      </c>
      <c r="M31" s="22">
        <f>M30</f>
        <v>500</v>
      </c>
      <c r="N31" s="109">
        <f t="shared" si="1"/>
        <v>-1270.7173265157517</v>
      </c>
      <c r="O31" s="16"/>
      <c r="P31" s="23">
        <f t="shared" si="2"/>
        <v>-1270.7173265157517</v>
      </c>
      <c r="Q31" s="110">
        <f t="shared" si="3"/>
      </c>
    </row>
    <row r="32" spans="4:17" ht="13.5" thickBot="1">
      <c r="D32" s="26" t="s">
        <v>14</v>
      </c>
      <c r="E32" s="16"/>
      <c r="F32" s="17" t="s">
        <v>72</v>
      </c>
      <c r="G32" s="18"/>
      <c r="H32" s="108"/>
      <c r="I32" s="27"/>
      <c r="J32" s="109">
        <f t="shared" si="0"/>
        <v>0</v>
      </c>
      <c r="K32" s="16"/>
      <c r="L32" s="108">
        <f>'App.2-V BillImpact &gt;50 100kw'!L32</f>
        <v>0</v>
      </c>
      <c r="M32" s="28">
        <v>1</v>
      </c>
      <c r="N32" s="109">
        <f t="shared" si="1"/>
        <v>0</v>
      </c>
      <c r="O32" s="16"/>
      <c r="P32" s="23">
        <f t="shared" si="2"/>
        <v>0</v>
      </c>
      <c r="Q32" s="110">
        <f t="shared" si="3"/>
      </c>
    </row>
    <row r="33" spans="4:17" ht="13.5" thickBot="1">
      <c r="D33" s="3" t="s">
        <v>38</v>
      </c>
      <c r="G33" s="29"/>
      <c r="H33" s="30"/>
      <c r="I33" s="31"/>
      <c r="J33" s="32">
        <f>SUM(J21:J32)</f>
        <v>1017.72</v>
      </c>
      <c r="L33" s="30"/>
      <c r="M33" s="33"/>
      <c r="N33" s="32">
        <f>SUM(N21:N32)</f>
        <v>-27.434000418520554</v>
      </c>
      <c r="P33" s="34">
        <f t="shared" si="2"/>
        <v>-1045.1540004185206</v>
      </c>
      <c r="Q33" s="35">
        <f t="shared" si="3"/>
        <v>-1.0269563341769057</v>
      </c>
    </row>
    <row r="34" spans="4:19" ht="12.75">
      <c r="D34" s="36" t="s">
        <v>39</v>
      </c>
      <c r="E34" s="36"/>
      <c r="F34" s="37" t="s">
        <v>76</v>
      </c>
      <c r="G34" s="38"/>
      <c r="H34" s="111">
        <v>2.1814</v>
      </c>
      <c r="I34" s="39">
        <f>L16</f>
        <v>500</v>
      </c>
      <c r="J34" s="112">
        <f>I34*H34</f>
        <v>1090.7</v>
      </c>
      <c r="K34" s="36"/>
      <c r="L34" s="111">
        <v>2.4546</v>
      </c>
      <c r="M34" s="39">
        <f>L16</f>
        <v>500</v>
      </c>
      <c r="N34" s="112">
        <f>M34*L34</f>
        <v>1227.3</v>
      </c>
      <c r="O34" s="36"/>
      <c r="P34" s="41">
        <f t="shared" si="2"/>
        <v>136.5999999999999</v>
      </c>
      <c r="Q34" s="113">
        <f t="shared" si="3"/>
        <v>0.1252406711286329</v>
      </c>
      <c r="R34" s="29"/>
      <c r="S34" s="29"/>
    </row>
    <row r="35" spans="4:19" ht="27" thickBot="1">
      <c r="D35" s="42" t="s">
        <v>40</v>
      </c>
      <c r="E35" s="36"/>
      <c r="F35" s="37" t="s">
        <v>76</v>
      </c>
      <c r="G35" s="38"/>
      <c r="H35" s="111">
        <v>1.7374</v>
      </c>
      <c r="I35" s="39">
        <f>I34</f>
        <v>500</v>
      </c>
      <c r="J35" s="112">
        <f>I35*H35</f>
        <v>868.7</v>
      </c>
      <c r="K35" s="36"/>
      <c r="L35" s="111">
        <v>1.9125</v>
      </c>
      <c r="M35" s="40">
        <f>M34</f>
        <v>500</v>
      </c>
      <c r="N35" s="112">
        <f>M35*L35</f>
        <v>956.25</v>
      </c>
      <c r="O35" s="36"/>
      <c r="P35" s="41">
        <f t="shared" si="2"/>
        <v>87.54999999999995</v>
      </c>
      <c r="Q35" s="113">
        <f t="shared" si="3"/>
        <v>0.10078277886497058</v>
      </c>
      <c r="R35" s="29"/>
      <c r="S35" s="29"/>
    </row>
    <row r="36" spans="4:19" ht="27" thickBot="1">
      <c r="D36" s="43" t="s">
        <v>41</v>
      </c>
      <c r="E36" s="16"/>
      <c r="F36" s="16"/>
      <c r="G36" s="18"/>
      <c r="H36" s="44"/>
      <c r="I36" s="45"/>
      <c r="J36" s="46">
        <f>SUM(J33:J35)</f>
        <v>2977.12</v>
      </c>
      <c r="K36" s="47"/>
      <c r="L36" s="48"/>
      <c r="M36" s="49"/>
      <c r="N36" s="46">
        <f>SUM(N33:N35)</f>
        <v>2156.1159995814796</v>
      </c>
      <c r="O36" s="47"/>
      <c r="P36" s="50">
        <f t="shared" si="2"/>
        <v>-821.0040004185203</v>
      </c>
      <c r="Q36" s="51">
        <f t="shared" si="3"/>
        <v>-0.27577121527466825</v>
      </c>
      <c r="R36" s="29"/>
      <c r="S36" s="29"/>
    </row>
    <row r="37" spans="4:17" ht="26.25">
      <c r="D37" s="25" t="s">
        <v>42</v>
      </c>
      <c r="E37" s="16"/>
      <c r="F37" s="17" t="s">
        <v>73</v>
      </c>
      <c r="G37" s="18"/>
      <c r="H37" s="19">
        <v>0.0065</v>
      </c>
      <c r="I37" s="20">
        <f>H16*(1+H49)</f>
        <v>262550</v>
      </c>
      <c r="J37" s="21">
        <f aca="true" t="shared" si="4" ref="J37:J42">I37*H37</f>
        <v>1706.5749999999998</v>
      </c>
      <c r="K37" s="16"/>
      <c r="L37" s="19">
        <v>0.0065</v>
      </c>
      <c r="M37" s="20">
        <f>H16*(1+L49)</f>
        <v>263138.2908338625</v>
      </c>
      <c r="N37" s="21">
        <f aca="true" t="shared" si="5" ref="N37:N42">M37*L37</f>
        <v>1710.3988904201062</v>
      </c>
      <c r="O37" s="16"/>
      <c r="P37" s="23">
        <f t="shared" si="2"/>
        <v>3.823890420106409</v>
      </c>
      <c r="Q37" s="24">
        <f t="shared" si="3"/>
        <v>0.0022406811421158807</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262550</v>
      </c>
      <c r="J41" s="21">
        <f t="shared" si="4"/>
        <v>1837.8500000000001</v>
      </c>
      <c r="K41" s="16"/>
      <c r="L41" s="19">
        <v>0.007</v>
      </c>
      <c r="M41" s="22">
        <f>M37</f>
        <v>263138.2908338625</v>
      </c>
      <c r="N41" s="21">
        <f t="shared" si="5"/>
        <v>1841.9680358370376</v>
      </c>
      <c r="O41" s="16"/>
      <c r="P41" s="23">
        <f t="shared" si="2"/>
        <v>4.118035837037496</v>
      </c>
      <c r="Q41" s="24">
        <f t="shared" si="3"/>
        <v>0.0022406811421157853</v>
      </c>
    </row>
    <row r="42" spans="4:17" ht="13.5" thickBot="1">
      <c r="D42" s="16" t="s">
        <v>47</v>
      </c>
      <c r="E42" s="16"/>
      <c r="F42" s="17" t="s">
        <v>73</v>
      </c>
      <c r="G42" s="18"/>
      <c r="H42" s="19">
        <v>0.068</v>
      </c>
      <c r="I42" s="39">
        <f>I41</f>
        <v>262550</v>
      </c>
      <c r="J42" s="21">
        <f t="shared" si="4"/>
        <v>17853.4</v>
      </c>
      <c r="K42" s="16"/>
      <c r="L42" s="19">
        <v>0.068</v>
      </c>
      <c r="M42" s="39">
        <f>M41</f>
        <v>263138.2908338625</v>
      </c>
      <c r="N42" s="21">
        <f t="shared" si="5"/>
        <v>17893.403776702653</v>
      </c>
      <c r="O42" s="16"/>
      <c r="P42" s="23">
        <f t="shared" si="2"/>
        <v>40.00377670265152</v>
      </c>
      <c r="Q42" s="24">
        <f t="shared" si="3"/>
        <v>0.0022406811421158725</v>
      </c>
    </row>
    <row r="43" spans="4:17" ht="13.5" thickBot="1">
      <c r="D43" s="56" t="s">
        <v>48</v>
      </c>
      <c r="E43" s="16"/>
      <c r="F43" s="16"/>
      <c r="G43" s="16"/>
      <c r="H43" s="57"/>
      <c r="I43" s="58"/>
      <c r="J43" s="46">
        <f>SUM(J36:J42)</f>
        <v>24374.945</v>
      </c>
      <c r="K43" s="47"/>
      <c r="L43" s="59"/>
      <c r="M43" s="60"/>
      <c r="N43" s="46">
        <f>SUM(N36:N42)</f>
        <v>23601.886702541276</v>
      </c>
      <c r="O43" s="47"/>
      <c r="P43" s="50">
        <f t="shared" si="2"/>
        <v>-773.0582974587232</v>
      </c>
      <c r="Q43" s="51">
        <f t="shared" si="3"/>
        <v>-0.031715283766126375</v>
      </c>
    </row>
    <row r="44" spans="4:17" ht="13.5" thickBot="1">
      <c r="D44" s="18" t="s">
        <v>49</v>
      </c>
      <c r="E44" s="16"/>
      <c r="F44" s="16"/>
      <c r="G44" s="16"/>
      <c r="H44" s="61">
        <v>0.13</v>
      </c>
      <c r="I44" s="62"/>
      <c r="J44" s="63">
        <f>J43*H44</f>
        <v>3168.74285</v>
      </c>
      <c r="K44" s="16"/>
      <c r="L44" s="61">
        <v>0.13</v>
      </c>
      <c r="M44" s="64"/>
      <c r="N44" s="63">
        <f>N43*L44</f>
        <v>3068.245271330366</v>
      </c>
      <c r="O44" s="16"/>
      <c r="P44" s="23">
        <f t="shared" si="2"/>
        <v>-100.4975786696341</v>
      </c>
      <c r="Q44" s="24">
        <f t="shared" si="3"/>
        <v>-0.031715283766126395</v>
      </c>
    </row>
    <row r="45" spans="4:17" ht="27" thickBot="1">
      <c r="D45" s="43" t="s">
        <v>50</v>
      </c>
      <c r="E45" s="16"/>
      <c r="F45" s="16"/>
      <c r="G45" s="16"/>
      <c r="H45" s="44"/>
      <c r="I45" s="45"/>
      <c r="J45" s="46">
        <f>ROUND(SUM(J43:J44),2)</f>
        <v>27543.69</v>
      </c>
      <c r="K45" s="47"/>
      <c r="L45" s="48"/>
      <c r="M45" s="49"/>
      <c r="N45" s="46">
        <f>ROUND(SUM(N43:N44),2)</f>
        <v>26670.13</v>
      </c>
      <c r="O45" s="47"/>
      <c r="P45" s="50">
        <f t="shared" si="2"/>
        <v>-873.5599999999977</v>
      </c>
      <c r="Q45" s="51">
        <f t="shared" si="3"/>
        <v>-0.031715431011603665</v>
      </c>
    </row>
    <row r="46" spans="4:17" ht="29.25" thickBot="1">
      <c r="D46" s="83" t="s">
        <v>102</v>
      </c>
      <c r="E46" s="16"/>
      <c r="F46" s="16"/>
      <c r="G46" s="16"/>
      <c r="H46" s="44"/>
      <c r="I46" s="80"/>
      <c r="J46" s="46">
        <f>ROUND(-J45*10%,2)</f>
        <v>-2754.37</v>
      </c>
      <c r="K46" s="47"/>
      <c r="L46" s="48"/>
      <c r="M46" s="49"/>
      <c r="N46" s="46">
        <f>ROUND(-N45*10%,2)</f>
        <v>-2667.01</v>
      </c>
      <c r="O46" s="47"/>
      <c r="P46" s="50">
        <f t="shared" si="2"/>
        <v>87.35999999999967</v>
      </c>
      <c r="Q46" s="51">
        <f t="shared" si="3"/>
        <v>-0.03171687173473414</v>
      </c>
    </row>
    <row r="47" spans="4:17" ht="13.5" thickBot="1">
      <c r="D47" s="43" t="s">
        <v>55</v>
      </c>
      <c r="E47" s="16"/>
      <c r="F47" s="16"/>
      <c r="G47" s="16"/>
      <c r="H47" s="82"/>
      <c r="I47" s="81"/>
      <c r="J47" s="75">
        <f>J45+J46</f>
        <v>24789.32</v>
      </c>
      <c r="K47" s="47"/>
      <c r="L47" s="79"/>
      <c r="M47" s="78"/>
      <c r="N47" s="75">
        <f>N45+N46</f>
        <v>24003.120000000003</v>
      </c>
      <c r="O47" s="47"/>
      <c r="P47" s="77">
        <f t="shared" si="2"/>
        <v>-786.1999999999971</v>
      </c>
      <c r="Q47" s="76">
        <f t="shared" si="3"/>
        <v>-0.03171527093119122</v>
      </c>
    </row>
    <row r="48" ht="10.5" customHeight="1"/>
    <row r="49" spans="4:14" ht="12.75">
      <c r="D49" s="3" t="s">
        <v>51</v>
      </c>
      <c r="H49" s="65">
        <v>0.0502</v>
      </c>
      <c r="I49" s="121"/>
      <c r="J49" s="121"/>
      <c r="K49" s="121"/>
      <c r="L49" s="120">
        <v>0.05255316333545</v>
      </c>
      <c r="N49" s="122"/>
    </row>
    <row r="50" ht="10.5" customHeight="1"/>
    <row r="51" ht="10.5" customHeight="1">
      <c r="C51" s="107" t="s">
        <v>103</v>
      </c>
    </row>
    <row r="52" ht="10.5" customHeight="1"/>
    <row r="53" spans="2:3" ht="12.75">
      <c r="B53" s="3"/>
      <c r="C53" s="2" t="s">
        <v>59</v>
      </c>
    </row>
    <row r="54" ht="12.75">
      <c r="C54" s="2" t="s">
        <v>60</v>
      </c>
    </row>
    <row r="56" ht="12.75">
      <c r="C56" s="2" t="s">
        <v>101</v>
      </c>
    </row>
    <row r="57" ht="12.75">
      <c r="C57" s="2" t="s">
        <v>61</v>
      </c>
    </row>
    <row r="59" ht="12.75">
      <c r="C59" s="2" t="s">
        <v>62</v>
      </c>
    </row>
    <row r="60" ht="12.75">
      <c r="C60" s="2" t="s">
        <v>63</v>
      </c>
    </row>
    <row r="61" ht="12.75">
      <c r="C61" s="2" t="s">
        <v>64</v>
      </c>
    </row>
    <row r="62" ht="12.75">
      <c r="C62" s="2" t="s">
        <v>65</v>
      </c>
    </row>
    <row r="63" ht="12.75">
      <c r="C63"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2 G21:G32 G34:G35">
      <formula1>$B$14:$B$19</formula1>
    </dataValidation>
    <dataValidation type="list" allowBlank="1" showInputMessage="1" showErrorMessage="1" prompt="Select Charge Unit - monthly, per kWh, per kW" sqref="F34:F35 F21:F32 F37:F42">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S63"/>
  <sheetViews>
    <sheetView showGridLines="0" zoomScalePageLayoutView="0" workbookViewId="0" topLeftCell="A11">
      <selection activeCell="L21" sqref="L21:L3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1.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0.28125" style="2" bestFit="1" customWidth="1"/>
    <col min="17" max="17" width="8.7109375" style="2"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75</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3" ht="12.75">
      <c r="B16" s="8"/>
      <c r="D16" s="99"/>
      <c r="F16" s="3" t="s">
        <v>16</v>
      </c>
      <c r="G16" s="3"/>
      <c r="H16" s="6">
        <v>500000</v>
      </c>
      <c r="I16" s="3" t="s">
        <v>17</v>
      </c>
      <c r="L16" s="6">
        <v>1000</v>
      </c>
      <c r="M16" s="3" t="s">
        <v>77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165.08</v>
      </c>
      <c r="I21" s="20">
        <v>1</v>
      </c>
      <c r="J21" s="109">
        <f aca="true" t="shared" si="0" ref="J21:J32">I21*H21</f>
        <v>165.08</v>
      </c>
      <c r="K21" s="16"/>
      <c r="L21" s="108">
        <f>'App.2-V BillImpact &gt;50 100kw'!L21</f>
        <v>203.66</v>
      </c>
      <c r="M21" s="22">
        <v>1</v>
      </c>
      <c r="N21" s="109">
        <f aca="true" t="shared" si="1" ref="N21:N32">M21*L21</f>
        <v>203.66</v>
      </c>
      <c r="O21" s="16"/>
      <c r="P21" s="23">
        <f aca="true" t="shared" si="2" ref="P21:P47">N21-J21</f>
        <v>38.579999999999984</v>
      </c>
      <c r="Q21" s="110">
        <f aca="true" t="shared" si="3" ref="Q21:Q47">IF((J21)=0,"",(P21/J21))</f>
        <v>0.23370487036588308</v>
      </c>
    </row>
    <row r="22" spans="4:17" ht="12.75">
      <c r="D22" s="16" t="s">
        <v>28</v>
      </c>
      <c r="E22" s="16"/>
      <c r="F22" s="17" t="s">
        <v>72</v>
      </c>
      <c r="G22" s="18"/>
      <c r="H22" s="108">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76</v>
      </c>
      <c r="G25" s="18"/>
      <c r="H25" s="108">
        <v>1.4136</v>
      </c>
      <c r="I25" s="20">
        <f>L16</f>
        <v>1000</v>
      </c>
      <c r="J25" s="109">
        <f t="shared" si="0"/>
        <v>1413.6</v>
      </c>
      <c r="K25" s="16"/>
      <c r="L25" s="108">
        <f>'App.2-V BillImpact &gt;50 100kw'!L25</f>
        <v>1.7031</v>
      </c>
      <c r="M25" s="22">
        <f>L16</f>
        <v>1000</v>
      </c>
      <c r="N25" s="109">
        <f t="shared" si="1"/>
        <v>1703.1000000000001</v>
      </c>
      <c r="O25" s="16"/>
      <c r="P25" s="23">
        <f t="shared" si="2"/>
        <v>289.5000000000002</v>
      </c>
      <c r="Q25" s="110">
        <f t="shared" si="3"/>
        <v>0.20479626485568778</v>
      </c>
    </row>
    <row r="26" spans="4:17" ht="12.75">
      <c r="D26" s="16" t="s">
        <v>32</v>
      </c>
      <c r="E26" s="16"/>
      <c r="F26" s="17" t="s">
        <v>76</v>
      </c>
      <c r="G26" s="18"/>
      <c r="H26" s="108">
        <v>0.2877</v>
      </c>
      <c r="I26" s="20">
        <f>I25</f>
        <v>1000</v>
      </c>
      <c r="J26" s="109">
        <f t="shared" si="0"/>
        <v>287.7</v>
      </c>
      <c r="K26" s="16"/>
      <c r="L26" s="108">
        <f>'App.2-V BillImpact &gt;50 100kw'!L26</f>
        <v>0.2603</v>
      </c>
      <c r="M26" s="22">
        <f>M25</f>
        <v>1000</v>
      </c>
      <c r="N26" s="109">
        <f t="shared" si="1"/>
        <v>260.29999999999995</v>
      </c>
      <c r="O26" s="16"/>
      <c r="P26" s="23">
        <f t="shared" si="2"/>
        <v>-27.400000000000034</v>
      </c>
      <c r="Q26" s="110">
        <f t="shared" si="3"/>
        <v>-0.09523809523809536</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BillImpact &gt;50 100kw'!L29</f>
        <v>0</v>
      </c>
      <c r="M29" s="22">
        <v>1</v>
      </c>
      <c r="N29" s="109">
        <f t="shared" si="1"/>
        <v>0</v>
      </c>
      <c r="O29" s="16"/>
      <c r="P29" s="23">
        <f t="shared" si="2"/>
        <v>0</v>
      </c>
      <c r="Q29" s="110">
        <f t="shared" si="3"/>
      </c>
    </row>
    <row r="30" spans="4:17" ht="12.75">
      <c r="D30" s="16" t="s">
        <v>36</v>
      </c>
      <c r="E30" s="16"/>
      <c r="F30" s="17" t="s">
        <v>76</v>
      </c>
      <c r="G30" s="18"/>
      <c r="H30" s="108"/>
      <c r="I30" s="20"/>
      <c r="J30" s="109">
        <f t="shared" si="0"/>
        <v>0</v>
      </c>
      <c r="K30" s="16"/>
      <c r="L30" s="108">
        <f>'App.2-V BillImpact &gt;50 100kw'!L30</f>
        <v>0.1062</v>
      </c>
      <c r="M30" s="22">
        <f>L16</f>
        <v>1000</v>
      </c>
      <c r="N30" s="109">
        <f t="shared" si="1"/>
        <v>106.2</v>
      </c>
      <c r="O30" s="16"/>
      <c r="P30" s="23">
        <f t="shared" si="2"/>
        <v>106.2</v>
      </c>
      <c r="Q30" s="110">
        <f t="shared" si="3"/>
      </c>
    </row>
    <row r="31" spans="4:17" ht="26.25">
      <c r="D31" s="25" t="s">
        <v>37</v>
      </c>
      <c r="E31" s="16"/>
      <c r="F31" s="17" t="s">
        <v>76</v>
      </c>
      <c r="G31" s="18"/>
      <c r="H31" s="108"/>
      <c r="I31" s="20"/>
      <c r="J31" s="109">
        <f t="shared" si="0"/>
        <v>0</v>
      </c>
      <c r="K31" s="16"/>
      <c r="L31" s="108">
        <f>'App.2-V BillImpact &gt;50 100kw'!L31</f>
        <v>-2.5414346530315033</v>
      </c>
      <c r="M31" s="22">
        <f>M30</f>
        <v>1000</v>
      </c>
      <c r="N31" s="109">
        <f t="shared" si="1"/>
        <v>-2541.4346530315033</v>
      </c>
      <c r="O31" s="16"/>
      <c r="P31" s="23">
        <f t="shared" si="2"/>
        <v>-2541.4346530315033</v>
      </c>
      <c r="Q31" s="110">
        <f t="shared" si="3"/>
      </c>
    </row>
    <row r="32" spans="4:17" ht="13.5" thickBot="1">
      <c r="D32" s="26" t="s">
        <v>14</v>
      </c>
      <c r="E32" s="16"/>
      <c r="F32" s="17" t="s">
        <v>72</v>
      </c>
      <c r="G32" s="18"/>
      <c r="H32" s="108"/>
      <c r="I32" s="27"/>
      <c r="J32" s="109">
        <f t="shared" si="0"/>
        <v>0</v>
      </c>
      <c r="K32" s="16"/>
      <c r="L32" s="108">
        <f>'App.2-V BillImpact &gt;50 100kw'!L32</f>
        <v>0</v>
      </c>
      <c r="M32" s="28">
        <v>1</v>
      </c>
      <c r="N32" s="109">
        <f t="shared" si="1"/>
        <v>0</v>
      </c>
      <c r="O32" s="16"/>
      <c r="P32" s="23">
        <f t="shared" si="2"/>
        <v>0</v>
      </c>
      <c r="Q32" s="110">
        <f t="shared" si="3"/>
      </c>
    </row>
    <row r="33" spans="4:17" ht="13.5" thickBot="1">
      <c r="D33" s="3" t="s">
        <v>38</v>
      </c>
      <c r="G33" s="29"/>
      <c r="H33" s="30"/>
      <c r="I33" s="31"/>
      <c r="J33" s="32">
        <f>SUM(J21:J32)</f>
        <v>1868.37</v>
      </c>
      <c r="L33" s="30"/>
      <c r="M33" s="33"/>
      <c r="N33" s="32">
        <f>SUM(N21:N32)</f>
        <v>-263.35132693427204</v>
      </c>
      <c r="P33" s="34">
        <f t="shared" si="2"/>
        <v>-2131.721326934272</v>
      </c>
      <c r="Q33" s="35">
        <f t="shared" si="3"/>
        <v>-1.14095244889089</v>
      </c>
    </row>
    <row r="34" spans="4:19" ht="12.75">
      <c r="D34" s="36" t="s">
        <v>39</v>
      </c>
      <c r="E34" s="36"/>
      <c r="F34" s="37" t="s">
        <v>76</v>
      </c>
      <c r="G34" s="38"/>
      <c r="H34" s="111">
        <v>2.1814</v>
      </c>
      <c r="I34" s="39">
        <f>L16</f>
        <v>1000</v>
      </c>
      <c r="J34" s="112">
        <f>I34*H34</f>
        <v>2181.4</v>
      </c>
      <c r="K34" s="36"/>
      <c r="L34" s="111">
        <v>2.4546</v>
      </c>
      <c r="M34" s="39">
        <f>L16</f>
        <v>1000</v>
      </c>
      <c r="N34" s="112">
        <f>M34*L34</f>
        <v>2454.6</v>
      </c>
      <c r="O34" s="36"/>
      <c r="P34" s="41">
        <f t="shared" si="2"/>
        <v>273.1999999999998</v>
      </c>
      <c r="Q34" s="113">
        <f t="shared" si="3"/>
        <v>0.1252406711286329</v>
      </c>
      <c r="R34" s="29"/>
      <c r="S34" s="29"/>
    </row>
    <row r="35" spans="4:19" ht="27" thickBot="1">
      <c r="D35" s="42" t="s">
        <v>40</v>
      </c>
      <c r="E35" s="36"/>
      <c r="F35" s="37" t="s">
        <v>76</v>
      </c>
      <c r="G35" s="38"/>
      <c r="H35" s="111">
        <v>1.7374</v>
      </c>
      <c r="I35" s="39">
        <f>I34</f>
        <v>1000</v>
      </c>
      <c r="J35" s="112">
        <f>I35*H35</f>
        <v>1737.4</v>
      </c>
      <c r="K35" s="36"/>
      <c r="L35" s="111">
        <v>1.9125</v>
      </c>
      <c r="M35" s="40">
        <f>M34</f>
        <v>1000</v>
      </c>
      <c r="N35" s="112">
        <f>M35*L35</f>
        <v>1912.5</v>
      </c>
      <c r="O35" s="36"/>
      <c r="P35" s="41">
        <f t="shared" si="2"/>
        <v>175.0999999999999</v>
      </c>
      <c r="Q35" s="113">
        <f t="shared" si="3"/>
        <v>0.10078277886497058</v>
      </c>
      <c r="R35" s="29"/>
      <c r="S35" s="29"/>
    </row>
    <row r="36" spans="4:19" ht="27" thickBot="1">
      <c r="D36" s="43" t="s">
        <v>41</v>
      </c>
      <c r="E36" s="16"/>
      <c r="F36" s="16"/>
      <c r="G36" s="18"/>
      <c r="H36" s="44"/>
      <c r="I36" s="45"/>
      <c r="J36" s="46">
        <f>SUM(J33:J35)</f>
        <v>5787.17</v>
      </c>
      <c r="K36" s="47"/>
      <c r="L36" s="48"/>
      <c r="M36" s="49"/>
      <c r="N36" s="46">
        <f>SUM(N33:N35)</f>
        <v>4103.748673065727</v>
      </c>
      <c r="O36" s="47"/>
      <c r="P36" s="50">
        <f t="shared" si="2"/>
        <v>-1683.4213269342727</v>
      </c>
      <c r="Q36" s="51">
        <f t="shared" si="3"/>
        <v>-0.29088852183956454</v>
      </c>
      <c r="R36" s="29"/>
      <c r="S36" s="29"/>
    </row>
    <row r="37" spans="4:17" ht="26.25">
      <c r="D37" s="25" t="s">
        <v>42</v>
      </c>
      <c r="E37" s="16"/>
      <c r="F37" s="17" t="s">
        <v>73</v>
      </c>
      <c r="G37" s="18"/>
      <c r="H37" s="19">
        <v>0.0065</v>
      </c>
      <c r="I37" s="20">
        <f>H16*(1+H49)</f>
        <v>525100</v>
      </c>
      <c r="J37" s="21">
        <f aca="true" t="shared" si="4" ref="J37:J42">I37*H37</f>
        <v>3413.1499999999996</v>
      </c>
      <c r="K37" s="16"/>
      <c r="L37" s="19">
        <v>0.0065</v>
      </c>
      <c r="M37" s="20">
        <f>H16*(1+L49)</f>
        <v>526276.581667725</v>
      </c>
      <c r="N37" s="21">
        <f aca="true" t="shared" si="5" ref="N37:N42">M37*L37</f>
        <v>3420.7977808402125</v>
      </c>
      <c r="O37" s="16"/>
      <c r="P37" s="23">
        <f t="shared" si="2"/>
        <v>7.647780840212818</v>
      </c>
      <c r="Q37" s="24">
        <f t="shared" si="3"/>
        <v>0.0022406811421158807</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525100</v>
      </c>
      <c r="J41" s="21">
        <f t="shared" si="4"/>
        <v>3675.7000000000003</v>
      </c>
      <c r="K41" s="16"/>
      <c r="L41" s="19">
        <v>0.007</v>
      </c>
      <c r="M41" s="22">
        <f>M37</f>
        <v>526276.581667725</v>
      </c>
      <c r="N41" s="21">
        <f t="shared" si="5"/>
        <v>3683.9360716740753</v>
      </c>
      <c r="O41" s="16"/>
      <c r="P41" s="23">
        <f t="shared" si="2"/>
        <v>8.236071674074992</v>
      </c>
      <c r="Q41" s="24">
        <f t="shared" si="3"/>
        <v>0.0022406811421157853</v>
      </c>
    </row>
    <row r="42" spans="4:17" ht="13.5" thickBot="1">
      <c r="D42" s="16" t="s">
        <v>47</v>
      </c>
      <c r="E42" s="16"/>
      <c r="F42" s="17" t="s">
        <v>73</v>
      </c>
      <c r="G42" s="18"/>
      <c r="H42" s="19">
        <v>0.068</v>
      </c>
      <c r="I42" s="39">
        <f>I41</f>
        <v>525100</v>
      </c>
      <c r="J42" s="21">
        <f t="shared" si="4"/>
        <v>35706.8</v>
      </c>
      <c r="K42" s="16"/>
      <c r="L42" s="19">
        <v>0.068</v>
      </c>
      <c r="M42" s="39">
        <f>M41</f>
        <v>526276.581667725</v>
      </c>
      <c r="N42" s="21">
        <f t="shared" si="5"/>
        <v>35786.807553405306</v>
      </c>
      <c r="O42" s="16"/>
      <c r="P42" s="23">
        <f t="shared" si="2"/>
        <v>80.00755340530304</v>
      </c>
      <c r="Q42" s="24">
        <f t="shared" si="3"/>
        <v>0.0022406811421158725</v>
      </c>
    </row>
    <row r="43" spans="4:17" ht="13.5" thickBot="1">
      <c r="D43" s="56" t="s">
        <v>48</v>
      </c>
      <c r="E43" s="16"/>
      <c r="F43" s="16"/>
      <c r="G43" s="16"/>
      <c r="H43" s="57"/>
      <c r="I43" s="58"/>
      <c r="J43" s="46">
        <f>SUM(J36:J42)</f>
        <v>48582.82000000001</v>
      </c>
      <c r="K43" s="47"/>
      <c r="L43" s="59"/>
      <c r="M43" s="60"/>
      <c r="N43" s="46">
        <f>SUM(N36:N42)</f>
        <v>46995.29007898532</v>
      </c>
      <c r="O43" s="47"/>
      <c r="P43" s="50">
        <f t="shared" si="2"/>
        <v>-1587.529921014684</v>
      </c>
      <c r="Q43" s="51">
        <f t="shared" si="3"/>
        <v>-0.03267677588527557</v>
      </c>
    </row>
    <row r="44" spans="4:17" ht="13.5" thickBot="1">
      <c r="D44" s="18" t="s">
        <v>49</v>
      </c>
      <c r="E44" s="16"/>
      <c r="F44" s="16"/>
      <c r="G44" s="16"/>
      <c r="H44" s="61">
        <v>0.13</v>
      </c>
      <c r="I44" s="62"/>
      <c r="J44" s="63">
        <f>J43*H44</f>
        <v>6315.766600000001</v>
      </c>
      <c r="K44" s="16"/>
      <c r="L44" s="61">
        <v>0.13</v>
      </c>
      <c r="M44" s="64"/>
      <c r="N44" s="63">
        <f>N43*L44</f>
        <v>6109.387710268093</v>
      </c>
      <c r="O44" s="16"/>
      <c r="P44" s="23">
        <f t="shared" si="2"/>
        <v>-206.3788897319082</v>
      </c>
      <c r="Q44" s="24">
        <f t="shared" si="3"/>
        <v>-0.03267677588527546</v>
      </c>
    </row>
    <row r="45" spans="4:17" ht="27" thickBot="1">
      <c r="D45" s="43" t="s">
        <v>50</v>
      </c>
      <c r="E45" s="16"/>
      <c r="F45" s="16"/>
      <c r="G45" s="16"/>
      <c r="H45" s="44"/>
      <c r="I45" s="45"/>
      <c r="J45" s="46">
        <f>ROUND(SUM(J43:J44),2)</f>
        <v>54898.59</v>
      </c>
      <c r="K45" s="47"/>
      <c r="L45" s="48"/>
      <c r="M45" s="49"/>
      <c r="N45" s="46">
        <f>ROUND(SUM(N43:N44),2)</f>
        <v>53104.68</v>
      </c>
      <c r="O45" s="47"/>
      <c r="P45" s="50">
        <f t="shared" si="2"/>
        <v>-1793.9099999999962</v>
      </c>
      <c r="Q45" s="51">
        <f t="shared" si="3"/>
        <v>-0.03267679552425657</v>
      </c>
    </row>
    <row r="46" spans="4:17" ht="29.25" thickBot="1">
      <c r="D46" s="83" t="s">
        <v>102</v>
      </c>
      <c r="E46" s="16"/>
      <c r="F46" s="16"/>
      <c r="G46" s="16"/>
      <c r="H46" s="44"/>
      <c r="I46" s="80"/>
      <c r="J46" s="46">
        <f>ROUND(-J45*10%,2)</f>
        <v>-5489.86</v>
      </c>
      <c r="K46" s="47"/>
      <c r="L46" s="48"/>
      <c r="M46" s="49"/>
      <c r="N46" s="46">
        <f>ROUND(-N45*10%,2)</f>
        <v>-5310.47</v>
      </c>
      <c r="O46" s="47"/>
      <c r="P46" s="50">
        <f t="shared" si="2"/>
        <v>179.38999999999942</v>
      </c>
      <c r="Q46" s="51">
        <f t="shared" si="3"/>
        <v>-0.0326766074180397</v>
      </c>
    </row>
    <row r="47" spans="4:17" ht="13.5" thickBot="1">
      <c r="D47" s="43" t="s">
        <v>55</v>
      </c>
      <c r="E47" s="16"/>
      <c r="F47" s="16"/>
      <c r="G47" s="16"/>
      <c r="H47" s="82"/>
      <c r="I47" s="81"/>
      <c r="J47" s="75">
        <f>J45+J46</f>
        <v>49408.729999999996</v>
      </c>
      <c r="K47" s="47"/>
      <c r="L47" s="79"/>
      <c r="M47" s="78"/>
      <c r="N47" s="75">
        <f>N45+N46</f>
        <v>47794.21</v>
      </c>
      <c r="O47" s="47"/>
      <c r="P47" s="77">
        <f t="shared" si="2"/>
        <v>-1614.5199999999968</v>
      </c>
      <c r="Q47" s="76">
        <f t="shared" si="3"/>
        <v>-0.03267681642495156</v>
      </c>
    </row>
    <row r="48" ht="10.5" customHeight="1"/>
    <row r="49" spans="4:14" ht="12.75">
      <c r="D49" s="3" t="s">
        <v>51</v>
      </c>
      <c r="H49" s="65">
        <v>0.0502</v>
      </c>
      <c r="I49" s="121"/>
      <c r="J49" s="121"/>
      <c r="K49" s="121"/>
      <c r="L49" s="120">
        <v>0.05255316333545</v>
      </c>
      <c r="N49" s="122"/>
    </row>
    <row r="50" ht="10.5" customHeight="1"/>
    <row r="51" ht="10.5" customHeight="1">
      <c r="C51" s="107" t="s">
        <v>103</v>
      </c>
    </row>
    <row r="52" ht="10.5" customHeight="1"/>
    <row r="53" spans="2:3" ht="12.75">
      <c r="B53" s="3"/>
      <c r="C53" s="2" t="s">
        <v>59</v>
      </c>
    </row>
    <row r="54" ht="12.75">
      <c r="C54" s="2" t="s">
        <v>60</v>
      </c>
    </row>
    <row r="56" ht="12.75">
      <c r="C56" s="2" t="s">
        <v>101</v>
      </c>
    </row>
    <row r="57" ht="12.75">
      <c r="C57" s="2" t="s">
        <v>61</v>
      </c>
    </row>
    <row r="59" ht="12.75">
      <c r="C59" s="2" t="s">
        <v>62</v>
      </c>
    </row>
    <row r="60" ht="12.75">
      <c r="C60" s="2" t="s">
        <v>63</v>
      </c>
    </row>
    <row r="61" ht="12.75">
      <c r="C61" s="2" t="s">
        <v>64</v>
      </c>
    </row>
    <row r="62" ht="12.75">
      <c r="C62" s="2" t="s">
        <v>65</v>
      </c>
    </row>
    <row r="63" ht="12.75">
      <c r="C63"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2 G21:G32 G34:G35">
      <formula1>$B$14:$B$19</formula1>
    </dataValidation>
    <dataValidation type="list" allowBlank="1" showInputMessage="1" showErrorMessage="1" prompt="Select Charge Unit - monthly, per kWh, per kW" sqref="F34:F35 F21:F32 F37:F42">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S62"/>
  <sheetViews>
    <sheetView showGridLines="0" zoomScalePageLayoutView="0" workbookViewId="0" topLeftCell="A10">
      <selection activeCell="L21" sqref="L21:L31"/>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2.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2.28125" style="2" bestFit="1" customWidth="1"/>
    <col min="17" max="17" width="12.14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104</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7" ht="12.75">
      <c r="B16" s="8"/>
      <c r="D16" s="99"/>
      <c r="F16" s="3" t="s">
        <v>16</v>
      </c>
      <c r="G16" s="3"/>
      <c r="H16" s="6">
        <v>100000</v>
      </c>
      <c r="I16" s="3" t="s">
        <v>17</v>
      </c>
      <c r="L16" s="6">
        <v>350</v>
      </c>
      <c r="M16" s="3" t="s">
        <v>77</v>
      </c>
      <c r="P16" s="6">
        <v>2500</v>
      </c>
      <c r="Q16" s="3" t="s">
        <v>90</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0.66</v>
      </c>
      <c r="I21" s="20">
        <f>P16</f>
        <v>2500</v>
      </c>
      <c r="J21" s="109">
        <f aca="true" t="shared" si="0" ref="J21:J31">I21*H21</f>
        <v>1650</v>
      </c>
      <c r="K21" s="16"/>
      <c r="L21" s="108">
        <v>1.2994</v>
      </c>
      <c r="M21" s="22">
        <f>P16</f>
        <v>2500</v>
      </c>
      <c r="N21" s="109">
        <f aca="true" t="shared" si="1" ref="N21:N31">M21*L21</f>
        <v>3248.5000000000005</v>
      </c>
      <c r="O21" s="16"/>
      <c r="P21" s="23">
        <f aca="true" t="shared" si="2" ref="P21:P46">N21-J21</f>
        <v>1598.5000000000005</v>
      </c>
      <c r="Q21" s="110">
        <f aca="true" t="shared" si="3" ref="Q21:Q46">IF((J21)=0,"",(P21/J21))</f>
        <v>0.9687878787878791</v>
      </c>
    </row>
    <row r="22" spans="4:17" ht="12.75">
      <c r="D22" s="16" t="s">
        <v>28</v>
      </c>
      <c r="E22" s="16"/>
      <c r="F22" s="17"/>
      <c r="G22" s="18"/>
      <c r="H22" s="108"/>
      <c r="I22" s="20"/>
      <c r="J22" s="109">
        <f t="shared" si="0"/>
        <v>0</v>
      </c>
      <c r="K22" s="16"/>
      <c r="L22" s="108"/>
      <c r="M22" s="22"/>
      <c r="N22" s="109">
        <f t="shared" si="1"/>
        <v>0</v>
      </c>
      <c r="O22" s="16"/>
      <c r="P22" s="23">
        <f t="shared" si="2"/>
        <v>0</v>
      </c>
      <c r="Q22" s="110">
        <f t="shared" si="3"/>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76</v>
      </c>
      <c r="G25" s="18"/>
      <c r="H25" s="108">
        <v>3.2363</v>
      </c>
      <c r="I25" s="20">
        <f>L16</f>
        <v>350</v>
      </c>
      <c r="J25" s="109">
        <f t="shared" si="0"/>
        <v>1132.705</v>
      </c>
      <c r="K25" s="16"/>
      <c r="L25" s="108">
        <v>6.3716</v>
      </c>
      <c r="M25" s="22">
        <f>L16</f>
        <v>350</v>
      </c>
      <c r="N25" s="109">
        <f t="shared" si="1"/>
        <v>2230.06</v>
      </c>
      <c r="O25" s="16"/>
      <c r="P25" s="23">
        <f t="shared" si="2"/>
        <v>1097.355</v>
      </c>
      <c r="Q25" s="110">
        <f t="shared" si="3"/>
        <v>0.9687915211815964</v>
      </c>
    </row>
    <row r="26" spans="4:17" ht="12.75">
      <c r="D26" s="16" t="s">
        <v>32</v>
      </c>
      <c r="E26" s="16"/>
      <c r="F26" s="17" t="s">
        <v>76</v>
      </c>
      <c r="G26" s="18"/>
      <c r="H26" s="108">
        <v>0.2194</v>
      </c>
      <c r="I26" s="20">
        <f>I25</f>
        <v>350</v>
      </c>
      <c r="J26" s="109">
        <f t="shared" si="0"/>
        <v>76.79</v>
      </c>
      <c r="K26" s="16"/>
      <c r="L26" s="108">
        <v>0.2012</v>
      </c>
      <c r="M26" s="22">
        <f>M25</f>
        <v>350</v>
      </c>
      <c r="N26" s="109">
        <f t="shared" si="1"/>
        <v>70.42</v>
      </c>
      <c r="O26" s="16"/>
      <c r="P26" s="23">
        <f t="shared" si="2"/>
        <v>-6.3700000000000045</v>
      </c>
      <c r="Q26" s="110">
        <f t="shared" si="3"/>
        <v>-0.08295350957155885</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c r="G29" s="18"/>
      <c r="H29" s="108"/>
      <c r="I29" s="20"/>
      <c r="J29" s="109">
        <f t="shared" si="0"/>
        <v>0</v>
      </c>
      <c r="K29" s="16"/>
      <c r="L29" s="108"/>
      <c r="M29" s="22">
        <v>1</v>
      </c>
      <c r="N29" s="109">
        <f t="shared" si="1"/>
        <v>0</v>
      </c>
      <c r="O29" s="16"/>
      <c r="P29" s="23">
        <f t="shared" si="2"/>
        <v>0</v>
      </c>
      <c r="Q29" s="110">
        <f t="shared" si="3"/>
      </c>
    </row>
    <row r="30" spans="4:17" ht="12.75">
      <c r="D30" s="16" t="s">
        <v>36</v>
      </c>
      <c r="E30" s="16"/>
      <c r="F30" s="17" t="s">
        <v>76</v>
      </c>
      <c r="G30" s="18"/>
      <c r="H30" s="108"/>
      <c r="I30" s="20"/>
      <c r="J30" s="109">
        <f t="shared" si="0"/>
        <v>0</v>
      </c>
      <c r="K30" s="16"/>
      <c r="L30" s="108"/>
      <c r="M30" s="22"/>
      <c r="N30" s="109">
        <f t="shared" si="1"/>
        <v>0</v>
      </c>
      <c r="O30" s="16"/>
      <c r="P30" s="23">
        <f t="shared" si="2"/>
        <v>0</v>
      </c>
      <c r="Q30" s="110">
        <f t="shared" si="3"/>
      </c>
    </row>
    <row r="31" spans="4:17" ht="27" thickBot="1">
      <c r="D31" s="25" t="s">
        <v>37</v>
      </c>
      <c r="E31" s="16"/>
      <c r="F31" s="17" t="s">
        <v>76</v>
      </c>
      <c r="G31" s="18"/>
      <c r="H31" s="108"/>
      <c r="I31" s="20"/>
      <c r="J31" s="109">
        <f t="shared" si="0"/>
        <v>0</v>
      </c>
      <c r="K31" s="16"/>
      <c r="L31" s="108">
        <v>-2.370047535997337</v>
      </c>
      <c r="M31" s="22">
        <f>L16</f>
        <v>350</v>
      </c>
      <c r="N31" s="109">
        <f t="shared" si="1"/>
        <v>-829.516637599068</v>
      </c>
      <c r="O31" s="16"/>
      <c r="P31" s="23">
        <f t="shared" si="2"/>
        <v>-829.516637599068</v>
      </c>
      <c r="Q31" s="110">
        <f t="shared" si="3"/>
      </c>
    </row>
    <row r="32" spans="4:17" ht="13.5" thickBot="1">
      <c r="D32" s="3" t="s">
        <v>38</v>
      </c>
      <c r="G32" s="29"/>
      <c r="H32" s="30"/>
      <c r="I32" s="31"/>
      <c r="J32" s="32">
        <f>SUM(J21:J31)</f>
        <v>2859.495</v>
      </c>
      <c r="L32" s="30"/>
      <c r="M32" s="33"/>
      <c r="N32" s="32">
        <f>SUM(N21:N31)</f>
        <v>4719.463362400933</v>
      </c>
      <c r="P32" s="34">
        <f t="shared" si="2"/>
        <v>1859.968362400933</v>
      </c>
      <c r="Q32" s="35">
        <f t="shared" si="3"/>
        <v>0.6504534410449864</v>
      </c>
    </row>
    <row r="33" spans="4:19" ht="12.75">
      <c r="D33" s="36" t="s">
        <v>39</v>
      </c>
      <c r="E33" s="36"/>
      <c r="F33" s="37" t="s">
        <v>76</v>
      </c>
      <c r="G33" s="38"/>
      <c r="H33" s="111">
        <v>1.6452</v>
      </c>
      <c r="I33" s="39">
        <f>L16</f>
        <v>350</v>
      </c>
      <c r="J33" s="112">
        <f>I33*H33</f>
        <v>575.82</v>
      </c>
      <c r="K33" s="36"/>
      <c r="L33" s="111">
        <v>1.8512</v>
      </c>
      <c r="M33" s="39">
        <f>L16</f>
        <v>350</v>
      </c>
      <c r="N33" s="112">
        <f>M33*L33</f>
        <v>647.92</v>
      </c>
      <c r="O33" s="36"/>
      <c r="P33" s="41">
        <f t="shared" si="2"/>
        <v>72.09999999999991</v>
      </c>
      <c r="Q33" s="113">
        <f t="shared" si="3"/>
        <v>0.1252127400923898</v>
      </c>
      <c r="R33" s="29"/>
      <c r="S33" s="29"/>
    </row>
    <row r="34" spans="4:19" ht="27" thickBot="1">
      <c r="D34" s="42" t="s">
        <v>40</v>
      </c>
      <c r="E34" s="36"/>
      <c r="F34" s="37" t="s">
        <v>76</v>
      </c>
      <c r="G34" s="38"/>
      <c r="H34" s="111">
        <v>1.3431</v>
      </c>
      <c r="I34" s="39">
        <f>I33</f>
        <v>350</v>
      </c>
      <c r="J34" s="112">
        <f>I34*H34</f>
        <v>470.085</v>
      </c>
      <c r="K34" s="36"/>
      <c r="L34" s="111">
        <v>1.4785</v>
      </c>
      <c r="M34" s="40">
        <f>M33</f>
        <v>350</v>
      </c>
      <c r="N34" s="112">
        <f>M34*L34</f>
        <v>517.475</v>
      </c>
      <c r="O34" s="36"/>
      <c r="P34" s="41">
        <f t="shared" si="2"/>
        <v>47.39000000000004</v>
      </c>
      <c r="Q34" s="113">
        <f t="shared" si="3"/>
        <v>0.10081155535701</v>
      </c>
      <c r="R34" s="29"/>
      <c r="S34" s="29"/>
    </row>
    <row r="35" spans="4:19" ht="27" thickBot="1">
      <c r="D35" s="43" t="s">
        <v>41</v>
      </c>
      <c r="E35" s="16"/>
      <c r="F35" s="16"/>
      <c r="G35" s="18"/>
      <c r="H35" s="44"/>
      <c r="I35" s="45"/>
      <c r="J35" s="46">
        <f>SUM(J32:J34)</f>
        <v>3905.4</v>
      </c>
      <c r="K35" s="47"/>
      <c r="L35" s="48"/>
      <c r="M35" s="49"/>
      <c r="N35" s="46">
        <f>SUM(N32:N34)</f>
        <v>5884.858362400933</v>
      </c>
      <c r="O35" s="47"/>
      <c r="P35" s="50">
        <f t="shared" si="2"/>
        <v>1979.4583624009333</v>
      </c>
      <c r="Q35" s="51">
        <f t="shared" si="3"/>
        <v>0.5068516316896946</v>
      </c>
      <c r="R35" s="29"/>
      <c r="S35" s="29"/>
    </row>
    <row r="36" spans="4:17" ht="26.25">
      <c r="D36" s="25" t="s">
        <v>42</v>
      </c>
      <c r="E36" s="16"/>
      <c r="F36" s="17" t="s">
        <v>73</v>
      </c>
      <c r="G36" s="18"/>
      <c r="H36" s="19">
        <v>0.0065</v>
      </c>
      <c r="I36" s="20">
        <f>H16*(1+H48)</f>
        <v>105020</v>
      </c>
      <c r="J36" s="21">
        <f aca="true" t="shared" si="4" ref="J36:J41">I36*H36</f>
        <v>682.63</v>
      </c>
      <c r="K36" s="16"/>
      <c r="L36" s="19">
        <v>0.0065</v>
      </c>
      <c r="M36" s="20">
        <f>H16*(1+L48)</f>
        <v>105255.316333545</v>
      </c>
      <c r="N36" s="21">
        <f aca="true" t="shared" si="5" ref="N36:N41">M36*L36</f>
        <v>684.1595561680424</v>
      </c>
      <c r="O36" s="16"/>
      <c r="P36" s="23">
        <f t="shared" si="2"/>
        <v>1.5295561680424044</v>
      </c>
      <c r="Q36" s="24">
        <f t="shared" si="3"/>
        <v>0.0022406811421156474</v>
      </c>
    </row>
    <row r="37" spans="4:17" ht="26.25">
      <c r="D37" s="25" t="s">
        <v>43</v>
      </c>
      <c r="E37" s="16"/>
      <c r="F37" s="17"/>
      <c r="G37" s="18"/>
      <c r="H37" s="19"/>
      <c r="I37" s="20"/>
      <c r="J37" s="21">
        <f t="shared" si="4"/>
        <v>0</v>
      </c>
      <c r="K37" s="16"/>
      <c r="L37" s="19"/>
      <c r="M37" s="22"/>
      <c r="N37" s="21">
        <f t="shared" si="5"/>
        <v>0</v>
      </c>
      <c r="O37" s="16"/>
      <c r="P37" s="23">
        <f t="shared" si="2"/>
        <v>0</v>
      </c>
      <c r="Q37" s="24">
        <f t="shared" si="3"/>
      </c>
    </row>
    <row r="38" spans="4:17" ht="12.75">
      <c r="D38" s="25" t="s">
        <v>44</v>
      </c>
      <c r="E38" s="16"/>
      <c r="F38" s="17"/>
      <c r="G38" s="18"/>
      <c r="H38" s="52"/>
      <c r="I38" s="20"/>
      <c r="J38" s="21">
        <f t="shared" si="4"/>
        <v>0</v>
      </c>
      <c r="K38" s="16"/>
      <c r="L38" s="52"/>
      <c r="M38" s="22"/>
      <c r="N38" s="21">
        <f t="shared" si="5"/>
        <v>0</v>
      </c>
      <c r="O38" s="16"/>
      <c r="P38" s="23">
        <f t="shared" si="2"/>
        <v>0</v>
      </c>
      <c r="Q38" s="24">
        <f t="shared" si="3"/>
      </c>
    </row>
    <row r="39" spans="4:17" ht="12.75">
      <c r="D39" s="16" t="s">
        <v>45</v>
      </c>
      <c r="E39" s="16"/>
      <c r="F39" s="17"/>
      <c r="G39" s="18"/>
      <c r="H39" s="19"/>
      <c r="I39" s="20"/>
      <c r="J39" s="21">
        <f t="shared" si="4"/>
        <v>0</v>
      </c>
      <c r="K39" s="16"/>
      <c r="L39" s="19"/>
      <c r="M39" s="22"/>
      <c r="N39" s="21">
        <f t="shared" si="5"/>
        <v>0</v>
      </c>
      <c r="O39" s="16"/>
      <c r="P39" s="23">
        <f t="shared" si="2"/>
        <v>0</v>
      </c>
      <c r="Q39" s="24">
        <f t="shared" si="3"/>
      </c>
    </row>
    <row r="40" spans="4:17" ht="12.75">
      <c r="D40" s="16" t="s">
        <v>46</v>
      </c>
      <c r="E40" s="16"/>
      <c r="F40" s="17" t="s">
        <v>73</v>
      </c>
      <c r="G40" s="18"/>
      <c r="H40" s="19">
        <v>0.007</v>
      </c>
      <c r="I40" s="20">
        <f>I36</f>
        <v>105020</v>
      </c>
      <c r="J40" s="21">
        <f t="shared" si="4"/>
        <v>735.14</v>
      </c>
      <c r="K40" s="16"/>
      <c r="L40" s="19">
        <v>0.007</v>
      </c>
      <c r="M40" s="22">
        <f>M36</f>
        <v>105255.316333545</v>
      </c>
      <c r="N40" s="21">
        <f t="shared" si="5"/>
        <v>736.787214334815</v>
      </c>
      <c r="O40" s="16"/>
      <c r="P40" s="23">
        <f t="shared" si="2"/>
        <v>1.6472143348149757</v>
      </c>
      <c r="Q40" s="24">
        <f t="shared" si="3"/>
        <v>0.0022406811421157545</v>
      </c>
    </row>
    <row r="41" spans="4:17" ht="13.5" thickBot="1">
      <c r="D41" s="16" t="s">
        <v>47</v>
      </c>
      <c r="E41" s="16"/>
      <c r="F41" s="17" t="s">
        <v>73</v>
      </c>
      <c r="G41" s="18"/>
      <c r="H41" s="19">
        <v>0.068</v>
      </c>
      <c r="I41" s="39">
        <f>I40</f>
        <v>105020</v>
      </c>
      <c r="J41" s="21">
        <f t="shared" si="4"/>
        <v>7141.360000000001</v>
      </c>
      <c r="K41" s="16"/>
      <c r="L41" s="19">
        <v>0.068</v>
      </c>
      <c r="M41" s="22">
        <f>M36</f>
        <v>105255.316333545</v>
      </c>
      <c r="N41" s="21">
        <f t="shared" si="5"/>
        <v>7157.36151068106</v>
      </c>
      <c r="O41" s="16"/>
      <c r="P41" s="23">
        <f t="shared" si="2"/>
        <v>16.0015106810597</v>
      </c>
      <c r="Q41" s="24">
        <f t="shared" si="3"/>
        <v>0.002240681142115745</v>
      </c>
    </row>
    <row r="42" spans="4:17" ht="13.5" thickBot="1">
      <c r="D42" s="56" t="s">
        <v>48</v>
      </c>
      <c r="E42" s="16"/>
      <c r="F42" s="16"/>
      <c r="G42" s="16"/>
      <c r="H42" s="57"/>
      <c r="I42" s="58"/>
      <c r="J42" s="46">
        <f>SUM(J35:J41)</f>
        <v>12464.53</v>
      </c>
      <c r="K42" s="47"/>
      <c r="L42" s="59"/>
      <c r="M42" s="60"/>
      <c r="N42" s="46">
        <f>SUM(N35:N41)</f>
        <v>14463.166643584851</v>
      </c>
      <c r="O42" s="47"/>
      <c r="P42" s="50">
        <f t="shared" si="2"/>
        <v>1998.6366435848504</v>
      </c>
      <c r="Q42" s="51">
        <f t="shared" si="3"/>
        <v>0.16034592909518852</v>
      </c>
    </row>
    <row r="43" spans="4:17" ht="13.5" thickBot="1">
      <c r="D43" s="18" t="s">
        <v>49</v>
      </c>
      <c r="E43" s="16"/>
      <c r="F43" s="16"/>
      <c r="G43" s="16"/>
      <c r="H43" s="61">
        <v>0.13</v>
      </c>
      <c r="I43" s="62"/>
      <c r="J43" s="63">
        <f>J42*H43</f>
        <v>1620.3889000000001</v>
      </c>
      <c r="K43" s="16"/>
      <c r="L43" s="61">
        <v>0.13</v>
      </c>
      <c r="M43" s="64"/>
      <c r="N43" s="63">
        <f>N42*L43</f>
        <v>1880.2116636660307</v>
      </c>
      <c r="O43" s="16"/>
      <c r="P43" s="23">
        <f t="shared" si="2"/>
        <v>259.8227636660306</v>
      </c>
      <c r="Q43" s="24">
        <f t="shared" si="3"/>
        <v>0.16034592909518855</v>
      </c>
    </row>
    <row r="44" spans="4:17" ht="27" thickBot="1">
      <c r="D44" s="43" t="s">
        <v>50</v>
      </c>
      <c r="E44" s="16"/>
      <c r="F44" s="16"/>
      <c r="G44" s="16"/>
      <c r="H44" s="44"/>
      <c r="I44" s="45"/>
      <c r="J44" s="46">
        <f>ROUND(SUM(J42:J43),2)</f>
        <v>14084.92</v>
      </c>
      <c r="K44" s="47"/>
      <c r="L44" s="48"/>
      <c r="M44" s="49"/>
      <c r="N44" s="46">
        <f>ROUND(SUM(N42:N43),2)</f>
        <v>16343.38</v>
      </c>
      <c r="O44" s="47"/>
      <c r="P44" s="50">
        <f t="shared" si="2"/>
        <v>2258.459999999999</v>
      </c>
      <c r="Q44" s="51">
        <f t="shared" si="3"/>
        <v>0.16034595865649212</v>
      </c>
    </row>
    <row r="45" spans="4:17" ht="29.25" thickBot="1">
      <c r="D45" s="83" t="s">
        <v>102</v>
      </c>
      <c r="E45" s="16"/>
      <c r="F45" s="16"/>
      <c r="G45" s="16"/>
      <c r="H45" s="44"/>
      <c r="I45" s="80"/>
      <c r="J45" s="46">
        <f>ROUND(-J44*10%,2)</f>
        <v>-1408.49</v>
      </c>
      <c r="K45" s="47"/>
      <c r="L45" s="48"/>
      <c r="M45" s="49"/>
      <c r="N45" s="46">
        <f>ROUND(-N44*10%,2)</f>
        <v>-1634.34</v>
      </c>
      <c r="O45" s="47"/>
      <c r="P45" s="50">
        <f t="shared" si="2"/>
        <v>-225.8499999999999</v>
      </c>
      <c r="Q45" s="51">
        <f t="shared" si="3"/>
        <v>0.1603490262621672</v>
      </c>
    </row>
    <row r="46" spans="4:17" ht="13.5" thickBot="1">
      <c r="D46" s="43" t="s">
        <v>55</v>
      </c>
      <c r="E46" s="16"/>
      <c r="F46" s="16"/>
      <c r="G46" s="16"/>
      <c r="H46" s="82"/>
      <c r="I46" s="81"/>
      <c r="J46" s="75">
        <f>J44+J45</f>
        <v>12676.43</v>
      </c>
      <c r="K46" s="47"/>
      <c r="L46" s="79"/>
      <c r="M46" s="78"/>
      <c r="N46" s="75">
        <f>N44+N45</f>
        <v>14709.039999999999</v>
      </c>
      <c r="O46" s="47"/>
      <c r="P46" s="77">
        <f t="shared" si="2"/>
        <v>2032.6099999999988</v>
      </c>
      <c r="Q46" s="76">
        <f t="shared" si="3"/>
        <v>0.16034561781195483</v>
      </c>
    </row>
    <row r="47" ht="10.5" customHeight="1"/>
    <row r="48" spans="4:14" ht="12.75">
      <c r="D48" s="3" t="s">
        <v>51</v>
      </c>
      <c r="H48" s="65">
        <v>0.0502</v>
      </c>
      <c r="I48" s="121"/>
      <c r="J48" s="121"/>
      <c r="K48" s="121"/>
      <c r="L48" s="120">
        <v>0.05255316333545</v>
      </c>
      <c r="N48" s="122"/>
    </row>
    <row r="49" ht="10.5" customHeight="1"/>
    <row r="50" ht="10.5" customHeight="1">
      <c r="C50" s="107" t="s">
        <v>103</v>
      </c>
    </row>
    <row r="51" ht="10.5" customHeight="1"/>
    <row r="52" spans="2:3" ht="12.75">
      <c r="B52" s="3"/>
      <c r="C52" s="2" t="s">
        <v>59</v>
      </c>
    </row>
    <row r="53" ht="12.75">
      <c r="C53" s="2" t="s">
        <v>60</v>
      </c>
    </row>
    <row r="55" ht="12.75">
      <c r="C55" s="2" t="s">
        <v>101</v>
      </c>
    </row>
    <row r="56" ht="12.75">
      <c r="C56" s="2" t="s">
        <v>61</v>
      </c>
    </row>
    <row r="58" ht="12.75">
      <c r="C58" s="2" t="s">
        <v>62</v>
      </c>
    </row>
    <row r="59" ht="12.75">
      <c r="C59" s="2" t="s">
        <v>63</v>
      </c>
    </row>
    <row r="60" ht="12.75">
      <c r="C60" s="2" t="s">
        <v>64</v>
      </c>
    </row>
    <row r="61" ht="12.75">
      <c r="C61" s="2" t="s">
        <v>65</v>
      </c>
    </row>
    <row r="62" ht="12.75">
      <c r="C62"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6:G41 G21:G31 G33:G34">
      <formula1>$B$14:$B$19</formula1>
    </dataValidation>
    <dataValidation type="list" allowBlank="1" showInputMessage="1" showErrorMessage="1" prompt="Select Charge Unit - monthly, per kWh, per kW" sqref="F33:F34 F21:F31 F36:F41">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4" r:id="rId1"/>
  <headerFooter alignWithMargins="0">
    <oddFooter>&amp;C9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S62"/>
  <sheetViews>
    <sheetView showGridLines="0" zoomScalePageLayoutView="0" workbookViewId="0" topLeftCell="A1">
      <selection activeCell="U30" sqref="U30"/>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2.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2.28125" style="2" bestFit="1" customWidth="1"/>
    <col min="17" max="17" width="12.14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104</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7" ht="12.75">
      <c r="B16" s="8"/>
      <c r="D16" s="99"/>
      <c r="F16" s="3" t="s">
        <v>16</v>
      </c>
      <c r="G16" s="3"/>
      <c r="H16" s="6">
        <v>500</v>
      </c>
      <c r="I16" s="3" t="s">
        <v>17</v>
      </c>
      <c r="L16" s="6">
        <v>1</v>
      </c>
      <c r="M16" s="3" t="s">
        <v>77</v>
      </c>
      <c r="P16" s="6">
        <v>1</v>
      </c>
      <c r="Q16" s="3" t="s">
        <v>90</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0.66</v>
      </c>
      <c r="I21" s="20">
        <f>P16</f>
        <v>1</v>
      </c>
      <c r="J21" s="109">
        <f aca="true" t="shared" si="0" ref="J21:J31">I21*H21</f>
        <v>0.66</v>
      </c>
      <c r="K21" s="16"/>
      <c r="L21" s="108">
        <v>1.2994</v>
      </c>
      <c r="M21" s="22">
        <f>P16</f>
        <v>1</v>
      </c>
      <c r="N21" s="109">
        <f aca="true" t="shared" si="1" ref="N21:N31">M21*L21</f>
        <v>1.2994</v>
      </c>
      <c r="O21" s="16"/>
      <c r="P21" s="23">
        <f aca="true" t="shared" si="2" ref="P21:P46">N21-J21</f>
        <v>0.6394000000000001</v>
      </c>
      <c r="Q21" s="110">
        <f aca="true" t="shared" si="3" ref="Q21:Q46">IF((J21)=0,"",(P21/J21))</f>
        <v>0.9687878787878789</v>
      </c>
    </row>
    <row r="22" spans="4:17" ht="12.75">
      <c r="D22" s="16" t="s">
        <v>28</v>
      </c>
      <c r="E22" s="16"/>
      <c r="F22" s="17"/>
      <c r="G22" s="18"/>
      <c r="H22" s="108"/>
      <c r="I22" s="20"/>
      <c r="J22" s="109">
        <f t="shared" si="0"/>
        <v>0</v>
      </c>
      <c r="K22" s="16"/>
      <c r="L22" s="108"/>
      <c r="M22" s="22"/>
      <c r="N22" s="109">
        <f t="shared" si="1"/>
        <v>0</v>
      </c>
      <c r="O22" s="16"/>
      <c r="P22" s="23">
        <f t="shared" si="2"/>
        <v>0</v>
      </c>
      <c r="Q22" s="110">
        <f t="shared" si="3"/>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76</v>
      </c>
      <c r="G25" s="18"/>
      <c r="H25" s="108">
        <v>3.2363</v>
      </c>
      <c r="I25" s="20">
        <f>L16</f>
        <v>1</v>
      </c>
      <c r="J25" s="109">
        <f t="shared" si="0"/>
        <v>3.2363</v>
      </c>
      <c r="K25" s="16"/>
      <c r="L25" s="108">
        <v>6.3716</v>
      </c>
      <c r="M25" s="22">
        <f>L16</f>
        <v>1</v>
      </c>
      <c r="N25" s="109">
        <f t="shared" si="1"/>
        <v>6.3716</v>
      </c>
      <c r="O25" s="16"/>
      <c r="P25" s="23">
        <f t="shared" si="2"/>
        <v>3.1353</v>
      </c>
      <c r="Q25" s="110">
        <f t="shared" si="3"/>
        <v>0.9687915211815963</v>
      </c>
    </row>
    <row r="26" spans="4:17" ht="12.75">
      <c r="D26" s="16" t="s">
        <v>32</v>
      </c>
      <c r="E26" s="16"/>
      <c r="F26" s="17" t="s">
        <v>76</v>
      </c>
      <c r="G26" s="18"/>
      <c r="H26" s="108">
        <v>0.2194</v>
      </c>
      <c r="I26" s="20">
        <f>I25</f>
        <v>1</v>
      </c>
      <c r="J26" s="109">
        <f t="shared" si="0"/>
        <v>0.2194</v>
      </c>
      <c r="K26" s="16"/>
      <c r="L26" s="108">
        <v>0.2012</v>
      </c>
      <c r="M26" s="22">
        <f>M25</f>
        <v>1</v>
      </c>
      <c r="N26" s="109">
        <f t="shared" si="1"/>
        <v>0.2012</v>
      </c>
      <c r="O26" s="16"/>
      <c r="P26" s="23">
        <f t="shared" si="2"/>
        <v>-0.01820000000000002</v>
      </c>
      <c r="Q26" s="110">
        <f t="shared" si="3"/>
        <v>-0.08295350957155889</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c r="G29" s="18"/>
      <c r="H29" s="108"/>
      <c r="I29" s="20"/>
      <c r="J29" s="109">
        <f t="shared" si="0"/>
        <v>0</v>
      </c>
      <c r="K29" s="16"/>
      <c r="L29" s="108"/>
      <c r="M29" s="22">
        <v>1</v>
      </c>
      <c r="N29" s="109">
        <f t="shared" si="1"/>
        <v>0</v>
      </c>
      <c r="O29" s="16"/>
      <c r="P29" s="23">
        <f t="shared" si="2"/>
        <v>0</v>
      </c>
      <c r="Q29" s="110">
        <f t="shared" si="3"/>
      </c>
    </row>
    <row r="30" spans="4:17" ht="12.75">
      <c r="D30" s="16" t="s">
        <v>36</v>
      </c>
      <c r="E30" s="16"/>
      <c r="F30" s="17" t="s">
        <v>76</v>
      </c>
      <c r="G30" s="18"/>
      <c r="H30" s="108"/>
      <c r="I30" s="20"/>
      <c r="J30" s="109">
        <f t="shared" si="0"/>
        <v>0</v>
      </c>
      <c r="K30" s="16"/>
      <c r="L30" s="108"/>
      <c r="M30" s="22"/>
      <c r="N30" s="109">
        <f t="shared" si="1"/>
        <v>0</v>
      </c>
      <c r="O30" s="16"/>
      <c r="P30" s="23">
        <f t="shared" si="2"/>
        <v>0</v>
      </c>
      <c r="Q30" s="110">
        <f t="shared" si="3"/>
      </c>
    </row>
    <row r="31" spans="4:17" ht="27" thickBot="1">
      <c r="D31" s="25" t="s">
        <v>37</v>
      </c>
      <c r="E31" s="16"/>
      <c r="F31" s="17" t="s">
        <v>76</v>
      </c>
      <c r="G31" s="18"/>
      <c r="H31" s="108"/>
      <c r="I31" s="20"/>
      <c r="J31" s="109">
        <f t="shared" si="0"/>
        <v>0</v>
      </c>
      <c r="K31" s="16"/>
      <c r="L31" s="108">
        <v>-2.370047535997337</v>
      </c>
      <c r="M31" s="22">
        <f>L16</f>
        <v>1</v>
      </c>
      <c r="N31" s="109">
        <f t="shared" si="1"/>
        <v>-2.370047535997337</v>
      </c>
      <c r="O31" s="16"/>
      <c r="P31" s="23">
        <f t="shared" si="2"/>
        <v>-2.370047535997337</v>
      </c>
      <c r="Q31" s="110">
        <f t="shared" si="3"/>
      </c>
    </row>
    <row r="32" spans="4:17" ht="13.5" thickBot="1">
      <c r="D32" s="3" t="s">
        <v>38</v>
      </c>
      <c r="G32" s="29"/>
      <c r="H32" s="30"/>
      <c r="I32" s="31"/>
      <c r="J32" s="32">
        <f>SUM(J21:J31)</f>
        <v>4.1157</v>
      </c>
      <c r="L32" s="30"/>
      <c r="M32" s="33"/>
      <c r="N32" s="32">
        <f>SUM(N21:N31)</f>
        <v>5.502152464002663</v>
      </c>
      <c r="P32" s="34">
        <f t="shared" si="2"/>
        <v>1.3864524640026623</v>
      </c>
      <c r="Q32" s="35">
        <f t="shared" si="3"/>
        <v>0.33686917511059167</v>
      </c>
    </row>
    <row r="33" spans="4:19" ht="12.75">
      <c r="D33" s="36" t="s">
        <v>39</v>
      </c>
      <c r="E33" s="36"/>
      <c r="F33" s="37" t="s">
        <v>76</v>
      </c>
      <c r="G33" s="38"/>
      <c r="H33" s="111">
        <v>1.6452</v>
      </c>
      <c r="I33" s="39">
        <f>L16</f>
        <v>1</v>
      </c>
      <c r="J33" s="112">
        <f>I33*H33</f>
        <v>1.6452</v>
      </c>
      <c r="K33" s="36"/>
      <c r="L33" s="111">
        <v>1.8512</v>
      </c>
      <c r="M33" s="39">
        <f>L16</f>
        <v>1</v>
      </c>
      <c r="N33" s="112">
        <f>M33*L33</f>
        <v>1.8512</v>
      </c>
      <c r="O33" s="36"/>
      <c r="P33" s="41">
        <f t="shared" si="2"/>
        <v>0.20599999999999996</v>
      </c>
      <c r="Q33" s="113">
        <f t="shared" si="3"/>
        <v>0.12521274009238995</v>
      </c>
      <c r="R33" s="29"/>
      <c r="S33" s="29"/>
    </row>
    <row r="34" spans="4:19" ht="27" thickBot="1">
      <c r="D34" s="42" t="s">
        <v>40</v>
      </c>
      <c r="E34" s="36"/>
      <c r="F34" s="37" t="s">
        <v>76</v>
      </c>
      <c r="G34" s="38"/>
      <c r="H34" s="111">
        <v>1.3431</v>
      </c>
      <c r="I34" s="39">
        <f>I33</f>
        <v>1</v>
      </c>
      <c r="J34" s="112">
        <f>I34*H34</f>
        <v>1.3431</v>
      </c>
      <c r="K34" s="36"/>
      <c r="L34" s="111">
        <v>1.4785</v>
      </c>
      <c r="M34" s="40">
        <f>M33</f>
        <v>1</v>
      </c>
      <c r="N34" s="112">
        <f>M34*L34</f>
        <v>1.4785</v>
      </c>
      <c r="O34" s="36"/>
      <c r="P34" s="41">
        <f t="shared" si="2"/>
        <v>0.13539999999999996</v>
      </c>
      <c r="Q34" s="113">
        <f t="shared" si="3"/>
        <v>0.10081155535700988</v>
      </c>
      <c r="R34" s="29"/>
      <c r="S34" s="29"/>
    </row>
    <row r="35" spans="4:19" ht="27" thickBot="1">
      <c r="D35" s="43" t="s">
        <v>41</v>
      </c>
      <c r="E35" s="16"/>
      <c r="F35" s="16"/>
      <c r="G35" s="18"/>
      <c r="H35" s="44"/>
      <c r="I35" s="45"/>
      <c r="J35" s="46">
        <f>SUM(J32:J34)</f>
        <v>7.104</v>
      </c>
      <c r="K35" s="47"/>
      <c r="L35" s="48"/>
      <c r="M35" s="49"/>
      <c r="N35" s="46">
        <f>SUM(N32:N34)</f>
        <v>8.831852464002663</v>
      </c>
      <c r="O35" s="47"/>
      <c r="P35" s="50">
        <f t="shared" si="2"/>
        <v>1.7278524640026633</v>
      </c>
      <c r="Q35" s="51">
        <f t="shared" si="3"/>
        <v>0.24322247522560014</v>
      </c>
      <c r="R35" s="29"/>
      <c r="S35" s="29"/>
    </row>
    <row r="36" spans="4:17" ht="26.25">
      <c r="D36" s="25" t="s">
        <v>42</v>
      </c>
      <c r="E36" s="16"/>
      <c r="F36" s="17" t="s">
        <v>73</v>
      </c>
      <c r="G36" s="18"/>
      <c r="H36" s="19">
        <v>0.0065</v>
      </c>
      <c r="I36" s="20">
        <f>H16*(1+H48)</f>
        <v>525.1</v>
      </c>
      <c r="J36" s="21">
        <f aca="true" t="shared" si="4" ref="J36:J41">I36*H36</f>
        <v>3.41315</v>
      </c>
      <c r="K36" s="16"/>
      <c r="L36" s="19">
        <v>0.0065</v>
      </c>
      <c r="M36" s="20">
        <f>H16*(1+L48)</f>
        <v>526.2765816677249</v>
      </c>
      <c r="N36" s="21">
        <f aca="true" t="shared" si="5" ref="N36:N41">M36*L36</f>
        <v>3.420797780840212</v>
      </c>
      <c r="O36" s="16"/>
      <c r="P36" s="23">
        <f t="shared" si="2"/>
        <v>0.007647780840212004</v>
      </c>
      <c r="Q36" s="24">
        <f t="shared" si="3"/>
        <v>0.002240681142115642</v>
      </c>
    </row>
    <row r="37" spans="4:17" ht="26.25">
      <c r="D37" s="25" t="s">
        <v>43</v>
      </c>
      <c r="E37" s="16"/>
      <c r="F37" s="17"/>
      <c r="G37" s="18"/>
      <c r="H37" s="19"/>
      <c r="I37" s="20"/>
      <c r="J37" s="21">
        <f t="shared" si="4"/>
        <v>0</v>
      </c>
      <c r="K37" s="16"/>
      <c r="L37" s="19"/>
      <c r="M37" s="22"/>
      <c r="N37" s="21">
        <f t="shared" si="5"/>
        <v>0</v>
      </c>
      <c r="O37" s="16"/>
      <c r="P37" s="23">
        <f t="shared" si="2"/>
        <v>0</v>
      </c>
      <c r="Q37" s="24">
        <f t="shared" si="3"/>
      </c>
    </row>
    <row r="38" spans="4:17" ht="12.75">
      <c r="D38" s="25" t="s">
        <v>44</v>
      </c>
      <c r="E38" s="16"/>
      <c r="F38" s="17"/>
      <c r="G38" s="18"/>
      <c r="H38" s="52"/>
      <c r="I38" s="20"/>
      <c r="J38" s="21">
        <f t="shared" si="4"/>
        <v>0</v>
      </c>
      <c r="K38" s="16"/>
      <c r="L38" s="52"/>
      <c r="M38" s="22"/>
      <c r="N38" s="21">
        <f t="shared" si="5"/>
        <v>0</v>
      </c>
      <c r="O38" s="16"/>
      <c r="P38" s="23">
        <f t="shared" si="2"/>
        <v>0</v>
      </c>
      <c r="Q38" s="24">
        <f t="shared" si="3"/>
      </c>
    </row>
    <row r="39" spans="4:17" ht="12.75">
      <c r="D39" s="16" t="s">
        <v>45</v>
      </c>
      <c r="E39" s="16"/>
      <c r="F39" s="17"/>
      <c r="G39" s="18"/>
      <c r="H39" s="19"/>
      <c r="I39" s="20"/>
      <c r="J39" s="21">
        <f t="shared" si="4"/>
        <v>0</v>
      </c>
      <c r="K39" s="16"/>
      <c r="L39" s="19"/>
      <c r="M39" s="22"/>
      <c r="N39" s="21">
        <f t="shared" si="5"/>
        <v>0</v>
      </c>
      <c r="O39" s="16"/>
      <c r="P39" s="23">
        <f t="shared" si="2"/>
        <v>0</v>
      </c>
      <c r="Q39" s="24">
        <f t="shared" si="3"/>
      </c>
    </row>
    <row r="40" spans="4:17" ht="12.75">
      <c r="D40" s="16" t="s">
        <v>46</v>
      </c>
      <c r="E40" s="16"/>
      <c r="F40" s="17" t="s">
        <v>73</v>
      </c>
      <c r="G40" s="18"/>
      <c r="H40" s="19">
        <v>0.007</v>
      </c>
      <c r="I40" s="20">
        <f>I36</f>
        <v>525.1</v>
      </c>
      <c r="J40" s="21">
        <f t="shared" si="4"/>
        <v>3.6757000000000004</v>
      </c>
      <c r="K40" s="16"/>
      <c r="L40" s="19">
        <v>0.007</v>
      </c>
      <c r="M40" s="22">
        <f>M36</f>
        <v>526.2765816677249</v>
      </c>
      <c r="N40" s="21">
        <f t="shared" si="5"/>
        <v>3.6839360716740748</v>
      </c>
      <c r="O40" s="16"/>
      <c r="P40" s="23">
        <f t="shared" si="2"/>
        <v>0.008236071674074363</v>
      </c>
      <c r="Q40" s="24">
        <f t="shared" si="3"/>
        <v>0.002240681142115614</v>
      </c>
    </row>
    <row r="41" spans="4:17" ht="13.5" thickBot="1">
      <c r="D41" s="16" t="s">
        <v>47</v>
      </c>
      <c r="E41" s="16"/>
      <c r="F41" s="17" t="s">
        <v>73</v>
      </c>
      <c r="G41" s="18"/>
      <c r="H41" s="19">
        <v>0.068</v>
      </c>
      <c r="I41" s="39">
        <f>I40</f>
        <v>525.1</v>
      </c>
      <c r="J41" s="21">
        <f t="shared" si="4"/>
        <v>35.7068</v>
      </c>
      <c r="K41" s="16"/>
      <c r="L41" s="19">
        <v>0.068</v>
      </c>
      <c r="M41" s="22">
        <f>M36</f>
        <v>526.2765816677249</v>
      </c>
      <c r="N41" s="21">
        <f t="shared" si="5"/>
        <v>35.786807553405296</v>
      </c>
      <c r="O41" s="16"/>
      <c r="P41" s="23">
        <f t="shared" si="2"/>
        <v>0.08000755340529508</v>
      </c>
      <c r="Q41" s="24">
        <f t="shared" si="3"/>
        <v>0.0022406811421156496</v>
      </c>
    </row>
    <row r="42" spans="4:17" ht="13.5" thickBot="1">
      <c r="D42" s="56" t="s">
        <v>48</v>
      </c>
      <c r="E42" s="16"/>
      <c r="F42" s="16"/>
      <c r="G42" s="16"/>
      <c r="H42" s="57"/>
      <c r="I42" s="58"/>
      <c r="J42" s="46">
        <f>SUM(J35:J41)</f>
        <v>49.89965</v>
      </c>
      <c r="K42" s="47"/>
      <c r="L42" s="59"/>
      <c r="M42" s="60"/>
      <c r="N42" s="46">
        <f>SUM(N35:N41)</f>
        <v>51.72339386992225</v>
      </c>
      <c r="O42" s="47"/>
      <c r="P42" s="50">
        <f t="shared" si="2"/>
        <v>1.8237438699222466</v>
      </c>
      <c r="Q42" s="51">
        <f t="shared" si="3"/>
        <v>0.03654822969544368</v>
      </c>
    </row>
    <row r="43" spans="4:17" ht="13.5" thickBot="1">
      <c r="D43" s="18" t="s">
        <v>49</v>
      </c>
      <c r="E43" s="16"/>
      <c r="F43" s="16"/>
      <c r="G43" s="16"/>
      <c r="H43" s="61">
        <v>0.13</v>
      </c>
      <c r="I43" s="62"/>
      <c r="J43" s="63">
        <f>J42*H43</f>
        <v>6.4869545</v>
      </c>
      <c r="K43" s="16"/>
      <c r="L43" s="61">
        <v>0.13</v>
      </c>
      <c r="M43" s="64"/>
      <c r="N43" s="63">
        <f>N42*L43</f>
        <v>6.724041203089892</v>
      </c>
      <c r="O43" s="16"/>
      <c r="P43" s="23">
        <f t="shared" si="2"/>
        <v>0.23708670308989177</v>
      </c>
      <c r="Q43" s="24">
        <f t="shared" si="3"/>
        <v>0.03654822969544364</v>
      </c>
    </row>
    <row r="44" spans="4:17" ht="27" thickBot="1">
      <c r="D44" s="43" t="s">
        <v>50</v>
      </c>
      <c r="E44" s="16"/>
      <c r="F44" s="16"/>
      <c r="G44" s="16"/>
      <c r="H44" s="44"/>
      <c r="I44" s="45"/>
      <c r="J44" s="46">
        <f>ROUND(SUM(J42:J43),2)</f>
        <v>56.39</v>
      </c>
      <c r="K44" s="47"/>
      <c r="L44" s="48"/>
      <c r="M44" s="49"/>
      <c r="N44" s="46">
        <f>ROUND(SUM(N42:N43),2)</f>
        <v>58.45</v>
      </c>
      <c r="O44" s="47"/>
      <c r="P44" s="50">
        <f t="shared" si="2"/>
        <v>2.0600000000000023</v>
      </c>
      <c r="Q44" s="51">
        <f t="shared" si="3"/>
        <v>0.03653129987586456</v>
      </c>
    </row>
    <row r="45" spans="4:17" ht="29.25" thickBot="1">
      <c r="D45" s="83" t="s">
        <v>102</v>
      </c>
      <c r="E45" s="16"/>
      <c r="F45" s="16"/>
      <c r="G45" s="16"/>
      <c r="H45" s="44"/>
      <c r="I45" s="80"/>
      <c r="J45" s="46">
        <f>ROUND(-J44*10%,2)</f>
        <v>-5.64</v>
      </c>
      <c r="K45" s="47"/>
      <c r="L45" s="48"/>
      <c r="M45" s="49"/>
      <c r="N45" s="46">
        <f>ROUND(-N44*10%,2)</f>
        <v>-5.85</v>
      </c>
      <c r="O45" s="47"/>
      <c r="P45" s="50">
        <f t="shared" si="2"/>
        <v>-0.20999999999999996</v>
      </c>
      <c r="Q45" s="51">
        <f t="shared" si="3"/>
        <v>0.03723404255319149</v>
      </c>
    </row>
    <row r="46" spans="4:17" ht="13.5" thickBot="1">
      <c r="D46" s="43" t="s">
        <v>55</v>
      </c>
      <c r="E46" s="16"/>
      <c r="F46" s="16"/>
      <c r="G46" s="16"/>
      <c r="H46" s="82"/>
      <c r="I46" s="81"/>
      <c r="J46" s="75">
        <f>J44+J45</f>
        <v>50.75</v>
      </c>
      <c r="K46" s="47"/>
      <c r="L46" s="79"/>
      <c r="M46" s="78"/>
      <c r="N46" s="75">
        <f>N44+N45</f>
        <v>52.6</v>
      </c>
      <c r="O46" s="47"/>
      <c r="P46" s="77">
        <f t="shared" si="2"/>
        <v>1.8500000000000014</v>
      </c>
      <c r="Q46" s="76">
        <f t="shared" si="3"/>
        <v>0.036453201970443376</v>
      </c>
    </row>
    <row r="47" ht="10.5" customHeight="1"/>
    <row r="48" spans="4:14" ht="12.75">
      <c r="D48" s="3" t="s">
        <v>51</v>
      </c>
      <c r="H48" s="65">
        <v>0.0502</v>
      </c>
      <c r="I48" s="121"/>
      <c r="J48" s="121"/>
      <c r="K48" s="121"/>
      <c r="L48" s="120">
        <v>0.05255316333545</v>
      </c>
      <c r="N48" s="122"/>
    </row>
    <row r="49" ht="10.5" customHeight="1"/>
    <row r="50" ht="10.5" customHeight="1">
      <c r="C50" s="107" t="s">
        <v>103</v>
      </c>
    </row>
    <row r="51" ht="10.5" customHeight="1"/>
    <row r="52" spans="2:3" ht="12.75">
      <c r="B52" s="3"/>
      <c r="C52" s="2" t="s">
        <v>59</v>
      </c>
    </row>
    <row r="53" ht="12.75">
      <c r="C53" s="2" t="s">
        <v>60</v>
      </c>
    </row>
    <row r="55" ht="12.75">
      <c r="C55" s="2" t="s">
        <v>101</v>
      </c>
    </row>
    <row r="56" ht="12.75">
      <c r="C56" s="2" t="s">
        <v>61</v>
      </c>
    </row>
    <row r="58" ht="12.75">
      <c r="C58" s="2" t="s">
        <v>62</v>
      </c>
    </row>
    <row r="59" ht="12.75">
      <c r="C59" s="2" t="s">
        <v>63</v>
      </c>
    </row>
    <row r="60" ht="12.75">
      <c r="C60" s="2" t="s">
        <v>64</v>
      </c>
    </row>
    <row r="61" ht="12.75">
      <c r="C61" s="2" t="s">
        <v>65</v>
      </c>
    </row>
    <row r="62" ht="12.75">
      <c r="C62"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6:G41 G21:G31 G33:G34">
      <formula1>$B$14:$B$19</formula1>
    </dataValidation>
    <dataValidation type="list" allowBlank="1" showInputMessage="1" showErrorMessage="1" prompt="Select Charge Unit - monthly, per kWh, per kW" sqref="F33:F34 F21:F31 F36:F41">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4" r:id="rId1"/>
  <headerFooter alignWithMargins="0">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S63"/>
  <sheetViews>
    <sheetView showGridLines="0" zoomScalePageLayoutView="0" workbookViewId="0" topLeftCell="A10">
      <selection activeCell="L21" sqref="L21"/>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9.7109375" style="2" customWidth="1"/>
    <col min="11" max="11" width="2.8515625" style="2" customWidth="1"/>
    <col min="12" max="12" width="12.140625" style="2" customWidth="1"/>
    <col min="13" max="13" width="8.57421875" style="2" customWidth="1"/>
    <col min="14" max="14" width="9.7109375" style="2" customWidth="1"/>
    <col min="15" max="15" width="2.8515625" style="2" customWidth="1"/>
    <col min="16" max="16" width="8.8515625" style="2" customWidth="1"/>
    <col min="17" max="17" width="10.00390625" style="2" bestFit="1" customWidth="1"/>
    <col min="18" max="18" width="12.57421875" style="2" bestFit="1"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8" t="s">
        <v>56</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100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8" ht="12.75">
      <c r="D21" s="16" t="s">
        <v>27</v>
      </c>
      <c r="E21" s="16"/>
      <c r="F21" s="17" t="s">
        <v>72</v>
      </c>
      <c r="G21" s="18"/>
      <c r="H21" s="100">
        <v>15.11</v>
      </c>
      <c r="I21" s="20">
        <v>1</v>
      </c>
      <c r="J21" s="101">
        <f>I21*H21</f>
        <v>15.11</v>
      </c>
      <c r="K21" s="16"/>
      <c r="L21" s="100">
        <v>18.49</v>
      </c>
      <c r="M21" s="22">
        <v>1</v>
      </c>
      <c r="N21" s="101">
        <f>M21*L21</f>
        <v>18.49</v>
      </c>
      <c r="O21" s="16"/>
      <c r="P21" s="23">
        <f>N21-J21</f>
        <v>3.379999999999999</v>
      </c>
      <c r="Q21" s="102">
        <f>IF((J21)=0,"",(P21/J21))</f>
        <v>0.22369291859695561</v>
      </c>
      <c r="R21" s="116"/>
    </row>
    <row r="22" spans="4:18" ht="12.75">
      <c r="D22" s="16" t="s">
        <v>28</v>
      </c>
      <c r="E22" s="16"/>
      <c r="F22" s="17" t="s">
        <v>72</v>
      </c>
      <c r="G22" s="18"/>
      <c r="H22" s="100">
        <v>1.99</v>
      </c>
      <c r="I22" s="20">
        <v>1</v>
      </c>
      <c r="J22" s="101">
        <f aca="true" t="shared" si="0" ref="J22:J32">I22*H22</f>
        <v>1.99</v>
      </c>
      <c r="K22" s="16"/>
      <c r="L22" s="100">
        <v>4.823326097231227</v>
      </c>
      <c r="M22" s="22">
        <v>1</v>
      </c>
      <c r="N22" s="101">
        <f>M22*L22</f>
        <v>4.823326097231227</v>
      </c>
      <c r="O22" s="16"/>
      <c r="P22" s="23">
        <f>N22-J22</f>
        <v>2.833326097231227</v>
      </c>
      <c r="Q22" s="102">
        <f>IF((J22)=0,"",(P22/J22))</f>
        <v>1.4237819584076519</v>
      </c>
      <c r="R22" s="116"/>
    </row>
    <row r="23" spans="4:18" ht="12.75">
      <c r="D23" s="16" t="s">
        <v>29</v>
      </c>
      <c r="E23" s="16"/>
      <c r="F23" s="17"/>
      <c r="G23" s="18"/>
      <c r="H23" s="100"/>
      <c r="I23" s="20"/>
      <c r="J23" s="101">
        <f t="shared" si="0"/>
        <v>0</v>
      </c>
      <c r="K23" s="16"/>
      <c r="L23" s="100"/>
      <c r="M23" s="22"/>
      <c r="N23" s="101">
        <f aca="true" t="shared" si="1" ref="N23:N32">M23*L23</f>
        <v>0</v>
      </c>
      <c r="O23" s="16"/>
      <c r="P23" s="23">
        <f aca="true" t="shared" si="2" ref="P23:P47">N23-J23</f>
        <v>0</v>
      </c>
      <c r="Q23" s="102">
        <f aca="true" t="shared" si="3" ref="Q23:Q32">IF((J23)=0,"",(P23/J23))</f>
      </c>
      <c r="R23" s="116"/>
    </row>
    <row r="24" spans="4:18" ht="12.75">
      <c r="D24" s="16" t="s">
        <v>30</v>
      </c>
      <c r="E24" s="16"/>
      <c r="F24" s="17"/>
      <c r="G24" s="18"/>
      <c r="H24" s="100"/>
      <c r="I24" s="20"/>
      <c r="J24" s="101">
        <f t="shared" si="0"/>
        <v>0</v>
      </c>
      <c r="K24" s="16"/>
      <c r="L24" s="100"/>
      <c r="M24" s="22"/>
      <c r="N24" s="101">
        <f t="shared" si="1"/>
        <v>0</v>
      </c>
      <c r="O24" s="16"/>
      <c r="P24" s="23">
        <f t="shared" si="2"/>
        <v>0</v>
      </c>
      <c r="Q24" s="102">
        <f t="shared" si="3"/>
      </c>
      <c r="R24" s="116"/>
    </row>
    <row r="25" spans="4:18" ht="12.75">
      <c r="D25" s="16" t="s">
        <v>31</v>
      </c>
      <c r="E25" s="16"/>
      <c r="F25" s="17" t="s">
        <v>73</v>
      </c>
      <c r="G25" s="18"/>
      <c r="H25" s="100">
        <v>0.0086</v>
      </c>
      <c r="I25" s="20">
        <f>H16</f>
        <v>100</v>
      </c>
      <c r="J25" s="101">
        <f t="shared" si="0"/>
        <v>0.86</v>
      </c>
      <c r="K25" s="16"/>
      <c r="L25" s="100">
        <v>0.0105</v>
      </c>
      <c r="M25" s="22">
        <f>H16</f>
        <v>100</v>
      </c>
      <c r="N25" s="101">
        <f t="shared" si="1"/>
        <v>1.05</v>
      </c>
      <c r="O25" s="16"/>
      <c r="P25" s="23">
        <f t="shared" si="2"/>
        <v>0.19000000000000006</v>
      </c>
      <c r="Q25" s="102">
        <f t="shared" si="3"/>
        <v>0.2209302325581396</v>
      </c>
      <c r="R25" s="116"/>
    </row>
    <row r="26" spans="4:18" ht="12.75">
      <c r="D26" s="16" t="s">
        <v>32</v>
      </c>
      <c r="E26" s="16"/>
      <c r="F26" s="17" t="s">
        <v>73</v>
      </c>
      <c r="G26" s="18"/>
      <c r="H26" s="100">
        <v>0.0007</v>
      </c>
      <c r="I26" s="20">
        <f>I25</f>
        <v>100</v>
      </c>
      <c r="J26" s="101">
        <f t="shared" si="0"/>
        <v>0.06999999999999999</v>
      </c>
      <c r="K26" s="16"/>
      <c r="L26" s="100">
        <v>0.0007</v>
      </c>
      <c r="M26" s="22">
        <f>M25</f>
        <v>100</v>
      </c>
      <c r="N26" s="101">
        <f t="shared" si="1"/>
        <v>0.06999999999999999</v>
      </c>
      <c r="O26" s="16"/>
      <c r="P26" s="23">
        <f t="shared" si="2"/>
        <v>0</v>
      </c>
      <c r="Q26" s="102">
        <f>IF((J26)=0,"",(P26/J26))</f>
        <v>0</v>
      </c>
      <c r="R26" s="116"/>
    </row>
    <row r="27" spans="4:18" ht="12.75">
      <c r="D27" s="16" t="s">
        <v>33</v>
      </c>
      <c r="E27" s="16"/>
      <c r="F27" s="17"/>
      <c r="G27" s="18"/>
      <c r="H27" s="100"/>
      <c r="I27" s="20"/>
      <c r="J27" s="101">
        <f t="shared" si="0"/>
        <v>0</v>
      </c>
      <c r="K27" s="16"/>
      <c r="L27" s="100"/>
      <c r="M27" s="22"/>
      <c r="N27" s="101">
        <f t="shared" si="1"/>
        <v>0</v>
      </c>
      <c r="O27" s="16"/>
      <c r="P27" s="23">
        <f t="shared" si="2"/>
        <v>0</v>
      </c>
      <c r="Q27" s="102">
        <f t="shared" si="3"/>
      </c>
      <c r="R27" s="116"/>
    </row>
    <row r="28" spans="4:18" ht="12.75">
      <c r="D28" s="16" t="s">
        <v>34</v>
      </c>
      <c r="E28" s="16"/>
      <c r="F28" s="17"/>
      <c r="G28" s="18"/>
      <c r="H28" s="100"/>
      <c r="I28" s="20"/>
      <c r="J28" s="101">
        <f t="shared" si="0"/>
        <v>0</v>
      </c>
      <c r="K28" s="16"/>
      <c r="L28" s="100"/>
      <c r="M28" s="22"/>
      <c r="N28" s="101">
        <f t="shared" si="1"/>
        <v>0</v>
      </c>
      <c r="O28" s="16"/>
      <c r="P28" s="23">
        <f t="shared" si="2"/>
        <v>0</v>
      </c>
      <c r="Q28" s="102">
        <f t="shared" si="3"/>
      </c>
      <c r="R28" s="116"/>
    </row>
    <row r="29" spans="4:17" ht="12.75">
      <c r="D29" s="16" t="s">
        <v>35</v>
      </c>
      <c r="E29" s="16"/>
      <c r="F29" s="17" t="s">
        <v>72</v>
      </c>
      <c r="G29" s="18"/>
      <c r="H29" s="100"/>
      <c r="I29" s="20"/>
      <c r="J29" s="101">
        <f>I29*H29</f>
        <v>0</v>
      </c>
      <c r="K29" s="16"/>
      <c r="L29" s="100"/>
      <c r="M29" s="22"/>
      <c r="N29" s="101">
        <f t="shared" si="1"/>
        <v>0</v>
      </c>
      <c r="O29" s="16"/>
      <c r="P29" s="23">
        <f t="shared" si="2"/>
        <v>0</v>
      </c>
      <c r="Q29" s="102">
        <f t="shared" si="3"/>
      </c>
    </row>
    <row r="30" spans="4:19" ht="12.75">
      <c r="D30" s="16" t="s">
        <v>36</v>
      </c>
      <c r="E30" s="16"/>
      <c r="F30" s="17" t="s">
        <v>73</v>
      </c>
      <c r="G30" s="18"/>
      <c r="H30" s="100"/>
      <c r="I30" s="20"/>
      <c r="J30" s="101">
        <f t="shared" si="0"/>
        <v>0</v>
      </c>
      <c r="K30" s="16"/>
      <c r="L30" s="100">
        <v>0.0005</v>
      </c>
      <c r="M30" s="22">
        <v>100</v>
      </c>
      <c r="N30" s="101">
        <f t="shared" si="1"/>
        <v>0.05</v>
      </c>
      <c r="O30" s="16"/>
      <c r="P30" s="23">
        <f t="shared" si="2"/>
        <v>0.05</v>
      </c>
      <c r="Q30" s="102">
        <f>IF((J30)=0,"",(P30/J30))</f>
      </c>
      <c r="S30" s="117"/>
    </row>
    <row r="31" spans="4:19" ht="26.25">
      <c r="D31" s="25" t="s">
        <v>37</v>
      </c>
      <c r="E31" s="16"/>
      <c r="F31" s="17" t="s">
        <v>73</v>
      </c>
      <c r="G31" s="18"/>
      <c r="H31" s="100"/>
      <c r="I31" s="20"/>
      <c r="J31" s="101">
        <f t="shared" si="0"/>
        <v>0</v>
      </c>
      <c r="K31" s="16"/>
      <c r="L31" s="100">
        <v>-0.005455093448542674</v>
      </c>
      <c r="M31" s="22">
        <v>100</v>
      </c>
      <c r="N31" s="101">
        <f t="shared" si="1"/>
        <v>-0.5455093448542674</v>
      </c>
      <c r="O31" s="16"/>
      <c r="P31" s="23">
        <f t="shared" si="2"/>
        <v>-0.5455093448542674</v>
      </c>
      <c r="Q31" s="102">
        <f>IF((J31)=0,"",(P31/J31))</f>
      </c>
      <c r="S31" s="117"/>
    </row>
    <row r="32" spans="4:17" ht="13.5" thickBot="1">
      <c r="D32" s="115" t="s">
        <v>14</v>
      </c>
      <c r="E32" s="16"/>
      <c r="F32" s="17" t="s">
        <v>72</v>
      </c>
      <c r="G32" s="18"/>
      <c r="H32" s="100"/>
      <c r="I32" s="27"/>
      <c r="J32" s="101">
        <f t="shared" si="0"/>
        <v>0</v>
      </c>
      <c r="K32" s="16"/>
      <c r="L32" s="100"/>
      <c r="M32" s="28"/>
      <c r="N32" s="101">
        <f t="shared" si="1"/>
        <v>0</v>
      </c>
      <c r="O32" s="16"/>
      <c r="P32" s="23">
        <f t="shared" si="2"/>
        <v>0</v>
      </c>
      <c r="Q32" s="102">
        <f t="shared" si="3"/>
      </c>
    </row>
    <row r="33" spans="4:17" ht="13.5" thickBot="1">
      <c r="D33" s="3" t="s">
        <v>38</v>
      </c>
      <c r="G33" s="29"/>
      <c r="H33" s="30"/>
      <c r="I33" s="31"/>
      <c r="J33" s="32">
        <f>SUM(J21:J32)</f>
        <v>18.029999999999998</v>
      </c>
      <c r="L33" s="30"/>
      <c r="M33" s="33"/>
      <c r="N33" s="32">
        <f>SUM(N21:N32)</f>
        <v>23.93781675237696</v>
      </c>
      <c r="P33" s="34">
        <f t="shared" si="2"/>
        <v>5.907816752376963</v>
      </c>
      <c r="Q33" s="35">
        <f aca="true" t="shared" si="4" ref="Q33:Q47">IF((J33)=0,"",(P33/J33))</f>
        <v>0.3276659319121999</v>
      </c>
    </row>
    <row r="34" spans="4:17" ht="12.75">
      <c r="D34" s="36" t="s">
        <v>39</v>
      </c>
      <c r="E34" s="36"/>
      <c r="F34" s="37" t="s">
        <v>73</v>
      </c>
      <c r="G34" s="38"/>
      <c r="H34" s="103">
        <v>0.0059</v>
      </c>
      <c r="I34" s="39">
        <f>H16*(1+H49)</f>
        <v>105.02</v>
      </c>
      <c r="J34" s="104">
        <f>I34*H34</f>
        <v>0.619618</v>
      </c>
      <c r="K34" s="36"/>
      <c r="L34" s="103">
        <v>0.0066</v>
      </c>
      <c r="M34" s="40">
        <f>H16*(1+L49)</f>
        <v>105.255316333545</v>
      </c>
      <c r="N34" s="104">
        <f>M34*L34</f>
        <v>0.6946850878013969</v>
      </c>
      <c r="O34" s="36"/>
      <c r="P34" s="41">
        <f t="shared" si="2"/>
        <v>0.07506708780139693</v>
      </c>
      <c r="Q34" s="105">
        <f t="shared" si="4"/>
        <v>0.12115059246406161</v>
      </c>
    </row>
    <row r="35" spans="4:17" ht="27" thickBot="1">
      <c r="D35" s="42" t="s">
        <v>40</v>
      </c>
      <c r="E35" s="36"/>
      <c r="F35" s="37" t="s">
        <v>73</v>
      </c>
      <c r="G35" s="38"/>
      <c r="H35" s="103">
        <v>0.0049</v>
      </c>
      <c r="I35" s="39">
        <f>I34</f>
        <v>105.02</v>
      </c>
      <c r="J35" s="104">
        <f>I35*H35</f>
        <v>0.514598</v>
      </c>
      <c r="K35" s="36"/>
      <c r="L35" s="103">
        <v>0.0054</v>
      </c>
      <c r="M35" s="40">
        <f>M34</f>
        <v>105.255316333545</v>
      </c>
      <c r="N35" s="104">
        <f>M35*L35</f>
        <v>0.568378708201143</v>
      </c>
      <c r="O35" s="36"/>
      <c r="P35" s="41">
        <f t="shared" si="2"/>
        <v>0.053780708201143</v>
      </c>
      <c r="Q35" s="105">
        <f t="shared" si="4"/>
        <v>0.10451013840151537</v>
      </c>
    </row>
    <row r="36" spans="4:17" ht="27" thickBot="1">
      <c r="D36" s="43" t="s">
        <v>41</v>
      </c>
      <c r="E36" s="16"/>
      <c r="F36" s="16"/>
      <c r="G36" s="18"/>
      <c r="H36" s="44"/>
      <c r="I36" s="45"/>
      <c r="J36" s="46">
        <f>SUM(J33:J35)</f>
        <v>19.164215999999996</v>
      </c>
      <c r="K36" s="47"/>
      <c r="L36" s="48"/>
      <c r="M36" s="49"/>
      <c r="N36" s="46">
        <f>SUM(N33:N35)</f>
        <v>25.200880548379498</v>
      </c>
      <c r="O36" s="47"/>
      <c r="P36" s="50">
        <f t="shared" si="2"/>
        <v>6.036664548379502</v>
      </c>
      <c r="Q36" s="51">
        <f t="shared" si="4"/>
        <v>0.3149966869701063</v>
      </c>
    </row>
    <row r="37" spans="4:17" ht="26.25">
      <c r="D37" s="25" t="s">
        <v>42</v>
      </c>
      <c r="E37" s="16"/>
      <c r="F37" s="17" t="s">
        <v>73</v>
      </c>
      <c r="G37" s="18"/>
      <c r="H37" s="19">
        <v>0.0065</v>
      </c>
      <c r="I37" s="20">
        <f>I35</f>
        <v>105.02</v>
      </c>
      <c r="J37" s="21">
        <f aca="true" t="shared" si="5" ref="J37:J42">I37*H37</f>
        <v>0.68263</v>
      </c>
      <c r="K37" s="16"/>
      <c r="L37" s="19">
        <v>0.0065</v>
      </c>
      <c r="M37" s="22">
        <f>M35</f>
        <v>105.255316333545</v>
      </c>
      <c r="N37" s="21">
        <f aca="true" t="shared" si="6" ref="N37:N42">M37*L37</f>
        <v>0.6841595561680425</v>
      </c>
      <c r="O37" s="16"/>
      <c r="P37" s="23">
        <f>N37-J37</f>
        <v>0.0015295561680425118</v>
      </c>
      <c r="Q37" s="24">
        <f t="shared" si="4"/>
        <v>0.002240681142115805</v>
      </c>
    </row>
    <row r="38" spans="4:17" ht="26.25">
      <c r="D38" s="25" t="s">
        <v>43</v>
      </c>
      <c r="E38" s="16"/>
      <c r="F38" s="17"/>
      <c r="G38" s="18"/>
      <c r="H38" s="19"/>
      <c r="I38" s="20"/>
      <c r="J38" s="21">
        <f t="shared" si="5"/>
        <v>0</v>
      </c>
      <c r="K38" s="16"/>
      <c r="L38" s="19"/>
      <c r="M38" s="22"/>
      <c r="N38" s="21">
        <f t="shared" si="6"/>
        <v>0</v>
      </c>
      <c r="O38" s="16"/>
      <c r="P38" s="23">
        <f t="shared" si="2"/>
        <v>0</v>
      </c>
      <c r="Q38" s="24">
        <f t="shared" si="4"/>
      </c>
    </row>
    <row r="39" spans="4:17" ht="12.75">
      <c r="D39" s="25" t="s">
        <v>44</v>
      </c>
      <c r="E39" s="16"/>
      <c r="F39" s="17"/>
      <c r="G39" s="18"/>
      <c r="H39" s="52"/>
      <c r="I39" s="20"/>
      <c r="J39" s="21">
        <f t="shared" si="5"/>
        <v>0</v>
      </c>
      <c r="K39" s="16"/>
      <c r="L39" s="52"/>
      <c r="M39" s="22"/>
      <c r="N39" s="21">
        <f t="shared" si="6"/>
        <v>0</v>
      </c>
      <c r="O39" s="16"/>
      <c r="P39" s="23">
        <f t="shared" si="2"/>
        <v>0</v>
      </c>
      <c r="Q39" s="24">
        <f t="shared" si="4"/>
      </c>
    </row>
    <row r="40" spans="4:17" ht="12.75">
      <c r="D40" s="16" t="s">
        <v>45</v>
      </c>
      <c r="E40" s="16"/>
      <c r="F40" s="17"/>
      <c r="G40" s="18"/>
      <c r="H40" s="19"/>
      <c r="I40" s="20"/>
      <c r="J40" s="21">
        <f t="shared" si="5"/>
        <v>0</v>
      </c>
      <c r="K40" s="16"/>
      <c r="L40" s="19"/>
      <c r="M40" s="22"/>
      <c r="N40" s="21">
        <f t="shared" si="6"/>
        <v>0</v>
      </c>
      <c r="O40" s="16"/>
      <c r="P40" s="23">
        <f t="shared" si="2"/>
        <v>0</v>
      </c>
      <c r="Q40" s="24">
        <f t="shared" si="4"/>
      </c>
    </row>
    <row r="41" spans="4:17" ht="12.75">
      <c r="D41" s="16" t="s">
        <v>46</v>
      </c>
      <c r="E41" s="16"/>
      <c r="F41" s="17" t="s">
        <v>73</v>
      </c>
      <c r="G41" s="18"/>
      <c r="H41" s="19">
        <v>0.007</v>
      </c>
      <c r="I41" s="20">
        <f>I37</f>
        <v>105.02</v>
      </c>
      <c r="J41" s="21">
        <f t="shared" si="5"/>
        <v>0.73514</v>
      </c>
      <c r="K41" s="16"/>
      <c r="L41" s="19">
        <v>0.007</v>
      </c>
      <c r="M41" s="22">
        <f>M37</f>
        <v>105.255316333545</v>
      </c>
      <c r="N41" s="21">
        <f t="shared" si="6"/>
        <v>0.736787214334815</v>
      </c>
      <c r="O41" s="16"/>
      <c r="P41" s="23">
        <f>N41-J41</f>
        <v>0.0016472143348149615</v>
      </c>
      <c r="Q41" s="24">
        <f t="shared" si="4"/>
        <v>0.002240681142115735</v>
      </c>
    </row>
    <row r="42" spans="4:17" ht="13.5" thickBot="1">
      <c r="D42" s="16" t="s">
        <v>47</v>
      </c>
      <c r="E42" s="16"/>
      <c r="F42" s="17" t="s">
        <v>73</v>
      </c>
      <c r="G42" s="18"/>
      <c r="H42" s="19">
        <v>0.068</v>
      </c>
      <c r="I42" s="20">
        <f>I37</f>
        <v>105.02</v>
      </c>
      <c r="J42" s="21">
        <f t="shared" si="5"/>
        <v>7.141360000000001</v>
      </c>
      <c r="K42" s="16"/>
      <c r="L42" s="19">
        <v>0.068</v>
      </c>
      <c r="M42" s="22">
        <f>M37</f>
        <v>105.255316333545</v>
      </c>
      <c r="N42" s="21">
        <f t="shared" si="6"/>
        <v>7.15736151068106</v>
      </c>
      <c r="O42" s="16"/>
      <c r="P42" s="23">
        <f>N42-J42</f>
        <v>0.016001510681059372</v>
      </c>
      <c r="Q42" s="24">
        <f t="shared" si="4"/>
        <v>0.0022406811421156994</v>
      </c>
    </row>
    <row r="43" spans="4:17" ht="13.5" thickBot="1">
      <c r="D43" s="56" t="s">
        <v>48</v>
      </c>
      <c r="E43" s="16"/>
      <c r="F43" s="16"/>
      <c r="G43" s="16"/>
      <c r="H43" s="57"/>
      <c r="I43" s="58"/>
      <c r="J43" s="46">
        <f>SUM(J36:J42)</f>
        <v>27.723346</v>
      </c>
      <c r="K43" s="47"/>
      <c r="L43" s="59"/>
      <c r="M43" s="60"/>
      <c r="N43" s="46">
        <f>SUM(N36:N42)</f>
        <v>33.77918882956342</v>
      </c>
      <c r="O43" s="47"/>
      <c r="P43" s="50">
        <f>N43-J43</f>
        <v>6.055842829563417</v>
      </c>
      <c r="Q43" s="51">
        <f t="shared" si="4"/>
        <v>0.2184383814840899</v>
      </c>
    </row>
    <row r="44" spans="4:17" ht="13.5" thickBot="1">
      <c r="D44" s="18" t="s">
        <v>49</v>
      </c>
      <c r="E44" s="16"/>
      <c r="F44" s="16"/>
      <c r="G44" s="16"/>
      <c r="H44" s="61">
        <v>0.13</v>
      </c>
      <c r="I44" s="62"/>
      <c r="J44" s="63">
        <f>J43*H44</f>
        <v>3.60403498</v>
      </c>
      <c r="K44" s="16"/>
      <c r="L44" s="61">
        <v>0.13</v>
      </c>
      <c r="M44" s="64"/>
      <c r="N44" s="63">
        <f>N43*L44</f>
        <v>4.391294547843244</v>
      </c>
      <c r="O44" s="16"/>
      <c r="P44" s="23">
        <f t="shared" si="2"/>
        <v>0.7872595678432437</v>
      </c>
      <c r="Q44" s="24">
        <f t="shared" si="4"/>
        <v>0.21843838148408973</v>
      </c>
    </row>
    <row r="45" spans="4:17" ht="27" thickBot="1">
      <c r="D45" s="43" t="s">
        <v>50</v>
      </c>
      <c r="E45" s="16"/>
      <c r="F45" s="16"/>
      <c r="G45" s="16"/>
      <c r="H45" s="44"/>
      <c r="I45" s="45"/>
      <c r="J45" s="46">
        <f>ROUND(SUM(J43:J44),2)</f>
        <v>31.33</v>
      </c>
      <c r="K45" s="47"/>
      <c r="L45" s="48"/>
      <c r="M45" s="49"/>
      <c r="N45" s="46">
        <f>ROUND(SUM(N43:N44),2)</f>
        <v>38.17</v>
      </c>
      <c r="O45" s="47"/>
      <c r="P45" s="50">
        <f t="shared" si="2"/>
        <v>6.840000000000003</v>
      </c>
      <c r="Q45" s="51">
        <f t="shared" si="4"/>
        <v>0.2183210979891479</v>
      </c>
    </row>
    <row r="46" spans="4:17" ht="29.25" thickBot="1">
      <c r="D46" s="83" t="s">
        <v>102</v>
      </c>
      <c r="E46" s="16"/>
      <c r="F46" s="16"/>
      <c r="G46" s="16"/>
      <c r="H46" s="44"/>
      <c r="I46" s="80"/>
      <c r="J46" s="46">
        <f>ROUND(-J45*10%,2)</f>
        <v>-3.13</v>
      </c>
      <c r="K46" s="47"/>
      <c r="L46" s="48"/>
      <c r="M46" s="49"/>
      <c r="N46" s="46">
        <f>ROUND(-N45*10%,2)</f>
        <v>-3.82</v>
      </c>
      <c r="O46" s="47"/>
      <c r="P46" s="50">
        <f t="shared" si="2"/>
        <v>-0.69</v>
      </c>
      <c r="Q46" s="51">
        <f t="shared" si="4"/>
        <v>0.2204472843450479</v>
      </c>
    </row>
    <row r="47" spans="4:17" ht="13.5" thickBot="1">
      <c r="D47" s="43" t="s">
        <v>55</v>
      </c>
      <c r="E47" s="16"/>
      <c r="F47" s="16"/>
      <c r="G47" s="16"/>
      <c r="H47" s="82"/>
      <c r="I47" s="81"/>
      <c r="J47" s="75">
        <f>J45+J46</f>
        <v>28.2</v>
      </c>
      <c r="K47" s="47"/>
      <c r="L47" s="79"/>
      <c r="M47" s="78"/>
      <c r="N47" s="75">
        <f>N45+N46</f>
        <v>34.35</v>
      </c>
      <c r="O47" s="47"/>
      <c r="P47" s="77">
        <f t="shared" si="2"/>
        <v>6.150000000000002</v>
      </c>
      <c r="Q47" s="76">
        <f t="shared" si="4"/>
        <v>0.21808510638297882</v>
      </c>
    </row>
    <row r="48" ht="10.5" customHeight="1"/>
    <row r="49" spans="4:12" ht="12.75">
      <c r="D49" s="3" t="s">
        <v>51</v>
      </c>
      <c r="H49" s="65">
        <v>0.0502</v>
      </c>
      <c r="L49" s="120">
        <v>0.05255316333545</v>
      </c>
    </row>
    <row r="50" ht="10.5" customHeight="1"/>
    <row r="51" ht="10.5" customHeight="1">
      <c r="C51" s="107" t="s">
        <v>103</v>
      </c>
    </row>
    <row r="52" ht="10.5" customHeight="1"/>
    <row r="53" spans="2:3" ht="12.75">
      <c r="B53" s="3"/>
      <c r="C53" s="2" t="s">
        <v>59</v>
      </c>
    </row>
    <row r="54" ht="12.75">
      <c r="C54" s="2" t="s">
        <v>60</v>
      </c>
    </row>
    <row r="56" ht="12.75">
      <c r="C56" s="2" t="s">
        <v>101</v>
      </c>
    </row>
    <row r="57" ht="12.75">
      <c r="C57" s="2" t="s">
        <v>61</v>
      </c>
    </row>
    <row r="59" ht="12.75">
      <c r="C59" s="2" t="s">
        <v>62</v>
      </c>
    </row>
    <row r="60" ht="12.75">
      <c r="C60" s="2" t="s">
        <v>63</v>
      </c>
    </row>
    <row r="61" ht="12.75">
      <c r="C61" s="2" t="s">
        <v>64</v>
      </c>
    </row>
    <row r="62" ht="12.75">
      <c r="C62" s="2" t="s">
        <v>65</v>
      </c>
    </row>
    <row r="63" ht="12.75">
      <c r="C63" s="2" t="s">
        <v>66</v>
      </c>
    </row>
  </sheetData>
  <sheetProtection selectLockedCells="1"/>
  <mergeCells count="9">
    <mergeCell ref="D11:Q11"/>
    <mergeCell ref="C3:M3"/>
    <mergeCell ref="P3:Q3"/>
    <mergeCell ref="P4:Q4"/>
    <mergeCell ref="P5:Q5"/>
    <mergeCell ref="P1:Q1"/>
    <mergeCell ref="P2:Q2"/>
    <mergeCell ref="P7:Q7"/>
    <mergeCell ref="D10:Q10"/>
  </mergeCells>
  <dataValidations count="3">
    <dataValidation type="list" allowBlank="1" showInputMessage="1" showErrorMessage="1" prompt="Select Charge Unit - monthly, per kWh, per kW" sqref="F34:F35 F21:F32 F37:F42">
      <formula1>"Monthly, per kWh, per kW"</formula1>
    </dataValidation>
    <dataValidation type="list" allowBlank="1" showInputMessage="1" showErrorMessage="1" sqref="G37:G42 G21:G32 G34:G35">
      <formula1>$B$14:$B$19</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9" r:id="rId1"/>
  <headerFooter alignWithMargins="0">
    <oddFooter>&amp;C9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S62"/>
  <sheetViews>
    <sheetView showGridLines="0" zoomScalePageLayoutView="0" workbookViewId="0" topLeftCell="A4">
      <selection activeCell="N29" sqref="N29"/>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2.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2.28125" style="2" bestFit="1" customWidth="1"/>
    <col min="17" max="17" width="12.14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57</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7" ht="12.75">
      <c r="B16" s="8"/>
      <c r="D16" s="99"/>
      <c r="F16" s="3" t="s">
        <v>16</v>
      </c>
      <c r="G16" s="3"/>
      <c r="H16" s="6">
        <v>150</v>
      </c>
      <c r="I16" s="3" t="s">
        <v>17</v>
      </c>
      <c r="L16" s="124"/>
      <c r="M16" s="3"/>
      <c r="P16" s="124"/>
      <c r="Q16" s="3"/>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12.78</v>
      </c>
      <c r="I21" s="20">
        <v>1</v>
      </c>
      <c r="J21" s="109">
        <f aca="true" t="shared" si="0" ref="J21:J31">I21*H21</f>
        <v>12.78</v>
      </c>
      <c r="K21" s="16"/>
      <c r="L21" s="108">
        <v>15.7674</v>
      </c>
      <c r="M21" s="22">
        <v>1</v>
      </c>
      <c r="N21" s="109">
        <f aca="true" t="shared" si="1" ref="N21:N31">M21*L21</f>
        <v>15.7674</v>
      </c>
      <c r="O21" s="16"/>
      <c r="P21" s="23">
        <f aca="true" t="shared" si="2" ref="P21:P46">N21-J21</f>
        <v>2.987400000000001</v>
      </c>
      <c r="Q21" s="110">
        <f aca="true" t="shared" si="3" ref="Q21:Q46">IF((J21)=0,"",(P21/J21))</f>
        <v>0.23375586854460104</v>
      </c>
    </row>
    <row r="22" spans="4:17" ht="12.75">
      <c r="D22" s="16" t="s">
        <v>28</v>
      </c>
      <c r="E22" s="16"/>
      <c r="F22" s="17"/>
      <c r="G22" s="18"/>
      <c r="H22" s="108"/>
      <c r="I22" s="20"/>
      <c r="J22" s="109">
        <f t="shared" si="0"/>
        <v>0</v>
      </c>
      <c r="K22" s="16"/>
      <c r="L22" s="108"/>
      <c r="M22" s="22"/>
      <c r="N22" s="109">
        <f t="shared" si="1"/>
        <v>0</v>
      </c>
      <c r="O22" s="16"/>
      <c r="P22" s="23">
        <f t="shared" si="2"/>
        <v>0</v>
      </c>
      <c r="Q22" s="110">
        <f t="shared" si="3"/>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73</v>
      </c>
      <c r="G25" s="18"/>
      <c r="H25" s="108">
        <v>0.0099</v>
      </c>
      <c r="I25" s="20">
        <f>H16</f>
        <v>150</v>
      </c>
      <c r="J25" s="109">
        <f t="shared" si="0"/>
        <v>1.485</v>
      </c>
      <c r="K25" s="16"/>
      <c r="L25" s="108">
        <v>0.0122</v>
      </c>
      <c r="M25" s="22">
        <f>H16</f>
        <v>150</v>
      </c>
      <c r="N25" s="109">
        <f t="shared" si="1"/>
        <v>1.83</v>
      </c>
      <c r="O25" s="16"/>
      <c r="P25" s="23">
        <f t="shared" si="2"/>
        <v>0.345</v>
      </c>
      <c r="Q25" s="110">
        <f t="shared" si="3"/>
        <v>0.2323232323232323</v>
      </c>
    </row>
    <row r="26" spans="4:17" ht="12.75">
      <c r="D26" s="16" t="s">
        <v>32</v>
      </c>
      <c r="E26" s="16"/>
      <c r="F26" s="17" t="s">
        <v>73</v>
      </c>
      <c r="G26" s="18"/>
      <c r="H26" s="108">
        <v>0.0007</v>
      </c>
      <c r="I26" s="20">
        <f>I25</f>
        <v>150</v>
      </c>
      <c r="J26" s="109">
        <f t="shared" si="0"/>
        <v>0.105</v>
      </c>
      <c r="K26" s="16"/>
      <c r="L26" s="108">
        <v>0.0006</v>
      </c>
      <c r="M26" s="22">
        <f>M25</f>
        <v>150</v>
      </c>
      <c r="N26" s="109">
        <f t="shared" si="1"/>
        <v>0.09</v>
      </c>
      <c r="O26" s="16"/>
      <c r="P26" s="23">
        <f t="shared" si="2"/>
        <v>-0.015</v>
      </c>
      <c r="Q26" s="110">
        <f t="shared" si="3"/>
        <v>-0.14285714285714285</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c r="G29" s="18"/>
      <c r="H29" s="108"/>
      <c r="I29" s="20"/>
      <c r="J29" s="109">
        <f t="shared" si="0"/>
        <v>0</v>
      </c>
      <c r="K29" s="16"/>
      <c r="L29" s="108"/>
      <c r="M29" s="22"/>
      <c r="N29" s="109">
        <f t="shared" si="1"/>
        <v>0</v>
      </c>
      <c r="O29" s="16"/>
      <c r="P29" s="23">
        <f t="shared" si="2"/>
        <v>0</v>
      </c>
      <c r="Q29" s="110">
        <f t="shared" si="3"/>
      </c>
    </row>
    <row r="30" spans="4:17" ht="12.75">
      <c r="D30" s="16" t="s">
        <v>36</v>
      </c>
      <c r="E30" s="16"/>
      <c r="F30" s="17"/>
      <c r="G30" s="18"/>
      <c r="H30" s="108"/>
      <c r="I30" s="20"/>
      <c r="J30" s="109">
        <f t="shared" si="0"/>
        <v>0</v>
      </c>
      <c r="K30" s="16"/>
      <c r="L30" s="108"/>
      <c r="M30" s="22"/>
      <c r="N30" s="109">
        <f t="shared" si="1"/>
        <v>0</v>
      </c>
      <c r="O30" s="16"/>
      <c r="P30" s="23">
        <f t="shared" si="2"/>
        <v>0</v>
      </c>
      <c r="Q30" s="110">
        <f t="shared" si="3"/>
      </c>
    </row>
    <row r="31" spans="4:17" ht="27" thickBot="1">
      <c r="D31" s="25" t="s">
        <v>37</v>
      </c>
      <c r="E31" s="16"/>
      <c r="F31" s="17"/>
      <c r="G31" s="18"/>
      <c r="H31" s="108"/>
      <c r="I31" s="20"/>
      <c r="J31" s="109">
        <f t="shared" si="0"/>
        <v>0</v>
      </c>
      <c r="K31" s="16"/>
      <c r="L31" s="108">
        <v>-0.0040594937132757015</v>
      </c>
      <c r="M31" s="22">
        <f>H16</f>
        <v>150</v>
      </c>
      <c r="N31" s="109">
        <f t="shared" si="1"/>
        <v>-0.6089240569913552</v>
      </c>
      <c r="O31" s="16"/>
      <c r="P31" s="23">
        <f t="shared" si="2"/>
        <v>-0.6089240569913552</v>
      </c>
      <c r="Q31" s="110">
        <f t="shared" si="3"/>
      </c>
    </row>
    <row r="32" spans="4:17" ht="13.5" thickBot="1">
      <c r="D32" s="3" t="s">
        <v>38</v>
      </c>
      <c r="G32" s="29"/>
      <c r="H32" s="30"/>
      <c r="I32" s="31"/>
      <c r="J32" s="32">
        <f>SUM(J21:J31)</f>
        <v>14.37</v>
      </c>
      <c r="L32" s="30"/>
      <c r="M32" s="33"/>
      <c r="N32" s="32">
        <f>SUM(N21:N31)</f>
        <v>17.078475943008645</v>
      </c>
      <c r="P32" s="34">
        <f t="shared" si="2"/>
        <v>2.7084759430086454</v>
      </c>
      <c r="Q32" s="35">
        <f t="shared" si="3"/>
        <v>0.18848127647937687</v>
      </c>
    </row>
    <row r="33" spans="4:19" ht="12.75">
      <c r="D33" s="36" t="s">
        <v>39</v>
      </c>
      <c r="E33" s="36"/>
      <c r="F33" s="37" t="s">
        <v>73</v>
      </c>
      <c r="G33" s="38"/>
      <c r="H33" s="111">
        <v>0.0054</v>
      </c>
      <c r="I33" s="39">
        <f>H16*(1+H48)</f>
        <v>157.53</v>
      </c>
      <c r="J33" s="112">
        <f>I33*H33</f>
        <v>0.850662</v>
      </c>
      <c r="K33" s="36"/>
      <c r="L33" s="111">
        <v>0.0061</v>
      </c>
      <c r="M33" s="39">
        <f>H16*(1+L48)</f>
        <v>157.8829745003175</v>
      </c>
      <c r="N33" s="112">
        <f>M33*L33</f>
        <v>0.9630861444519367</v>
      </c>
      <c r="O33" s="36"/>
      <c r="P33" s="41">
        <f t="shared" si="2"/>
        <v>0.11242414445193671</v>
      </c>
      <c r="Q33" s="113">
        <f t="shared" si="3"/>
        <v>0.13216076943831592</v>
      </c>
      <c r="R33" s="29"/>
      <c r="S33" s="29"/>
    </row>
    <row r="34" spans="4:19" ht="27" thickBot="1">
      <c r="D34" s="42" t="s">
        <v>40</v>
      </c>
      <c r="E34" s="36"/>
      <c r="F34" s="37" t="s">
        <v>73</v>
      </c>
      <c r="G34" s="38"/>
      <c r="H34" s="111">
        <v>0.0043</v>
      </c>
      <c r="I34" s="39">
        <f>I33</f>
        <v>157.53</v>
      </c>
      <c r="J34" s="112">
        <f>I34*H34</f>
        <v>0.677379</v>
      </c>
      <c r="K34" s="36"/>
      <c r="L34" s="111">
        <v>0.0047</v>
      </c>
      <c r="M34" s="40">
        <f>M33</f>
        <v>157.8829745003175</v>
      </c>
      <c r="N34" s="112">
        <f>M34*L34</f>
        <v>0.7420499801514923</v>
      </c>
      <c r="O34" s="36"/>
      <c r="P34" s="41">
        <f t="shared" si="2"/>
        <v>0.06467098015149231</v>
      </c>
      <c r="Q34" s="113">
        <f t="shared" si="3"/>
        <v>0.0954723724111499</v>
      </c>
      <c r="R34" s="29"/>
      <c r="S34" s="29"/>
    </row>
    <row r="35" spans="4:19" ht="27" thickBot="1">
      <c r="D35" s="43" t="s">
        <v>41</v>
      </c>
      <c r="E35" s="16"/>
      <c r="F35" s="16"/>
      <c r="G35" s="18"/>
      <c r="H35" s="44"/>
      <c r="I35" s="45"/>
      <c r="J35" s="46">
        <f>SUM(J32:J34)</f>
        <v>15.898041</v>
      </c>
      <c r="K35" s="47"/>
      <c r="L35" s="48"/>
      <c r="M35" s="49"/>
      <c r="N35" s="46">
        <f>SUM(N32:N34)</f>
        <v>18.783612067612072</v>
      </c>
      <c r="O35" s="47"/>
      <c r="P35" s="50">
        <f t="shared" si="2"/>
        <v>2.885571067612073</v>
      </c>
      <c r="Q35" s="51">
        <f t="shared" si="3"/>
        <v>0.18150481984617306</v>
      </c>
      <c r="R35" s="29"/>
      <c r="S35" s="29"/>
    </row>
    <row r="36" spans="4:17" ht="26.25">
      <c r="D36" s="25" t="s">
        <v>42</v>
      </c>
      <c r="E36" s="16"/>
      <c r="F36" s="17" t="s">
        <v>73</v>
      </c>
      <c r="G36" s="18"/>
      <c r="H36" s="19">
        <v>0.0065</v>
      </c>
      <c r="I36" s="20">
        <f>H16*(1+H48)</f>
        <v>157.53</v>
      </c>
      <c r="J36" s="21">
        <f aca="true" t="shared" si="4" ref="J36:J41">I36*H36</f>
        <v>1.0239449999999999</v>
      </c>
      <c r="K36" s="16"/>
      <c r="L36" s="19">
        <v>0.0065</v>
      </c>
      <c r="M36" s="20">
        <f>H16*(1+L48)</f>
        <v>157.8829745003175</v>
      </c>
      <c r="N36" s="21">
        <f aca="true" t="shared" si="5" ref="N36:N41">M36*L36</f>
        <v>1.0262393342520637</v>
      </c>
      <c r="O36" s="16"/>
      <c r="P36" s="23">
        <f t="shared" si="2"/>
        <v>0.0022943342520638232</v>
      </c>
      <c r="Q36" s="24">
        <f t="shared" si="3"/>
        <v>0.0022406811421158595</v>
      </c>
    </row>
    <row r="37" spans="4:17" ht="26.25">
      <c r="D37" s="25" t="s">
        <v>43</v>
      </c>
      <c r="E37" s="16"/>
      <c r="F37" s="17"/>
      <c r="G37" s="18"/>
      <c r="H37" s="19"/>
      <c r="I37" s="20"/>
      <c r="J37" s="21">
        <f t="shared" si="4"/>
        <v>0</v>
      </c>
      <c r="K37" s="16"/>
      <c r="L37" s="19"/>
      <c r="M37" s="22"/>
      <c r="N37" s="21">
        <f t="shared" si="5"/>
        <v>0</v>
      </c>
      <c r="O37" s="16"/>
      <c r="P37" s="23">
        <f t="shared" si="2"/>
        <v>0</v>
      </c>
      <c r="Q37" s="24">
        <f t="shared" si="3"/>
      </c>
    </row>
    <row r="38" spans="4:17" ht="12.75">
      <c r="D38" s="25" t="s">
        <v>44</v>
      </c>
      <c r="E38" s="16"/>
      <c r="F38" s="17"/>
      <c r="G38" s="18"/>
      <c r="H38" s="52"/>
      <c r="I38" s="20"/>
      <c r="J38" s="21">
        <f t="shared" si="4"/>
        <v>0</v>
      </c>
      <c r="K38" s="16"/>
      <c r="L38" s="19"/>
      <c r="M38" s="22"/>
      <c r="N38" s="21">
        <f t="shared" si="5"/>
        <v>0</v>
      </c>
      <c r="O38" s="16"/>
      <c r="P38" s="23">
        <f t="shared" si="2"/>
        <v>0</v>
      </c>
      <c r="Q38" s="24">
        <f t="shared" si="3"/>
      </c>
    </row>
    <row r="39" spans="4:17" ht="12.75">
      <c r="D39" s="16" t="s">
        <v>45</v>
      </c>
      <c r="E39" s="16"/>
      <c r="F39" s="17"/>
      <c r="G39" s="18"/>
      <c r="H39" s="19"/>
      <c r="I39" s="20"/>
      <c r="J39" s="21">
        <f t="shared" si="4"/>
        <v>0</v>
      </c>
      <c r="K39" s="16"/>
      <c r="L39" s="19"/>
      <c r="M39" s="22"/>
      <c r="N39" s="21">
        <f t="shared" si="5"/>
        <v>0</v>
      </c>
      <c r="O39" s="16"/>
      <c r="P39" s="23">
        <f t="shared" si="2"/>
        <v>0</v>
      </c>
      <c r="Q39" s="24">
        <f t="shared" si="3"/>
      </c>
    </row>
    <row r="40" spans="4:17" ht="12.75">
      <c r="D40" s="16" t="s">
        <v>46</v>
      </c>
      <c r="E40" s="16"/>
      <c r="F40" s="17" t="s">
        <v>73</v>
      </c>
      <c r="G40" s="18"/>
      <c r="H40" s="19">
        <v>0.007</v>
      </c>
      <c r="I40" s="20">
        <f>I36</f>
        <v>157.53</v>
      </c>
      <c r="J40" s="21">
        <f t="shared" si="4"/>
        <v>1.10271</v>
      </c>
      <c r="K40" s="16"/>
      <c r="L40" s="19">
        <v>0.007</v>
      </c>
      <c r="M40" s="22">
        <f>M36</f>
        <v>157.8829745003175</v>
      </c>
      <c r="N40" s="21">
        <f t="shared" si="5"/>
        <v>1.1051808215022225</v>
      </c>
      <c r="O40" s="16"/>
      <c r="P40" s="23">
        <f t="shared" si="2"/>
        <v>0.0024708215022224422</v>
      </c>
      <c r="Q40" s="24">
        <f t="shared" si="3"/>
        <v>0.002240681142115735</v>
      </c>
    </row>
    <row r="41" spans="4:17" ht="13.5" thickBot="1">
      <c r="D41" s="16" t="s">
        <v>47</v>
      </c>
      <c r="E41" s="16"/>
      <c r="F41" s="17" t="s">
        <v>73</v>
      </c>
      <c r="G41" s="18"/>
      <c r="H41" s="19">
        <v>0.068</v>
      </c>
      <c r="I41" s="39">
        <f>I40</f>
        <v>157.53</v>
      </c>
      <c r="J41" s="21">
        <f t="shared" si="4"/>
        <v>10.71204</v>
      </c>
      <c r="K41" s="16"/>
      <c r="L41" s="19">
        <v>0.068</v>
      </c>
      <c r="M41" s="22">
        <f>M36</f>
        <v>157.8829745003175</v>
      </c>
      <c r="N41" s="21">
        <f t="shared" si="5"/>
        <v>10.73604226602159</v>
      </c>
      <c r="O41" s="16"/>
      <c r="P41" s="23">
        <f t="shared" si="2"/>
        <v>0.024002266021589946</v>
      </c>
      <c r="Q41" s="24">
        <f t="shared" si="3"/>
        <v>0.0022406811421157823</v>
      </c>
    </row>
    <row r="42" spans="4:17" ht="13.5" thickBot="1">
      <c r="D42" s="56" t="s">
        <v>48</v>
      </c>
      <c r="E42" s="16"/>
      <c r="F42" s="16"/>
      <c r="G42" s="16"/>
      <c r="H42" s="57"/>
      <c r="I42" s="58"/>
      <c r="J42" s="46">
        <f>SUM(J35:J41)</f>
        <v>28.736736</v>
      </c>
      <c r="K42" s="47"/>
      <c r="L42" s="59"/>
      <c r="M42" s="60"/>
      <c r="N42" s="46">
        <f>SUM(N35:N41)</f>
        <v>31.651074489387952</v>
      </c>
      <c r="O42" s="47"/>
      <c r="P42" s="50">
        <f t="shared" si="2"/>
        <v>2.9143384893879514</v>
      </c>
      <c r="Q42" s="51">
        <f t="shared" si="3"/>
        <v>0.10141508379336997</v>
      </c>
    </row>
    <row r="43" spans="4:17" ht="13.5" thickBot="1">
      <c r="D43" s="18" t="s">
        <v>49</v>
      </c>
      <c r="E43" s="16"/>
      <c r="F43" s="16"/>
      <c r="G43" s="16"/>
      <c r="H43" s="61">
        <v>0.13</v>
      </c>
      <c r="I43" s="62"/>
      <c r="J43" s="63">
        <f>J42*H43</f>
        <v>3.73577568</v>
      </c>
      <c r="K43" s="16"/>
      <c r="L43" s="61">
        <v>0.13</v>
      </c>
      <c r="M43" s="64"/>
      <c r="N43" s="63">
        <f>N42*L43</f>
        <v>4.1146396836204335</v>
      </c>
      <c r="O43" s="16"/>
      <c r="P43" s="23">
        <f t="shared" si="2"/>
        <v>0.3788640036204334</v>
      </c>
      <c r="Q43" s="24">
        <f t="shared" si="3"/>
        <v>0.10141508379336989</v>
      </c>
    </row>
    <row r="44" spans="4:17" ht="27" thickBot="1">
      <c r="D44" s="43" t="s">
        <v>50</v>
      </c>
      <c r="E44" s="16"/>
      <c r="F44" s="16"/>
      <c r="G44" s="16"/>
      <c r="H44" s="44"/>
      <c r="I44" s="45"/>
      <c r="J44" s="46">
        <f>ROUND(SUM(J42:J43),2)</f>
        <v>32.47</v>
      </c>
      <c r="K44" s="47"/>
      <c r="L44" s="48"/>
      <c r="M44" s="49"/>
      <c r="N44" s="46">
        <f>ROUND(SUM(N42:N43),2)</f>
        <v>35.77</v>
      </c>
      <c r="O44" s="47"/>
      <c r="P44" s="50">
        <f t="shared" si="2"/>
        <v>3.3000000000000043</v>
      </c>
      <c r="Q44" s="51">
        <f t="shared" si="3"/>
        <v>0.10163227594702816</v>
      </c>
    </row>
    <row r="45" spans="4:17" ht="29.25" thickBot="1">
      <c r="D45" s="83" t="s">
        <v>102</v>
      </c>
      <c r="E45" s="16"/>
      <c r="F45" s="16"/>
      <c r="G45" s="16"/>
      <c r="H45" s="44"/>
      <c r="I45" s="80"/>
      <c r="J45" s="46">
        <f>ROUND(-J44*10%,2)</f>
        <v>-3.25</v>
      </c>
      <c r="K45" s="47"/>
      <c r="L45" s="48"/>
      <c r="M45" s="49"/>
      <c r="N45" s="46">
        <f>ROUND(-N44*10%,2)</f>
        <v>-3.58</v>
      </c>
      <c r="O45" s="47"/>
      <c r="P45" s="50">
        <f t="shared" si="2"/>
        <v>-0.33000000000000007</v>
      </c>
      <c r="Q45" s="51">
        <f t="shared" si="3"/>
        <v>0.10153846153846156</v>
      </c>
    </row>
    <row r="46" spans="4:17" ht="13.5" thickBot="1">
      <c r="D46" s="43" t="s">
        <v>55</v>
      </c>
      <c r="E46" s="16"/>
      <c r="F46" s="16"/>
      <c r="G46" s="16"/>
      <c r="H46" s="82"/>
      <c r="I46" s="81"/>
      <c r="J46" s="75">
        <f>J44+J45</f>
        <v>29.22</v>
      </c>
      <c r="K46" s="47"/>
      <c r="L46" s="79"/>
      <c r="M46" s="78"/>
      <c r="N46" s="75">
        <f>N44+N45</f>
        <v>32.190000000000005</v>
      </c>
      <c r="O46" s="47"/>
      <c r="P46" s="77">
        <f t="shared" si="2"/>
        <v>2.970000000000006</v>
      </c>
      <c r="Q46" s="76">
        <f t="shared" si="3"/>
        <v>0.10164271047227946</v>
      </c>
    </row>
    <row r="47" ht="10.5" customHeight="1"/>
    <row r="48" spans="4:14" ht="12.75">
      <c r="D48" s="3" t="s">
        <v>51</v>
      </c>
      <c r="H48" s="65">
        <v>0.0502</v>
      </c>
      <c r="I48" s="121"/>
      <c r="J48" s="121"/>
      <c r="K48" s="121"/>
      <c r="L48" s="120">
        <v>0.05255316333545</v>
      </c>
      <c r="N48" s="122"/>
    </row>
    <row r="49" ht="10.5" customHeight="1"/>
    <row r="50" ht="10.5" customHeight="1">
      <c r="C50" s="107" t="s">
        <v>103</v>
      </c>
    </row>
    <row r="51" ht="10.5" customHeight="1"/>
    <row r="52" spans="2:3" ht="12.75">
      <c r="B52" s="3"/>
      <c r="C52" s="2" t="s">
        <v>59</v>
      </c>
    </row>
    <row r="53" ht="12.75">
      <c r="C53" s="2" t="s">
        <v>60</v>
      </c>
    </row>
    <row r="55" ht="12.75">
      <c r="C55" s="2" t="s">
        <v>101</v>
      </c>
    </row>
    <row r="56" ht="12.75">
      <c r="C56" s="2" t="s">
        <v>61</v>
      </c>
    </row>
    <row r="58" ht="12.75">
      <c r="C58" s="2" t="s">
        <v>62</v>
      </c>
    </row>
    <row r="59" ht="12.75">
      <c r="C59" s="2" t="s">
        <v>63</v>
      </c>
    </row>
    <row r="60" ht="12.75">
      <c r="C60" s="2" t="s">
        <v>64</v>
      </c>
    </row>
    <row r="61" ht="12.75">
      <c r="C61" s="2" t="s">
        <v>65</v>
      </c>
    </row>
    <row r="62" ht="12.75">
      <c r="C62"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6:G41 G21:G31 G33:G34">
      <formula1>$B$14:$B$19</formula1>
    </dataValidation>
    <dataValidation type="list" allowBlank="1" showInputMessage="1" showErrorMessage="1" prompt="Select Charge Unit - monthly, per kWh, per kW" sqref="F33:F34 F21:F31 F36:F41">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4" r:id="rId1"/>
  <headerFooter alignWithMargins="0">
    <oddFooter>&amp;C9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1:S62"/>
  <sheetViews>
    <sheetView showGridLines="0" zoomScalePageLayoutView="0" workbookViewId="0" topLeftCell="A19">
      <selection activeCell="D23" sqref="D23"/>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2.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12.28125" style="2" bestFit="1" customWidth="1"/>
    <col min="17" max="17" width="12.14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57</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17" ht="12.75">
      <c r="B16" s="8"/>
      <c r="D16" s="99"/>
      <c r="F16" s="3" t="s">
        <v>16</v>
      </c>
      <c r="G16" s="3"/>
      <c r="H16" s="6">
        <v>4500</v>
      </c>
      <c r="I16" s="3" t="s">
        <v>17</v>
      </c>
      <c r="L16" s="124"/>
      <c r="M16" s="3"/>
      <c r="P16" s="124"/>
      <c r="Q16" s="3"/>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v>12.78</v>
      </c>
      <c r="I21" s="20">
        <v>1</v>
      </c>
      <c r="J21" s="109">
        <f aca="true" t="shared" si="0" ref="J21:J31">I21*H21</f>
        <v>12.78</v>
      </c>
      <c r="K21" s="16"/>
      <c r="L21" s="108">
        <f>'App.2-V BillImpact USL 150kwh'!L21</f>
        <v>15.7674</v>
      </c>
      <c r="M21" s="22">
        <v>1</v>
      </c>
      <c r="N21" s="109">
        <f aca="true" t="shared" si="1" ref="N21:N31">M21*L21</f>
        <v>15.7674</v>
      </c>
      <c r="O21" s="16"/>
      <c r="P21" s="23">
        <f aca="true" t="shared" si="2" ref="P21:P46">N21-J21</f>
        <v>2.987400000000001</v>
      </c>
      <c r="Q21" s="110">
        <f aca="true" t="shared" si="3" ref="Q21:Q46">IF((J21)=0,"",(P21/J21))</f>
        <v>0.23375586854460104</v>
      </c>
    </row>
    <row r="22" spans="4:17" ht="12.75">
      <c r="D22" s="16" t="s">
        <v>28</v>
      </c>
      <c r="E22" s="16"/>
      <c r="F22" s="17"/>
      <c r="G22" s="18"/>
      <c r="H22" s="108"/>
      <c r="I22" s="20"/>
      <c r="J22" s="109">
        <f t="shared" si="0"/>
        <v>0</v>
      </c>
      <c r="K22" s="16"/>
      <c r="L22" s="108"/>
      <c r="M22" s="22"/>
      <c r="N22" s="109">
        <f t="shared" si="1"/>
        <v>0</v>
      </c>
      <c r="O22" s="16"/>
      <c r="P22" s="23">
        <f t="shared" si="2"/>
        <v>0</v>
      </c>
      <c r="Q22" s="110">
        <f t="shared" si="3"/>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73</v>
      </c>
      <c r="G25" s="18"/>
      <c r="H25" s="108">
        <v>0.0099</v>
      </c>
      <c r="I25" s="20">
        <f>H16</f>
        <v>4500</v>
      </c>
      <c r="J25" s="109">
        <f t="shared" si="0"/>
        <v>44.550000000000004</v>
      </c>
      <c r="K25" s="16"/>
      <c r="L25" s="108">
        <f>'App.2-V BillImpact USL 150kwh'!L25</f>
        <v>0.0122</v>
      </c>
      <c r="M25" s="22">
        <f>H16</f>
        <v>4500</v>
      </c>
      <c r="N25" s="109">
        <f t="shared" si="1"/>
        <v>54.900000000000006</v>
      </c>
      <c r="O25" s="16"/>
      <c r="P25" s="23">
        <f t="shared" si="2"/>
        <v>10.350000000000001</v>
      </c>
      <c r="Q25" s="110">
        <f t="shared" si="3"/>
        <v>0.23232323232323232</v>
      </c>
    </row>
    <row r="26" spans="4:17" ht="12.75">
      <c r="D26" s="16" t="s">
        <v>32</v>
      </c>
      <c r="E26" s="16"/>
      <c r="F26" s="17" t="s">
        <v>73</v>
      </c>
      <c r="G26" s="18"/>
      <c r="H26" s="108">
        <v>0.0007</v>
      </c>
      <c r="I26" s="20">
        <f>I25</f>
        <v>4500</v>
      </c>
      <c r="J26" s="109">
        <f t="shared" si="0"/>
        <v>3.15</v>
      </c>
      <c r="K26" s="16"/>
      <c r="L26" s="108">
        <f>'App.2-V BillImpact USL 150kwh'!L26</f>
        <v>0.0006</v>
      </c>
      <c r="M26" s="22">
        <f>M25</f>
        <v>4500</v>
      </c>
      <c r="N26" s="109">
        <f t="shared" si="1"/>
        <v>2.6999999999999997</v>
      </c>
      <c r="O26" s="16"/>
      <c r="P26" s="23">
        <f t="shared" si="2"/>
        <v>-0.4500000000000002</v>
      </c>
      <c r="Q26" s="110">
        <f t="shared" si="3"/>
        <v>-0.1428571428571429</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c r="G29" s="18"/>
      <c r="H29" s="108"/>
      <c r="I29" s="20"/>
      <c r="J29" s="109">
        <f t="shared" si="0"/>
        <v>0</v>
      </c>
      <c r="K29" s="16"/>
      <c r="L29" s="108"/>
      <c r="M29" s="22"/>
      <c r="N29" s="109">
        <f t="shared" si="1"/>
        <v>0</v>
      </c>
      <c r="O29" s="16"/>
      <c r="P29" s="23">
        <f t="shared" si="2"/>
        <v>0</v>
      </c>
      <c r="Q29" s="110">
        <f t="shared" si="3"/>
      </c>
    </row>
    <row r="30" spans="4:17" ht="12.75">
      <c r="D30" s="16" t="s">
        <v>36</v>
      </c>
      <c r="E30" s="16"/>
      <c r="F30" s="17"/>
      <c r="G30" s="18"/>
      <c r="H30" s="108"/>
      <c r="I30" s="20"/>
      <c r="J30" s="109">
        <f t="shared" si="0"/>
        <v>0</v>
      </c>
      <c r="K30" s="16"/>
      <c r="L30" s="108"/>
      <c r="M30" s="22"/>
      <c r="N30" s="109">
        <f t="shared" si="1"/>
        <v>0</v>
      </c>
      <c r="O30" s="16"/>
      <c r="P30" s="23">
        <f t="shared" si="2"/>
        <v>0</v>
      </c>
      <c r="Q30" s="110">
        <f t="shared" si="3"/>
      </c>
    </row>
    <row r="31" spans="4:17" ht="27" thickBot="1">
      <c r="D31" s="25" t="s">
        <v>37</v>
      </c>
      <c r="E31" s="16"/>
      <c r="F31" s="17"/>
      <c r="G31" s="18"/>
      <c r="H31" s="108"/>
      <c r="I31" s="20"/>
      <c r="J31" s="109">
        <f t="shared" si="0"/>
        <v>0</v>
      </c>
      <c r="K31" s="16"/>
      <c r="L31" s="108">
        <f>'App.2-V BillImpact USL 150kwh'!L31</f>
        <v>-0.0040594937132757015</v>
      </c>
      <c r="M31" s="22">
        <f>H16</f>
        <v>4500</v>
      </c>
      <c r="N31" s="109">
        <f t="shared" si="1"/>
        <v>-18.267721709740655</v>
      </c>
      <c r="O31" s="16"/>
      <c r="P31" s="23">
        <f t="shared" si="2"/>
        <v>-18.267721709740655</v>
      </c>
      <c r="Q31" s="110">
        <f t="shared" si="3"/>
      </c>
    </row>
    <row r="32" spans="4:17" ht="13.5" thickBot="1">
      <c r="D32" s="3" t="s">
        <v>38</v>
      </c>
      <c r="G32" s="29"/>
      <c r="H32" s="30"/>
      <c r="I32" s="31"/>
      <c r="J32" s="32">
        <f>SUM(J21:J31)</f>
        <v>60.480000000000004</v>
      </c>
      <c r="L32" s="30"/>
      <c r="M32" s="33"/>
      <c r="N32" s="32">
        <f>SUM(N21:N31)</f>
        <v>55.09967829025935</v>
      </c>
      <c r="P32" s="34">
        <f t="shared" si="2"/>
        <v>-5.380321709740656</v>
      </c>
      <c r="Q32" s="35">
        <f t="shared" si="3"/>
        <v>-0.08896034572983888</v>
      </c>
    </row>
    <row r="33" spans="4:19" ht="12.75">
      <c r="D33" s="36" t="s">
        <v>39</v>
      </c>
      <c r="E33" s="36"/>
      <c r="F33" s="37" t="s">
        <v>73</v>
      </c>
      <c r="G33" s="38"/>
      <c r="H33" s="111">
        <v>0.0054</v>
      </c>
      <c r="I33" s="39">
        <f>H16*(1+H48)</f>
        <v>4725.900000000001</v>
      </c>
      <c r="J33" s="112">
        <f>I33*H33</f>
        <v>25.519860000000005</v>
      </c>
      <c r="K33" s="36"/>
      <c r="L33" s="111">
        <v>0.0061</v>
      </c>
      <c r="M33" s="39">
        <f>H16*(1+L48)</f>
        <v>4736.489235009524</v>
      </c>
      <c r="N33" s="112">
        <f>M33*L33</f>
        <v>28.8925843335581</v>
      </c>
      <c r="O33" s="36"/>
      <c r="P33" s="41">
        <f t="shared" si="2"/>
        <v>3.3727243335580965</v>
      </c>
      <c r="Q33" s="113">
        <f t="shared" si="3"/>
        <v>0.13216076943831573</v>
      </c>
      <c r="R33" s="29"/>
      <c r="S33" s="29"/>
    </row>
    <row r="34" spans="4:19" ht="27" thickBot="1">
      <c r="D34" s="42" t="s">
        <v>40</v>
      </c>
      <c r="E34" s="36"/>
      <c r="F34" s="37" t="s">
        <v>73</v>
      </c>
      <c r="G34" s="38"/>
      <c r="H34" s="111">
        <v>0.0043</v>
      </c>
      <c r="I34" s="39">
        <f>I33</f>
        <v>4725.900000000001</v>
      </c>
      <c r="J34" s="112">
        <f>I34*H34</f>
        <v>20.32137</v>
      </c>
      <c r="K34" s="36"/>
      <c r="L34" s="111">
        <v>0.0047</v>
      </c>
      <c r="M34" s="40">
        <f>M33</f>
        <v>4736.489235009524</v>
      </c>
      <c r="N34" s="112">
        <f>M34*L34</f>
        <v>22.261499404544765</v>
      </c>
      <c r="O34" s="36"/>
      <c r="P34" s="41">
        <f t="shared" si="2"/>
        <v>1.9401294045447628</v>
      </c>
      <c r="Q34" s="113">
        <f t="shared" si="3"/>
        <v>0.09547237241114957</v>
      </c>
      <c r="R34" s="29"/>
      <c r="S34" s="29"/>
    </row>
    <row r="35" spans="4:19" ht="27" thickBot="1">
      <c r="D35" s="43" t="s">
        <v>41</v>
      </c>
      <c r="E35" s="16"/>
      <c r="F35" s="16"/>
      <c r="G35" s="18"/>
      <c r="H35" s="44"/>
      <c r="I35" s="45"/>
      <c r="J35" s="46">
        <f>SUM(J32:J34)</f>
        <v>106.32123000000001</v>
      </c>
      <c r="K35" s="47"/>
      <c r="L35" s="48"/>
      <c r="M35" s="49"/>
      <c r="N35" s="46">
        <f>SUM(N32:N34)</f>
        <v>106.25376202836222</v>
      </c>
      <c r="O35" s="47"/>
      <c r="P35" s="50">
        <f t="shared" si="2"/>
        <v>-0.06746797163779661</v>
      </c>
      <c r="Q35" s="51">
        <f t="shared" si="3"/>
        <v>-0.0006345672603467492</v>
      </c>
      <c r="R35" s="29"/>
      <c r="S35" s="29"/>
    </row>
    <row r="36" spans="4:17" ht="26.25">
      <c r="D36" s="25" t="s">
        <v>42</v>
      </c>
      <c r="E36" s="16"/>
      <c r="F36" s="17" t="s">
        <v>73</v>
      </c>
      <c r="G36" s="18"/>
      <c r="H36" s="19">
        <v>0.0065</v>
      </c>
      <c r="I36" s="20">
        <f>H16*(1+H48)</f>
        <v>4725.900000000001</v>
      </c>
      <c r="J36" s="21">
        <f aca="true" t="shared" si="4" ref="J36:J41">I36*H36</f>
        <v>30.71835</v>
      </c>
      <c r="K36" s="16"/>
      <c r="L36" s="19">
        <v>0.0065</v>
      </c>
      <c r="M36" s="20">
        <f>H16*(1+L48)</f>
        <v>4736.489235009524</v>
      </c>
      <c r="N36" s="21">
        <f aca="true" t="shared" si="5" ref="N36:N41">M36*L36</f>
        <v>30.787180027561906</v>
      </c>
      <c r="O36" s="16"/>
      <c r="P36" s="23">
        <f t="shared" si="2"/>
        <v>0.06883002756190493</v>
      </c>
      <c r="Q36" s="24">
        <f t="shared" si="3"/>
        <v>0.0022406811421155407</v>
      </c>
    </row>
    <row r="37" spans="4:17" ht="26.25">
      <c r="D37" s="25" t="s">
        <v>43</v>
      </c>
      <c r="E37" s="16"/>
      <c r="F37" s="17"/>
      <c r="G37" s="18"/>
      <c r="H37" s="19"/>
      <c r="I37" s="20"/>
      <c r="J37" s="21">
        <f t="shared" si="4"/>
        <v>0</v>
      </c>
      <c r="K37" s="16"/>
      <c r="L37" s="19"/>
      <c r="M37" s="22"/>
      <c r="N37" s="21">
        <f t="shared" si="5"/>
        <v>0</v>
      </c>
      <c r="O37" s="16"/>
      <c r="P37" s="23">
        <f t="shared" si="2"/>
        <v>0</v>
      </c>
      <c r="Q37" s="24">
        <f t="shared" si="3"/>
      </c>
    </row>
    <row r="38" spans="4:17" ht="12.75">
      <c r="D38" s="25" t="s">
        <v>44</v>
      </c>
      <c r="E38" s="16"/>
      <c r="F38" s="17"/>
      <c r="G38" s="18"/>
      <c r="H38" s="52"/>
      <c r="I38" s="20"/>
      <c r="J38" s="21">
        <f t="shared" si="4"/>
        <v>0</v>
      </c>
      <c r="K38" s="16"/>
      <c r="L38" s="19"/>
      <c r="M38" s="22"/>
      <c r="N38" s="21">
        <f t="shared" si="5"/>
        <v>0</v>
      </c>
      <c r="O38" s="16"/>
      <c r="P38" s="23">
        <f t="shared" si="2"/>
        <v>0</v>
      </c>
      <c r="Q38" s="24">
        <f t="shared" si="3"/>
      </c>
    </row>
    <row r="39" spans="4:17" ht="12.75">
      <c r="D39" s="16" t="s">
        <v>45</v>
      </c>
      <c r="E39" s="16"/>
      <c r="F39" s="17"/>
      <c r="G39" s="18"/>
      <c r="H39" s="19"/>
      <c r="I39" s="20"/>
      <c r="J39" s="21">
        <f t="shared" si="4"/>
        <v>0</v>
      </c>
      <c r="K39" s="16"/>
      <c r="L39" s="19"/>
      <c r="M39" s="22"/>
      <c r="N39" s="21">
        <f t="shared" si="5"/>
        <v>0</v>
      </c>
      <c r="O39" s="16"/>
      <c r="P39" s="23">
        <f t="shared" si="2"/>
        <v>0</v>
      </c>
      <c r="Q39" s="24">
        <f t="shared" si="3"/>
      </c>
    </row>
    <row r="40" spans="4:17" ht="12.75">
      <c r="D40" s="16" t="s">
        <v>46</v>
      </c>
      <c r="E40" s="16"/>
      <c r="F40" s="17" t="s">
        <v>73</v>
      </c>
      <c r="G40" s="18"/>
      <c r="H40" s="19">
        <v>0.007</v>
      </c>
      <c r="I40" s="20">
        <f>I36</f>
        <v>4725.900000000001</v>
      </c>
      <c r="J40" s="21">
        <f t="shared" si="4"/>
        <v>33.081300000000006</v>
      </c>
      <c r="K40" s="16"/>
      <c r="L40" s="19">
        <v>0.007</v>
      </c>
      <c r="M40" s="22">
        <f>M36</f>
        <v>4736.489235009524</v>
      </c>
      <c r="N40" s="21">
        <f t="shared" si="5"/>
        <v>33.155424645066674</v>
      </c>
      <c r="O40" s="16"/>
      <c r="P40" s="23">
        <f t="shared" si="2"/>
        <v>0.07412464506666794</v>
      </c>
      <c r="Q40" s="24">
        <f t="shared" si="3"/>
        <v>0.0022406811421155737</v>
      </c>
    </row>
    <row r="41" spans="4:17" ht="13.5" thickBot="1">
      <c r="D41" s="16" t="s">
        <v>47</v>
      </c>
      <c r="E41" s="16"/>
      <c r="F41" s="17" t="s">
        <v>73</v>
      </c>
      <c r="G41" s="18"/>
      <c r="H41" s="19">
        <v>0.068</v>
      </c>
      <c r="I41" s="39">
        <f>I40</f>
        <v>4725.900000000001</v>
      </c>
      <c r="J41" s="21">
        <f t="shared" si="4"/>
        <v>321.36120000000005</v>
      </c>
      <c r="K41" s="16"/>
      <c r="L41" s="19">
        <v>0.068</v>
      </c>
      <c r="M41" s="22">
        <f>M36</f>
        <v>4736.489235009524</v>
      </c>
      <c r="N41" s="21">
        <f t="shared" si="5"/>
        <v>322.0812679806477</v>
      </c>
      <c r="O41" s="16"/>
      <c r="P41" s="23">
        <f t="shared" si="2"/>
        <v>0.7200679806476273</v>
      </c>
      <c r="Q41" s="24">
        <f t="shared" si="3"/>
        <v>0.002240681142115561</v>
      </c>
    </row>
    <row r="42" spans="4:17" ht="13.5" thickBot="1">
      <c r="D42" s="56" t="s">
        <v>48</v>
      </c>
      <c r="E42" s="16"/>
      <c r="F42" s="16"/>
      <c r="G42" s="16"/>
      <c r="H42" s="57"/>
      <c r="I42" s="58"/>
      <c r="J42" s="46">
        <f>SUM(J35:J41)</f>
        <v>491.48208000000005</v>
      </c>
      <c r="K42" s="47"/>
      <c r="L42" s="59"/>
      <c r="M42" s="60"/>
      <c r="N42" s="46">
        <f>SUM(N35:N41)</f>
        <v>492.27763468163846</v>
      </c>
      <c r="O42" s="47"/>
      <c r="P42" s="50">
        <f t="shared" si="2"/>
        <v>0.7955546816384071</v>
      </c>
      <c r="Q42" s="51">
        <f t="shared" si="3"/>
        <v>0.0016186850223275833</v>
      </c>
    </row>
    <row r="43" spans="4:17" ht="13.5" thickBot="1">
      <c r="D43" s="18" t="s">
        <v>49</v>
      </c>
      <c r="E43" s="16"/>
      <c r="F43" s="16"/>
      <c r="G43" s="16"/>
      <c r="H43" s="61">
        <v>0.13</v>
      </c>
      <c r="I43" s="62"/>
      <c r="J43" s="63">
        <f>J42*H43</f>
        <v>63.89267040000001</v>
      </c>
      <c r="K43" s="16"/>
      <c r="L43" s="61">
        <v>0.13</v>
      </c>
      <c r="M43" s="64"/>
      <c r="N43" s="63">
        <f>N42*L43</f>
        <v>63.996092508613</v>
      </c>
      <c r="O43" s="16"/>
      <c r="P43" s="23">
        <f t="shared" si="2"/>
        <v>0.10342210861299606</v>
      </c>
      <c r="Q43" s="24">
        <f t="shared" si="3"/>
        <v>0.0016186850223276323</v>
      </c>
    </row>
    <row r="44" spans="4:17" ht="27" thickBot="1">
      <c r="D44" s="43" t="s">
        <v>50</v>
      </c>
      <c r="E44" s="16"/>
      <c r="F44" s="16"/>
      <c r="G44" s="16"/>
      <c r="H44" s="44"/>
      <c r="I44" s="45"/>
      <c r="J44" s="46">
        <f>ROUND(SUM(J42:J43),2)</f>
        <v>555.37</v>
      </c>
      <c r="K44" s="47"/>
      <c r="L44" s="48"/>
      <c r="M44" s="49"/>
      <c r="N44" s="46">
        <f>ROUND(SUM(N42:N43),2)</f>
        <v>556.27</v>
      </c>
      <c r="O44" s="47"/>
      <c r="P44" s="50">
        <f t="shared" si="2"/>
        <v>0.8999999999999773</v>
      </c>
      <c r="Q44" s="51">
        <f t="shared" si="3"/>
        <v>0.00162054126078106</v>
      </c>
    </row>
    <row r="45" spans="4:17" ht="29.25" thickBot="1">
      <c r="D45" s="83" t="s">
        <v>102</v>
      </c>
      <c r="E45" s="16"/>
      <c r="F45" s="16"/>
      <c r="G45" s="16"/>
      <c r="H45" s="44"/>
      <c r="I45" s="80"/>
      <c r="J45" s="46">
        <f>ROUND(-J44*10%,2)</f>
        <v>-55.54</v>
      </c>
      <c r="K45" s="47"/>
      <c r="L45" s="48"/>
      <c r="M45" s="49"/>
      <c r="N45" s="46">
        <f>ROUND(-N44*10%,2)</f>
        <v>-55.63</v>
      </c>
      <c r="O45" s="47"/>
      <c r="P45" s="50">
        <f t="shared" si="2"/>
        <v>-0.09000000000000341</v>
      </c>
      <c r="Q45" s="51">
        <f t="shared" si="3"/>
        <v>0.0016204537270436336</v>
      </c>
    </row>
    <row r="46" spans="4:17" ht="13.5" thickBot="1">
      <c r="D46" s="43" t="s">
        <v>55</v>
      </c>
      <c r="E46" s="16"/>
      <c r="F46" s="16"/>
      <c r="G46" s="16"/>
      <c r="H46" s="82"/>
      <c r="I46" s="81"/>
      <c r="J46" s="75">
        <f>J44+J45</f>
        <v>499.83</v>
      </c>
      <c r="K46" s="47"/>
      <c r="L46" s="79"/>
      <c r="M46" s="78"/>
      <c r="N46" s="75">
        <f>N44+N45</f>
        <v>500.64</v>
      </c>
      <c r="O46" s="47"/>
      <c r="P46" s="77">
        <f t="shared" si="2"/>
        <v>0.8100000000000023</v>
      </c>
      <c r="Q46" s="76">
        <f t="shared" si="3"/>
        <v>0.0016205509873356988</v>
      </c>
    </row>
    <row r="47" ht="10.5" customHeight="1"/>
    <row r="48" spans="4:14" ht="12.75">
      <c r="D48" s="3" t="s">
        <v>51</v>
      </c>
      <c r="H48" s="65">
        <v>0.0502</v>
      </c>
      <c r="I48" s="121"/>
      <c r="J48" s="121"/>
      <c r="K48" s="121"/>
      <c r="L48" s="120">
        <v>0.05255316333545</v>
      </c>
      <c r="N48" s="122"/>
    </row>
    <row r="49" ht="10.5" customHeight="1"/>
    <row r="50" ht="10.5" customHeight="1">
      <c r="C50" s="107" t="s">
        <v>103</v>
      </c>
    </row>
    <row r="51" ht="10.5" customHeight="1"/>
    <row r="52" spans="2:3" ht="12.75">
      <c r="B52" s="3"/>
      <c r="C52" s="2" t="s">
        <v>59</v>
      </c>
    </row>
    <row r="53" ht="12.75">
      <c r="C53" s="2" t="s">
        <v>60</v>
      </c>
    </row>
    <row r="55" ht="12.75">
      <c r="C55" s="2" t="s">
        <v>101</v>
      </c>
    </row>
    <row r="56" ht="12.75">
      <c r="C56" s="2" t="s">
        <v>61</v>
      </c>
    </row>
    <row r="58" ht="12.75">
      <c r="C58" s="2" t="s">
        <v>62</v>
      </c>
    </row>
    <row r="59" ht="12.75">
      <c r="C59" s="2" t="s">
        <v>63</v>
      </c>
    </row>
    <row r="60" ht="12.75">
      <c r="C60" s="2" t="s">
        <v>64</v>
      </c>
    </row>
    <row r="61" ht="12.75">
      <c r="C61" s="2" t="s">
        <v>65</v>
      </c>
    </row>
    <row r="62" ht="12.75">
      <c r="C62" s="2" t="s">
        <v>66</v>
      </c>
    </row>
  </sheetData>
  <sheetProtection selectLockedCells="1"/>
  <mergeCells count="9">
    <mergeCell ref="P7:Q7"/>
    <mergeCell ref="D10:Q10"/>
    <mergeCell ref="D11:Q11"/>
    <mergeCell ref="P1:Q1"/>
    <mergeCell ref="P2:Q2"/>
    <mergeCell ref="C3:M3"/>
    <mergeCell ref="P3:Q3"/>
    <mergeCell ref="P4:Q4"/>
    <mergeCell ref="P5:Q5"/>
  </mergeCells>
  <dataValidations count="3">
    <dataValidation allowBlank="1" showInputMessage="1" showErrorMessage="1" promptTitle="Date Format" prompt="E.g:  &quot;August 1, 2011&quot;" sqref="P7"/>
    <dataValidation type="list" allowBlank="1" showInputMessage="1" showErrorMessage="1" prompt="Select Charge Unit - monthly, per kWh, per kW" sqref="F33:F34 F21:F31 F36:F41">
      <formula1>"Monthly, per kWh, per kW"</formula1>
    </dataValidation>
    <dataValidation type="list" allowBlank="1" showInputMessage="1" showErrorMessage="1" sqref="G36:G41 G21:G31 G33:G34">
      <formula1>$B$14:$B$19</formula1>
    </dataValidation>
  </dataValidations>
  <printOptions/>
  <pageMargins left="0.75" right="0.75" top="1" bottom="1" header="0.5" footer="0.5"/>
  <pageSetup fitToHeight="1" fitToWidth="1" horizontalDpi="600" verticalDpi="600" orientation="portrait" scale="64" r:id="rId1"/>
  <headerFooter alignWithMargins="0">
    <oddFooter>&amp;C9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2:G5"/>
  <sheetViews>
    <sheetView showGridLines="0" zoomScalePageLayoutView="0" workbookViewId="0" topLeftCell="A1">
      <selection activeCell="H67" sqref="H67"/>
    </sheetView>
  </sheetViews>
  <sheetFormatPr defaultColWidth="9.140625" defaultRowHeight="12.75"/>
  <cols>
    <col min="1" max="1" width="2.7109375" style="0" customWidth="1"/>
    <col min="2" max="2" width="81.8515625" style="0" customWidth="1"/>
  </cols>
  <sheetData>
    <row r="2" spans="2:7" ht="17.25">
      <c r="B2" s="141" t="s">
        <v>79</v>
      </c>
      <c r="C2" s="141"/>
      <c r="D2" s="141"/>
      <c r="E2" s="141"/>
      <c r="F2" s="141"/>
      <c r="G2" s="141"/>
    </row>
    <row r="3" spans="2:7" ht="17.25">
      <c r="B3" s="141" t="s">
        <v>71</v>
      </c>
      <c r="C3" s="141"/>
      <c r="D3" s="141"/>
      <c r="E3" s="141"/>
      <c r="F3" s="141"/>
      <c r="G3" s="141"/>
    </row>
    <row r="5" spans="2:7" ht="51" customHeight="1">
      <c r="B5" s="140" t="s">
        <v>0</v>
      </c>
      <c r="C5" s="140"/>
      <c r="D5" s="140"/>
      <c r="E5" s="140"/>
      <c r="F5" s="140"/>
      <c r="G5" s="140"/>
    </row>
  </sheetData>
  <sheetProtection/>
  <mergeCells count="3">
    <mergeCell ref="B5:G5"/>
    <mergeCell ref="B2:G2"/>
    <mergeCell ref="B3:G3"/>
  </mergeCells>
  <printOptions/>
  <pageMargins left="0.75" right="0.75" top="1" bottom="1" header="0.5" footer="0.5"/>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63"/>
  <sheetViews>
    <sheetView showGridLines="0" zoomScalePageLayoutView="0" workbookViewId="0" topLeftCell="A14">
      <selection activeCell="S38" sqref="S38"/>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9.7109375" style="2" customWidth="1"/>
    <col min="11" max="11" width="2.8515625" style="2" customWidth="1"/>
    <col min="12" max="12" width="12.140625" style="2" customWidth="1"/>
    <col min="13" max="13" width="8.57421875" style="2" customWidth="1"/>
    <col min="14" max="14" width="9.7109375" style="2" customWidth="1"/>
    <col min="15" max="15" width="2.8515625" style="2" customWidth="1"/>
    <col min="16" max="16" width="8.8515625" style="2" customWidth="1"/>
    <col min="17" max="17" width="10.00390625" style="2" bestFit="1" customWidth="1"/>
    <col min="18" max="18" width="12.7109375" style="2" bestFit="1" customWidth="1"/>
    <col min="19" max="19" width="10.8515625" style="2" bestFit="1" customWidth="1"/>
    <col min="20"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8" t="s">
        <v>56</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250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20" ht="12.75" customHeight="1">
      <c r="B19" s="7"/>
      <c r="D19" s="99"/>
      <c r="F19" s="129" t="s">
        <v>21</v>
      </c>
      <c r="G19" s="10"/>
      <c r="H19" s="11" t="s">
        <v>22</v>
      </c>
      <c r="I19" s="11" t="s">
        <v>23</v>
      </c>
      <c r="J19" s="12" t="s">
        <v>24</v>
      </c>
      <c r="L19" s="11" t="s">
        <v>22</v>
      </c>
      <c r="M19" s="13" t="s">
        <v>23</v>
      </c>
      <c r="N19" s="12" t="s">
        <v>24</v>
      </c>
      <c r="P19" s="131" t="s">
        <v>25</v>
      </c>
      <c r="Q19" s="133" t="s">
        <v>26</v>
      </c>
      <c r="S19" s="127"/>
      <c r="T19" s="127"/>
    </row>
    <row r="20" spans="2:20" ht="12.75">
      <c r="B20" s="7"/>
      <c r="D20" s="99"/>
      <c r="F20" s="130"/>
      <c r="G20" s="10"/>
      <c r="H20" s="14" t="s">
        <v>13</v>
      </c>
      <c r="I20" s="14"/>
      <c r="J20" s="15" t="s">
        <v>13</v>
      </c>
      <c r="L20" s="14" t="s">
        <v>13</v>
      </c>
      <c r="M20" s="15"/>
      <c r="N20" s="15" t="s">
        <v>13</v>
      </c>
      <c r="P20" s="132"/>
      <c r="Q20" s="128"/>
      <c r="S20" s="127"/>
      <c r="T20" s="127"/>
    </row>
    <row r="21" spans="4:20" ht="12.75">
      <c r="D21" s="16" t="s">
        <v>27</v>
      </c>
      <c r="E21" s="16"/>
      <c r="F21" s="17" t="s">
        <v>72</v>
      </c>
      <c r="G21" s="18"/>
      <c r="H21" s="108">
        <v>15.11</v>
      </c>
      <c r="I21" s="20">
        <v>1</v>
      </c>
      <c r="J21" s="109">
        <f aca="true" t="shared" si="0" ref="J21:J32">I21*H21</f>
        <v>15.11</v>
      </c>
      <c r="K21" s="16"/>
      <c r="L21" s="108">
        <f>'App.2-V Bill Impacts Res 100kwh'!L21</f>
        <v>18.49</v>
      </c>
      <c r="M21" s="22">
        <v>1</v>
      </c>
      <c r="N21" s="109">
        <f aca="true" t="shared" si="1" ref="N21:N32">M21*L21</f>
        <v>18.49</v>
      </c>
      <c r="O21" s="16"/>
      <c r="P21" s="23">
        <f aca="true" t="shared" si="2" ref="P21:P47">N21-J21</f>
        <v>3.379999999999999</v>
      </c>
      <c r="Q21" s="110">
        <f aca="true" t="shared" si="3" ref="Q21:Q47">IF((J21)=0,"",(P21/J21))</f>
        <v>0.22369291859695561</v>
      </c>
      <c r="R21" s="125"/>
      <c r="S21" s="127"/>
      <c r="T21" s="127"/>
    </row>
    <row r="22" spans="4:20" ht="12.75">
      <c r="D22" s="16" t="s">
        <v>28</v>
      </c>
      <c r="E22" s="16"/>
      <c r="F22" s="17" t="s">
        <v>72</v>
      </c>
      <c r="G22" s="18"/>
      <c r="H22" s="108">
        <v>1.99</v>
      </c>
      <c r="I22" s="20">
        <v>1</v>
      </c>
      <c r="J22" s="109">
        <f t="shared" si="0"/>
        <v>1.99</v>
      </c>
      <c r="K22" s="16"/>
      <c r="L22" s="108">
        <f>'App.2-V Bill Impacts Res 100kwh'!L22</f>
        <v>4.823326097231227</v>
      </c>
      <c r="M22" s="22">
        <f>'App.2-V Bill Impacts Res 100kwh'!M22</f>
        <v>1</v>
      </c>
      <c r="N22" s="109">
        <f t="shared" si="1"/>
        <v>4.823326097231227</v>
      </c>
      <c r="O22" s="16"/>
      <c r="P22" s="23">
        <f t="shared" si="2"/>
        <v>2.833326097231227</v>
      </c>
      <c r="Q22" s="110">
        <f t="shared" si="3"/>
        <v>1.4237819584076519</v>
      </c>
      <c r="R22" s="125"/>
      <c r="S22" s="127"/>
      <c r="T22" s="127"/>
    </row>
    <row r="23" spans="4:20" ht="12.75">
      <c r="D23" s="16" t="s">
        <v>29</v>
      </c>
      <c r="E23" s="16"/>
      <c r="F23" s="17"/>
      <c r="G23" s="18"/>
      <c r="H23" s="108"/>
      <c r="I23" s="20"/>
      <c r="J23" s="109">
        <f t="shared" si="0"/>
        <v>0</v>
      </c>
      <c r="K23" s="16"/>
      <c r="L23" s="108"/>
      <c r="M23" s="22"/>
      <c r="N23" s="109">
        <f t="shared" si="1"/>
        <v>0</v>
      </c>
      <c r="O23" s="16"/>
      <c r="P23" s="23">
        <f t="shared" si="2"/>
        <v>0</v>
      </c>
      <c r="Q23" s="110">
        <f t="shared" si="3"/>
      </c>
      <c r="R23" s="125"/>
      <c r="S23" s="127"/>
      <c r="T23" s="127"/>
    </row>
    <row r="24" spans="4:20" ht="12.75">
      <c r="D24" s="16" t="s">
        <v>30</v>
      </c>
      <c r="E24" s="16"/>
      <c r="F24" s="17"/>
      <c r="G24" s="18"/>
      <c r="H24" s="108"/>
      <c r="I24" s="20"/>
      <c r="J24" s="109">
        <f t="shared" si="0"/>
        <v>0</v>
      </c>
      <c r="K24" s="16"/>
      <c r="L24" s="108"/>
      <c r="M24" s="22"/>
      <c r="N24" s="109">
        <f t="shared" si="1"/>
        <v>0</v>
      </c>
      <c r="O24" s="16"/>
      <c r="P24" s="23">
        <f t="shared" si="2"/>
        <v>0</v>
      </c>
      <c r="Q24" s="110">
        <f t="shared" si="3"/>
      </c>
      <c r="R24" s="125"/>
      <c r="S24" s="127"/>
      <c r="T24" s="127"/>
    </row>
    <row r="25" spans="4:20" ht="12.75">
      <c r="D25" s="16" t="s">
        <v>31</v>
      </c>
      <c r="E25" s="16"/>
      <c r="F25" s="17" t="s">
        <v>73</v>
      </c>
      <c r="G25" s="18"/>
      <c r="H25" s="108">
        <v>0.0086</v>
      </c>
      <c r="I25" s="20">
        <f>H16</f>
        <v>250</v>
      </c>
      <c r="J25" s="109">
        <f t="shared" si="0"/>
        <v>2.15</v>
      </c>
      <c r="K25" s="16"/>
      <c r="L25" s="108">
        <f>'App.2-V Bill Impacts Res 100kwh'!L25</f>
        <v>0.0105</v>
      </c>
      <c r="M25" s="22">
        <f>H16</f>
        <v>250</v>
      </c>
      <c r="N25" s="109">
        <f t="shared" si="1"/>
        <v>2.625</v>
      </c>
      <c r="O25" s="16"/>
      <c r="P25" s="23">
        <f t="shared" si="2"/>
        <v>0.4750000000000001</v>
      </c>
      <c r="Q25" s="110">
        <f t="shared" si="3"/>
        <v>0.2209302325581396</v>
      </c>
      <c r="R25" s="125"/>
      <c r="S25" s="127"/>
      <c r="T25" s="127"/>
    </row>
    <row r="26" spans="4:20" ht="12.75">
      <c r="D26" s="16" t="s">
        <v>32</v>
      </c>
      <c r="E26" s="16"/>
      <c r="F26" s="17" t="s">
        <v>73</v>
      </c>
      <c r="G26" s="18"/>
      <c r="H26" s="108">
        <v>0.0007</v>
      </c>
      <c r="I26" s="20">
        <f>I25</f>
        <v>250</v>
      </c>
      <c r="J26" s="109">
        <f t="shared" si="0"/>
        <v>0.175</v>
      </c>
      <c r="K26" s="16"/>
      <c r="L26" s="108">
        <f>'App.2-V Bill Impacts Res 100kwh'!L26</f>
        <v>0.0007</v>
      </c>
      <c r="M26" s="22">
        <f>M25</f>
        <v>250</v>
      </c>
      <c r="N26" s="109">
        <f t="shared" si="1"/>
        <v>0.175</v>
      </c>
      <c r="O26" s="16"/>
      <c r="P26" s="23">
        <f t="shared" si="2"/>
        <v>0</v>
      </c>
      <c r="Q26" s="110">
        <f t="shared" si="3"/>
        <v>0</v>
      </c>
      <c r="R26" s="125"/>
      <c r="S26" s="127"/>
      <c r="T26" s="127"/>
    </row>
    <row r="27" spans="4:21" ht="12.75">
      <c r="D27" s="16" t="s">
        <v>33</v>
      </c>
      <c r="E27" s="16"/>
      <c r="F27" s="17"/>
      <c r="G27" s="18"/>
      <c r="H27" s="108"/>
      <c r="I27" s="20"/>
      <c r="J27" s="109">
        <f t="shared" si="0"/>
        <v>0</v>
      </c>
      <c r="K27" s="16"/>
      <c r="L27" s="108"/>
      <c r="M27" s="22"/>
      <c r="N27" s="109">
        <f t="shared" si="1"/>
        <v>0</v>
      </c>
      <c r="O27" s="16"/>
      <c r="P27" s="23">
        <f t="shared" si="2"/>
        <v>0</v>
      </c>
      <c r="Q27" s="110">
        <f t="shared" si="3"/>
      </c>
      <c r="R27" s="125"/>
      <c r="S27" s="127"/>
      <c r="T27" s="127"/>
      <c r="U27" s="127"/>
    </row>
    <row r="28" spans="4:20" ht="12.75">
      <c r="D28" s="16" t="s">
        <v>34</v>
      </c>
      <c r="E28" s="16"/>
      <c r="F28" s="17"/>
      <c r="G28" s="18"/>
      <c r="H28" s="108"/>
      <c r="I28" s="20"/>
      <c r="J28" s="109">
        <f t="shared" si="0"/>
        <v>0</v>
      </c>
      <c r="K28" s="16"/>
      <c r="L28" s="108"/>
      <c r="M28" s="22"/>
      <c r="N28" s="109">
        <f t="shared" si="1"/>
        <v>0</v>
      </c>
      <c r="O28" s="16"/>
      <c r="P28" s="23">
        <f t="shared" si="2"/>
        <v>0</v>
      </c>
      <c r="Q28" s="110">
        <f t="shared" si="3"/>
      </c>
      <c r="R28" s="125"/>
      <c r="S28" s="127"/>
      <c r="T28" s="127"/>
    </row>
    <row r="29" spans="4:20"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c r="R29" s="126"/>
      <c r="S29" s="127"/>
      <c r="T29" s="127"/>
    </row>
    <row r="30" spans="4:20" ht="12.75">
      <c r="D30" s="16" t="s">
        <v>36</v>
      </c>
      <c r="E30" s="16"/>
      <c r="F30" s="17" t="s">
        <v>73</v>
      </c>
      <c r="G30" s="18"/>
      <c r="H30" s="108"/>
      <c r="I30" s="20"/>
      <c r="J30" s="109">
        <f t="shared" si="0"/>
        <v>0</v>
      </c>
      <c r="K30" s="16"/>
      <c r="L30" s="108">
        <f>'App.2-V Bill Impacts Res 100kwh'!L30</f>
        <v>0.0005</v>
      </c>
      <c r="M30" s="22">
        <f>H16</f>
        <v>250</v>
      </c>
      <c r="N30" s="109">
        <f t="shared" si="1"/>
        <v>0.125</v>
      </c>
      <c r="O30" s="16"/>
      <c r="P30" s="23">
        <f t="shared" si="2"/>
        <v>0.125</v>
      </c>
      <c r="Q30" s="110">
        <f t="shared" si="3"/>
      </c>
      <c r="R30" s="126"/>
      <c r="S30" s="127"/>
      <c r="T30" s="127"/>
    </row>
    <row r="31" spans="4:19" ht="26.25">
      <c r="D31" s="25" t="s">
        <v>37</v>
      </c>
      <c r="E31" s="16"/>
      <c r="F31" s="17" t="s">
        <v>73</v>
      </c>
      <c r="G31" s="18"/>
      <c r="H31" s="108"/>
      <c r="I31" s="20"/>
      <c r="J31" s="109">
        <f t="shared" si="0"/>
        <v>0</v>
      </c>
      <c r="K31" s="16"/>
      <c r="L31" s="108">
        <f>'App.2-V Bill Impacts Res 100kwh'!L31</f>
        <v>-0.005455093448542674</v>
      </c>
      <c r="M31" s="22">
        <f>H16</f>
        <v>250</v>
      </c>
      <c r="N31" s="109">
        <f t="shared" si="1"/>
        <v>-1.3637733621356685</v>
      </c>
      <c r="O31" s="16"/>
      <c r="P31" s="23">
        <f t="shared" si="2"/>
        <v>-1.3637733621356685</v>
      </c>
      <c r="Q31" s="110">
        <f t="shared" si="3"/>
      </c>
      <c r="R31" s="126"/>
      <c r="S31" s="126"/>
    </row>
    <row r="32" spans="4:19" ht="13.5" thickBot="1">
      <c r="D32" s="115"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c r="R32" s="126"/>
      <c r="S32" s="126"/>
    </row>
    <row r="33" spans="4:17" ht="13.5" thickBot="1">
      <c r="D33" s="3" t="s">
        <v>38</v>
      </c>
      <c r="G33" s="29"/>
      <c r="H33" s="30"/>
      <c r="I33" s="31"/>
      <c r="J33" s="32">
        <f>SUM(J21:J32)</f>
        <v>19.424999999999997</v>
      </c>
      <c r="L33" s="30"/>
      <c r="M33" s="33"/>
      <c r="N33" s="32">
        <f>SUM(N21:N32)</f>
        <v>24.87455273509556</v>
      </c>
      <c r="P33" s="34">
        <f>N33-J33</f>
        <v>5.449552735095562</v>
      </c>
      <c r="Q33" s="35">
        <f t="shared" si="3"/>
        <v>0.2805432553459749</v>
      </c>
    </row>
    <row r="34" spans="4:17" ht="12.75">
      <c r="D34" s="36" t="s">
        <v>39</v>
      </c>
      <c r="E34" s="36"/>
      <c r="F34" s="37" t="s">
        <v>73</v>
      </c>
      <c r="G34" s="38"/>
      <c r="H34" s="111">
        <v>0.0059</v>
      </c>
      <c r="I34" s="39">
        <f>H16*(1+H49)</f>
        <v>262.55</v>
      </c>
      <c r="J34" s="112">
        <f>I34*H34</f>
        <v>1.549045</v>
      </c>
      <c r="K34" s="36"/>
      <c r="L34" s="111">
        <v>0.0066</v>
      </c>
      <c r="M34" s="40">
        <f>H16*(1+L49)</f>
        <v>263.13829083386247</v>
      </c>
      <c r="N34" s="112">
        <f>M34*L34</f>
        <v>1.7367127195034924</v>
      </c>
      <c r="O34" s="36"/>
      <c r="P34" s="41">
        <f t="shared" si="2"/>
        <v>0.18766771950349237</v>
      </c>
      <c r="Q34" s="113">
        <f t="shared" si="3"/>
        <v>0.12115059246406164</v>
      </c>
    </row>
    <row r="35" spans="4:17" ht="27" thickBot="1">
      <c r="D35" s="42" t="s">
        <v>40</v>
      </c>
      <c r="E35" s="36"/>
      <c r="F35" s="37" t="s">
        <v>73</v>
      </c>
      <c r="G35" s="38"/>
      <c r="H35" s="111">
        <v>0.0049</v>
      </c>
      <c r="I35" s="39">
        <f>I34</f>
        <v>262.55</v>
      </c>
      <c r="J35" s="112">
        <f>I35*H35</f>
        <v>1.286495</v>
      </c>
      <c r="K35" s="36"/>
      <c r="L35" s="111">
        <v>0.0054</v>
      </c>
      <c r="M35" s="40">
        <f>M34</f>
        <v>263.13829083386247</v>
      </c>
      <c r="N35" s="112">
        <f>M35*L35</f>
        <v>1.4209467705028573</v>
      </c>
      <c r="O35" s="36"/>
      <c r="P35" s="41">
        <f t="shared" si="2"/>
        <v>0.1344517705028574</v>
      </c>
      <c r="Q35" s="113">
        <f t="shared" si="3"/>
        <v>0.10451013840151528</v>
      </c>
    </row>
    <row r="36" spans="4:17" ht="27" thickBot="1">
      <c r="D36" s="43" t="s">
        <v>41</v>
      </c>
      <c r="E36" s="16"/>
      <c r="F36" s="16"/>
      <c r="G36" s="18"/>
      <c r="H36" s="44"/>
      <c r="I36" s="45"/>
      <c r="J36" s="46">
        <f>SUM(J33:J35)</f>
        <v>22.260539999999995</v>
      </c>
      <c r="K36" s="47"/>
      <c r="L36" s="48"/>
      <c r="M36" s="49"/>
      <c r="N36" s="46">
        <f>SUM(N33:N35)</f>
        <v>28.03221222510191</v>
      </c>
      <c r="O36" s="47"/>
      <c r="P36" s="50">
        <f t="shared" si="2"/>
        <v>5.771672225101916</v>
      </c>
      <c r="Q36" s="51">
        <f t="shared" si="3"/>
        <v>0.25927817676938286</v>
      </c>
    </row>
    <row r="37" spans="4:17" ht="26.25">
      <c r="D37" s="25" t="s">
        <v>42</v>
      </c>
      <c r="E37" s="16"/>
      <c r="F37" s="17" t="s">
        <v>73</v>
      </c>
      <c r="G37" s="18"/>
      <c r="H37" s="19">
        <v>0.0065</v>
      </c>
      <c r="I37" s="20">
        <f>I35</f>
        <v>262.55</v>
      </c>
      <c r="J37" s="21">
        <f aca="true" t="shared" si="4" ref="J37:J42">I37*H37</f>
        <v>1.706575</v>
      </c>
      <c r="K37" s="16"/>
      <c r="L37" s="19">
        <v>0.0065</v>
      </c>
      <c r="M37" s="22">
        <f>M35</f>
        <v>263.13829083386247</v>
      </c>
      <c r="N37" s="21">
        <f aca="true" t="shared" si="5" ref="N37:N42">M37*L37</f>
        <v>1.710398890420106</v>
      </c>
      <c r="O37" s="16"/>
      <c r="P37" s="23">
        <f t="shared" si="2"/>
        <v>0.003823890420106002</v>
      </c>
      <c r="Q37" s="24">
        <f t="shared" si="3"/>
        <v>0.002240681142115642</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262.55</v>
      </c>
      <c r="J41" s="21">
        <f t="shared" si="4"/>
        <v>1.8378500000000002</v>
      </c>
      <c r="K41" s="16"/>
      <c r="L41" s="19">
        <v>0.007</v>
      </c>
      <c r="M41" s="22">
        <f>M37</f>
        <v>263.13829083386247</v>
      </c>
      <c r="N41" s="21">
        <f t="shared" si="5"/>
        <v>1.8419680358370374</v>
      </c>
      <c r="O41" s="16"/>
      <c r="P41" s="23">
        <f t="shared" si="2"/>
        <v>0.004118035837037182</v>
      </c>
      <c r="Q41" s="24">
        <f t="shared" si="3"/>
        <v>0.002240681142115614</v>
      </c>
    </row>
    <row r="42" spans="4:17" ht="13.5" thickBot="1">
      <c r="D42" s="16" t="s">
        <v>47</v>
      </c>
      <c r="E42" s="16"/>
      <c r="F42" s="17" t="s">
        <v>73</v>
      </c>
      <c r="G42" s="18"/>
      <c r="H42" s="19">
        <v>0.068</v>
      </c>
      <c r="I42" s="20">
        <f>I37</f>
        <v>262.55</v>
      </c>
      <c r="J42" s="21">
        <f t="shared" si="4"/>
        <v>17.8534</v>
      </c>
      <c r="K42" s="16"/>
      <c r="L42" s="19">
        <v>0.068</v>
      </c>
      <c r="M42" s="22">
        <f>M37</f>
        <v>263.13829083386247</v>
      </c>
      <c r="N42" s="21">
        <f t="shared" si="5"/>
        <v>17.893403776702648</v>
      </c>
      <c r="O42" s="16"/>
      <c r="P42" s="23">
        <f t="shared" si="2"/>
        <v>0.04000377670264754</v>
      </c>
      <c r="Q42" s="24">
        <f t="shared" si="3"/>
        <v>0.0022406811421156496</v>
      </c>
    </row>
    <row r="43" spans="4:17" ht="13.5" thickBot="1">
      <c r="D43" s="56" t="s">
        <v>48</v>
      </c>
      <c r="E43" s="16"/>
      <c r="F43" s="16"/>
      <c r="G43" s="16"/>
      <c r="H43" s="57"/>
      <c r="I43" s="58"/>
      <c r="J43" s="46">
        <f>SUM(J36:J42)</f>
        <v>43.658364999999996</v>
      </c>
      <c r="K43" s="47"/>
      <c r="L43" s="59"/>
      <c r="M43" s="60"/>
      <c r="N43" s="46">
        <f>SUM(N36:N42)</f>
        <v>49.47798292806171</v>
      </c>
      <c r="O43" s="47"/>
      <c r="P43" s="50">
        <f>N43-J43</f>
        <v>5.81961792806171</v>
      </c>
      <c r="Q43" s="51">
        <f t="shared" si="3"/>
        <v>0.13329903508896201</v>
      </c>
    </row>
    <row r="44" spans="4:17" ht="13.5" thickBot="1">
      <c r="D44" s="18" t="s">
        <v>49</v>
      </c>
      <c r="E44" s="16"/>
      <c r="F44" s="16"/>
      <c r="G44" s="16"/>
      <c r="H44" s="61">
        <v>0.13</v>
      </c>
      <c r="I44" s="62"/>
      <c r="J44" s="63">
        <f>J43*H44</f>
        <v>5.67558745</v>
      </c>
      <c r="K44" s="16"/>
      <c r="L44" s="61">
        <v>0.13</v>
      </c>
      <c r="M44" s="64"/>
      <c r="N44" s="63">
        <f>N43*L44</f>
        <v>6.432137780648022</v>
      </c>
      <c r="O44" s="16"/>
      <c r="P44" s="23">
        <f t="shared" si="2"/>
        <v>0.7565503306480217</v>
      </c>
      <c r="Q44" s="24">
        <f t="shared" si="3"/>
        <v>0.13329903508896188</v>
      </c>
    </row>
    <row r="45" spans="4:17" ht="27" thickBot="1">
      <c r="D45" s="43" t="s">
        <v>50</v>
      </c>
      <c r="E45" s="16"/>
      <c r="F45" s="16"/>
      <c r="G45" s="16"/>
      <c r="H45" s="44"/>
      <c r="I45" s="45"/>
      <c r="J45" s="46">
        <f>ROUND(SUM(J43:J44),2)</f>
        <v>49.33</v>
      </c>
      <c r="K45" s="47"/>
      <c r="L45" s="48"/>
      <c r="M45" s="49"/>
      <c r="N45" s="46">
        <f>ROUND(SUM(N43:N44),2)</f>
        <v>55.91</v>
      </c>
      <c r="O45" s="47"/>
      <c r="P45" s="50">
        <f t="shared" si="2"/>
        <v>6.579999999999998</v>
      </c>
      <c r="Q45" s="51">
        <f t="shared" si="3"/>
        <v>0.1333873910399351</v>
      </c>
    </row>
    <row r="46" spans="4:17" ht="29.25" thickBot="1">
      <c r="D46" s="83" t="s">
        <v>102</v>
      </c>
      <c r="E46" s="16"/>
      <c r="F46" s="16"/>
      <c r="G46" s="16"/>
      <c r="H46" s="44"/>
      <c r="I46" s="80"/>
      <c r="J46" s="46">
        <f>ROUND(-J45*10%,2)</f>
        <v>-4.93</v>
      </c>
      <c r="K46" s="47"/>
      <c r="L46" s="48"/>
      <c r="M46" s="49"/>
      <c r="N46" s="46">
        <f>ROUND(-N45*10%,2)</f>
        <v>-5.59</v>
      </c>
      <c r="O46" s="47"/>
      <c r="P46" s="50">
        <f t="shared" si="2"/>
        <v>-0.6600000000000001</v>
      </c>
      <c r="Q46" s="51">
        <f t="shared" si="3"/>
        <v>0.1338742393509128</v>
      </c>
    </row>
    <row r="47" spans="4:17" ht="13.5" thickBot="1">
      <c r="D47" s="43" t="s">
        <v>55</v>
      </c>
      <c r="E47" s="16"/>
      <c r="F47" s="16"/>
      <c r="G47" s="16"/>
      <c r="H47" s="82"/>
      <c r="I47" s="81"/>
      <c r="J47" s="75">
        <f>J45+J46</f>
        <v>44.4</v>
      </c>
      <c r="K47" s="47"/>
      <c r="L47" s="79"/>
      <c r="M47" s="78"/>
      <c r="N47" s="75">
        <f>N45+N46</f>
        <v>50.31999999999999</v>
      </c>
      <c r="O47" s="47"/>
      <c r="P47" s="77">
        <f t="shared" si="2"/>
        <v>5.919999999999995</v>
      </c>
      <c r="Q47" s="76">
        <f t="shared" si="3"/>
        <v>0.13333333333333322</v>
      </c>
    </row>
    <row r="48" ht="10.5" customHeight="1"/>
    <row r="49" spans="4:12" ht="12.75">
      <c r="D49" s="3" t="s">
        <v>51</v>
      </c>
      <c r="H49" s="65">
        <v>0.0502</v>
      </c>
      <c r="L49" s="120">
        <v>0.05255316333545</v>
      </c>
    </row>
    <row r="50" ht="10.5" customHeight="1"/>
    <row r="51" ht="10.5" customHeight="1">
      <c r="C51" s="107" t="s">
        <v>103</v>
      </c>
    </row>
    <row r="52" ht="10.5" customHeight="1"/>
    <row r="53" spans="2:3" ht="12.75">
      <c r="B53" s="3"/>
      <c r="C53" s="2" t="s">
        <v>59</v>
      </c>
    </row>
    <row r="54" ht="12.75">
      <c r="C54" s="2" t="s">
        <v>60</v>
      </c>
    </row>
    <row r="56" ht="12.75">
      <c r="C56" s="2" t="s">
        <v>101</v>
      </c>
    </row>
    <row r="57" ht="12.75">
      <c r="C57" s="2" t="s">
        <v>61</v>
      </c>
    </row>
    <row r="59" ht="12.75">
      <c r="C59" s="2" t="s">
        <v>62</v>
      </c>
    </row>
    <row r="60" ht="12.75">
      <c r="C60" s="2" t="s">
        <v>63</v>
      </c>
    </row>
    <row r="61" ht="12.75">
      <c r="C61" s="2" t="s">
        <v>64</v>
      </c>
    </row>
    <row r="62" ht="12.75">
      <c r="C62" s="2" t="s">
        <v>65</v>
      </c>
    </row>
    <row r="63" ht="12.75">
      <c r="C63" s="2" t="s">
        <v>66</v>
      </c>
    </row>
  </sheetData>
  <sheetProtection selectLockedCells="1"/>
  <mergeCells count="9">
    <mergeCell ref="D11:Q11"/>
    <mergeCell ref="C3:M3"/>
    <mergeCell ref="P3:Q3"/>
    <mergeCell ref="P4:Q4"/>
    <mergeCell ref="P5:Q5"/>
    <mergeCell ref="P1:Q1"/>
    <mergeCell ref="P2:Q2"/>
    <mergeCell ref="P7:Q7"/>
    <mergeCell ref="D10:Q10"/>
  </mergeCells>
  <dataValidations count="3">
    <dataValidation type="list" allowBlank="1" showInputMessage="1" showErrorMessage="1" prompt="Select Charge Unit - monthly, per kWh, per kW" sqref="F34:F35 F21:F32 F37:F42">
      <formula1>"Monthly, per kWh, per kW"</formula1>
    </dataValidation>
    <dataValidation type="list" allowBlank="1" showInputMessage="1" showErrorMessage="1" sqref="G37:G42 G21:G32 G34:G35">
      <formula1>$B$14:$B$19</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9" r:id="rId1"/>
  <headerFooter alignWithMargins="0">
    <oddFooter>&amp;C9</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63"/>
  <sheetViews>
    <sheetView showGridLines="0" zoomScalePageLayoutView="0" workbookViewId="0" topLeftCell="A11">
      <selection activeCell="P43" sqref="P43"/>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9.7109375" style="2" customWidth="1"/>
    <col min="11" max="11" width="2.8515625" style="2" customWidth="1"/>
    <col min="12" max="12" width="12.140625" style="2" customWidth="1"/>
    <col min="13" max="13" width="8.57421875" style="2" customWidth="1"/>
    <col min="14" max="14" width="9.7109375" style="2" customWidth="1"/>
    <col min="15" max="15" width="2.8515625" style="2" customWidth="1"/>
    <col min="16" max="16" width="8.8515625" style="2" customWidth="1"/>
    <col min="17" max="17" width="10.00390625" style="2" bestFit="1" customWidth="1"/>
    <col min="18" max="18" width="12.57421875" style="2" bestFit="1"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8" t="s">
        <v>56</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500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8" ht="12.75">
      <c r="D21" s="16" t="s">
        <v>27</v>
      </c>
      <c r="E21" s="16"/>
      <c r="F21" s="17" t="s">
        <v>72</v>
      </c>
      <c r="G21" s="18"/>
      <c r="H21" s="108">
        <v>15.11</v>
      </c>
      <c r="I21" s="20">
        <v>1</v>
      </c>
      <c r="J21" s="109">
        <f aca="true" t="shared" si="0" ref="J21:J32">I21*H21</f>
        <v>15.11</v>
      </c>
      <c r="K21" s="16"/>
      <c r="L21" s="108">
        <f>'App.2-V Bill Impacts Res 100kwh'!L21</f>
        <v>18.49</v>
      </c>
      <c r="M21" s="22">
        <v>1</v>
      </c>
      <c r="N21" s="109">
        <f aca="true" t="shared" si="1" ref="N21:N32">M21*L21</f>
        <v>18.49</v>
      </c>
      <c r="O21" s="16"/>
      <c r="P21" s="23">
        <f aca="true" t="shared" si="2" ref="P21:P47">N21-J21</f>
        <v>3.379999999999999</v>
      </c>
      <c r="Q21" s="110">
        <f aca="true" t="shared" si="3" ref="Q21:Q47">IF((J21)=0,"",(P21/J21))</f>
        <v>0.22369291859695561</v>
      </c>
      <c r="R21" s="119"/>
    </row>
    <row r="22" spans="4:18" ht="12.75">
      <c r="D22" s="16" t="s">
        <v>28</v>
      </c>
      <c r="E22" s="16"/>
      <c r="F22" s="17" t="s">
        <v>72</v>
      </c>
      <c r="G22" s="18"/>
      <c r="H22" s="108">
        <v>1.99</v>
      </c>
      <c r="I22" s="20">
        <v>1</v>
      </c>
      <c r="J22" s="109">
        <f t="shared" si="0"/>
        <v>1.99</v>
      </c>
      <c r="K22" s="16"/>
      <c r="L22" s="108">
        <f>'App.2-V Bill Impacts Res 100kwh'!L22</f>
        <v>4.823326097231227</v>
      </c>
      <c r="M22" s="22">
        <f>'App.2-V Bill Impacts Res 100kwh'!M22</f>
        <v>1</v>
      </c>
      <c r="N22" s="109">
        <f t="shared" si="1"/>
        <v>4.823326097231227</v>
      </c>
      <c r="O22" s="16"/>
      <c r="P22" s="23">
        <f t="shared" si="2"/>
        <v>2.833326097231227</v>
      </c>
      <c r="Q22" s="110">
        <f t="shared" si="3"/>
        <v>1.4237819584076519</v>
      </c>
      <c r="R22" s="119"/>
    </row>
    <row r="23" spans="4:18" ht="12.75">
      <c r="D23" s="16" t="s">
        <v>29</v>
      </c>
      <c r="E23" s="16"/>
      <c r="F23" s="17"/>
      <c r="G23" s="18"/>
      <c r="H23" s="108"/>
      <c r="I23" s="20"/>
      <c r="J23" s="109">
        <f t="shared" si="0"/>
        <v>0</v>
      </c>
      <c r="K23" s="16"/>
      <c r="L23" s="108"/>
      <c r="M23" s="22"/>
      <c r="N23" s="109">
        <f t="shared" si="1"/>
        <v>0</v>
      </c>
      <c r="O23" s="16"/>
      <c r="P23" s="23">
        <f t="shared" si="2"/>
        <v>0</v>
      </c>
      <c r="Q23" s="110">
        <f t="shared" si="3"/>
      </c>
      <c r="R23" s="119"/>
    </row>
    <row r="24" spans="4:18" ht="12.75">
      <c r="D24" s="16" t="s">
        <v>30</v>
      </c>
      <c r="E24" s="16"/>
      <c r="F24" s="17"/>
      <c r="G24" s="18"/>
      <c r="H24" s="108"/>
      <c r="I24" s="20"/>
      <c r="J24" s="109">
        <f t="shared" si="0"/>
        <v>0</v>
      </c>
      <c r="K24" s="16"/>
      <c r="L24" s="108"/>
      <c r="M24" s="22"/>
      <c r="N24" s="109">
        <f t="shared" si="1"/>
        <v>0</v>
      </c>
      <c r="O24" s="16"/>
      <c r="P24" s="23">
        <f t="shared" si="2"/>
        <v>0</v>
      </c>
      <c r="Q24" s="110">
        <f t="shared" si="3"/>
      </c>
      <c r="R24" s="119"/>
    </row>
    <row r="25" spans="4:18" ht="12.75">
      <c r="D25" s="16" t="s">
        <v>31</v>
      </c>
      <c r="E25" s="16"/>
      <c r="F25" s="17" t="s">
        <v>73</v>
      </c>
      <c r="G25" s="18"/>
      <c r="H25" s="108">
        <v>0.0086</v>
      </c>
      <c r="I25" s="20">
        <f>H16</f>
        <v>500</v>
      </c>
      <c r="J25" s="109">
        <f t="shared" si="0"/>
        <v>4.3</v>
      </c>
      <c r="K25" s="16"/>
      <c r="L25" s="108">
        <f>'App.2-V Bill Impacts Res 100kwh'!L25</f>
        <v>0.0105</v>
      </c>
      <c r="M25" s="22">
        <f>H16</f>
        <v>500</v>
      </c>
      <c r="N25" s="109">
        <f t="shared" si="1"/>
        <v>5.25</v>
      </c>
      <c r="O25" s="16"/>
      <c r="P25" s="23">
        <f t="shared" si="2"/>
        <v>0.9500000000000002</v>
      </c>
      <c r="Q25" s="110">
        <f t="shared" si="3"/>
        <v>0.2209302325581396</v>
      </c>
      <c r="R25" s="119"/>
    </row>
    <row r="26" spans="4:18" ht="12.75">
      <c r="D26" s="16" t="s">
        <v>32</v>
      </c>
      <c r="E26" s="16"/>
      <c r="F26" s="17" t="s">
        <v>73</v>
      </c>
      <c r="G26" s="18"/>
      <c r="H26" s="108">
        <v>0.0007</v>
      </c>
      <c r="I26" s="20">
        <f>I25</f>
        <v>500</v>
      </c>
      <c r="J26" s="109">
        <f t="shared" si="0"/>
        <v>0.35</v>
      </c>
      <c r="K26" s="16"/>
      <c r="L26" s="108">
        <f>'App.2-V Bill Impacts Res 100kwh'!L26</f>
        <v>0.0007</v>
      </c>
      <c r="M26" s="22">
        <f>M25</f>
        <v>500</v>
      </c>
      <c r="N26" s="109">
        <f t="shared" si="1"/>
        <v>0.35</v>
      </c>
      <c r="O26" s="16"/>
      <c r="P26" s="23">
        <f t="shared" si="2"/>
        <v>0</v>
      </c>
      <c r="Q26" s="110">
        <f t="shared" si="3"/>
        <v>0</v>
      </c>
      <c r="R26" s="119"/>
    </row>
    <row r="27" spans="4:18" ht="12.75">
      <c r="D27" s="16" t="s">
        <v>33</v>
      </c>
      <c r="E27" s="16"/>
      <c r="F27" s="17"/>
      <c r="G27" s="18"/>
      <c r="H27" s="108"/>
      <c r="I27" s="20"/>
      <c r="J27" s="109">
        <f t="shared" si="0"/>
        <v>0</v>
      </c>
      <c r="K27" s="16"/>
      <c r="L27" s="108"/>
      <c r="M27" s="22"/>
      <c r="N27" s="109">
        <f t="shared" si="1"/>
        <v>0</v>
      </c>
      <c r="O27" s="16"/>
      <c r="P27" s="23">
        <f t="shared" si="2"/>
        <v>0</v>
      </c>
      <c r="Q27" s="110">
        <f t="shared" si="3"/>
      </c>
      <c r="R27" s="119"/>
    </row>
    <row r="28" spans="4:18" ht="12.75">
      <c r="D28" s="16" t="s">
        <v>34</v>
      </c>
      <c r="E28" s="16"/>
      <c r="F28" s="17"/>
      <c r="G28" s="18"/>
      <c r="H28" s="108"/>
      <c r="I28" s="20"/>
      <c r="J28" s="109">
        <f t="shared" si="0"/>
        <v>0</v>
      </c>
      <c r="K28" s="16"/>
      <c r="L28" s="108"/>
      <c r="M28" s="22"/>
      <c r="N28" s="109">
        <f t="shared" si="1"/>
        <v>0</v>
      </c>
      <c r="O28" s="16"/>
      <c r="P28" s="23">
        <f t="shared" si="2"/>
        <v>0</v>
      </c>
      <c r="Q28" s="110">
        <f t="shared" si="3"/>
      </c>
      <c r="R28" s="119"/>
    </row>
    <row r="29" spans="4:17"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row>
    <row r="30" spans="4:19" ht="12.75">
      <c r="D30" s="16" t="s">
        <v>36</v>
      </c>
      <c r="E30" s="16"/>
      <c r="F30" s="17" t="s">
        <v>73</v>
      </c>
      <c r="G30" s="18"/>
      <c r="H30" s="108"/>
      <c r="I30" s="20"/>
      <c r="J30" s="109">
        <f t="shared" si="0"/>
        <v>0</v>
      </c>
      <c r="K30" s="16"/>
      <c r="L30" s="108">
        <f>'App.2-V Bill Impacts Res 100kwh'!L30</f>
        <v>0.0005</v>
      </c>
      <c r="M30" s="22">
        <f>H16</f>
        <v>500</v>
      </c>
      <c r="N30" s="109">
        <f t="shared" si="1"/>
        <v>0.25</v>
      </c>
      <c r="O30" s="16"/>
      <c r="P30" s="23">
        <f t="shared" si="2"/>
        <v>0.25</v>
      </c>
      <c r="Q30" s="110">
        <f t="shared" si="3"/>
      </c>
      <c r="S30" s="117"/>
    </row>
    <row r="31" spans="4:19" ht="26.25">
      <c r="D31" s="25" t="s">
        <v>37</v>
      </c>
      <c r="E31" s="16"/>
      <c r="F31" s="17" t="s">
        <v>73</v>
      </c>
      <c r="G31" s="18"/>
      <c r="H31" s="108"/>
      <c r="I31" s="20"/>
      <c r="J31" s="109">
        <f t="shared" si="0"/>
        <v>0</v>
      </c>
      <c r="K31" s="16"/>
      <c r="L31" s="108">
        <f>'App.2-V Bill Impacts Res 100kwh'!L31</f>
        <v>-0.005455093448542674</v>
      </c>
      <c r="M31" s="22">
        <f>H16</f>
        <v>500</v>
      </c>
      <c r="N31" s="109">
        <f t="shared" si="1"/>
        <v>-2.727546724271337</v>
      </c>
      <c r="O31" s="16"/>
      <c r="P31" s="23">
        <f t="shared" si="2"/>
        <v>-2.727546724271337</v>
      </c>
      <c r="Q31" s="110">
        <f t="shared" si="3"/>
      </c>
      <c r="S31" s="117"/>
    </row>
    <row r="32" spans="4:17" ht="13.5" thickBot="1">
      <c r="D32" s="115"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row>
    <row r="33" spans="4:17" ht="13.5" thickBot="1">
      <c r="D33" s="3" t="s">
        <v>38</v>
      </c>
      <c r="G33" s="29"/>
      <c r="H33" s="30"/>
      <c r="I33" s="31"/>
      <c r="J33" s="32">
        <f>SUM(J21:J32)</f>
        <v>21.75</v>
      </c>
      <c r="L33" s="30"/>
      <c r="M33" s="33"/>
      <c r="N33" s="32">
        <f>SUM(N21:N32)</f>
        <v>26.43577937295989</v>
      </c>
      <c r="P33" s="34">
        <f t="shared" si="2"/>
        <v>4.685779372959889</v>
      </c>
      <c r="Q33" s="35">
        <f t="shared" si="3"/>
        <v>0.21543813209010984</v>
      </c>
    </row>
    <row r="34" spans="4:17" ht="12.75">
      <c r="D34" s="36" t="s">
        <v>39</v>
      </c>
      <c r="E34" s="36"/>
      <c r="F34" s="37" t="s">
        <v>73</v>
      </c>
      <c r="G34" s="38"/>
      <c r="H34" s="111">
        <v>0.0059</v>
      </c>
      <c r="I34" s="39">
        <f>H16*(1+H49)</f>
        <v>525.1</v>
      </c>
      <c r="J34" s="112">
        <f>I34*H34</f>
        <v>3.09809</v>
      </c>
      <c r="K34" s="36"/>
      <c r="L34" s="111">
        <v>0.0066</v>
      </c>
      <c r="M34" s="40">
        <f>H16*(1+L49)</f>
        <v>526.2765816677249</v>
      </c>
      <c r="N34" s="112">
        <f>M34*L34</f>
        <v>3.4734254390069847</v>
      </c>
      <c r="O34" s="36"/>
      <c r="P34" s="41">
        <f t="shared" si="2"/>
        <v>0.37533543900698474</v>
      </c>
      <c r="Q34" s="113">
        <f t="shared" si="3"/>
        <v>0.12115059246406164</v>
      </c>
    </row>
    <row r="35" spans="4:17" ht="27" thickBot="1">
      <c r="D35" s="42" t="s">
        <v>40</v>
      </c>
      <c r="E35" s="36"/>
      <c r="F35" s="37" t="s">
        <v>73</v>
      </c>
      <c r="G35" s="38"/>
      <c r="H35" s="111">
        <v>0.0049</v>
      </c>
      <c r="I35" s="39">
        <f>I34</f>
        <v>525.1</v>
      </c>
      <c r="J35" s="112">
        <f>I35*H35</f>
        <v>2.57299</v>
      </c>
      <c r="K35" s="36"/>
      <c r="L35" s="111">
        <v>0.0054</v>
      </c>
      <c r="M35" s="40">
        <f>M34</f>
        <v>526.2765816677249</v>
      </c>
      <c r="N35" s="112">
        <f>M35*L35</f>
        <v>2.8418935410057147</v>
      </c>
      <c r="O35" s="36"/>
      <c r="P35" s="41">
        <f t="shared" si="2"/>
        <v>0.2689035410057148</v>
      </c>
      <c r="Q35" s="113">
        <f t="shared" si="3"/>
        <v>0.10451013840151528</v>
      </c>
    </row>
    <row r="36" spans="4:17" ht="27" thickBot="1">
      <c r="D36" s="43" t="s">
        <v>41</v>
      </c>
      <c r="E36" s="16"/>
      <c r="F36" s="16"/>
      <c r="G36" s="18"/>
      <c r="H36" s="44"/>
      <c r="I36" s="45"/>
      <c r="J36" s="46">
        <f>SUM(J33:J35)</f>
        <v>27.42108</v>
      </c>
      <c r="K36" s="47"/>
      <c r="L36" s="48"/>
      <c r="M36" s="49"/>
      <c r="N36" s="46">
        <f>SUM(N33:N35)</f>
        <v>32.75109835297259</v>
      </c>
      <c r="O36" s="47"/>
      <c r="P36" s="50">
        <f t="shared" si="2"/>
        <v>5.330018352972591</v>
      </c>
      <c r="Q36" s="51">
        <f t="shared" si="3"/>
        <v>0.19437667491479513</v>
      </c>
    </row>
    <row r="37" spans="4:17" ht="26.25">
      <c r="D37" s="25" t="s">
        <v>42</v>
      </c>
      <c r="E37" s="16"/>
      <c r="F37" s="17" t="s">
        <v>73</v>
      </c>
      <c r="G37" s="18"/>
      <c r="H37" s="19">
        <v>0.0065</v>
      </c>
      <c r="I37" s="20">
        <f>I35</f>
        <v>525.1</v>
      </c>
      <c r="J37" s="21">
        <f aca="true" t="shared" si="4" ref="J37:J42">I37*H37</f>
        <v>3.41315</v>
      </c>
      <c r="K37" s="16"/>
      <c r="L37" s="19">
        <v>0.0065</v>
      </c>
      <c r="M37" s="22">
        <f>M35</f>
        <v>526.2765816677249</v>
      </c>
      <c r="N37" s="21">
        <f aca="true" t="shared" si="5" ref="N37:N42">M37*L37</f>
        <v>3.420797780840212</v>
      </c>
      <c r="O37" s="16"/>
      <c r="P37" s="23">
        <f t="shared" si="2"/>
        <v>0.007647780840212004</v>
      </c>
      <c r="Q37" s="24">
        <f t="shared" si="3"/>
        <v>0.002240681142115642</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525.1</v>
      </c>
      <c r="J41" s="21">
        <f t="shared" si="4"/>
        <v>3.6757000000000004</v>
      </c>
      <c r="K41" s="16"/>
      <c r="L41" s="19">
        <v>0.007</v>
      </c>
      <c r="M41" s="22">
        <f>M37</f>
        <v>526.2765816677249</v>
      </c>
      <c r="N41" s="21">
        <f t="shared" si="5"/>
        <v>3.6839360716740748</v>
      </c>
      <c r="O41" s="16"/>
      <c r="P41" s="23">
        <f t="shared" si="2"/>
        <v>0.008236071674074363</v>
      </c>
      <c r="Q41" s="24">
        <f t="shared" si="3"/>
        <v>0.002240681142115614</v>
      </c>
    </row>
    <row r="42" spans="4:17" ht="13.5" thickBot="1">
      <c r="D42" s="16" t="s">
        <v>47</v>
      </c>
      <c r="E42" s="16"/>
      <c r="F42" s="17" t="s">
        <v>73</v>
      </c>
      <c r="G42" s="18"/>
      <c r="H42" s="19">
        <v>0.068</v>
      </c>
      <c r="I42" s="20">
        <f>I37</f>
        <v>525.1</v>
      </c>
      <c r="J42" s="21">
        <f t="shared" si="4"/>
        <v>35.7068</v>
      </c>
      <c r="K42" s="16"/>
      <c r="L42" s="19">
        <v>0.068</v>
      </c>
      <c r="M42" s="22">
        <f>M37</f>
        <v>526.2765816677249</v>
      </c>
      <c r="N42" s="21">
        <f t="shared" si="5"/>
        <v>35.786807553405296</v>
      </c>
      <c r="O42" s="16"/>
      <c r="P42" s="23">
        <f t="shared" si="2"/>
        <v>0.08000755340529508</v>
      </c>
      <c r="Q42" s="24">
        <f t="shared" si="3"/>
        <v>0.0022406811421156496</v>
      </c>
    </row>
    <row r="43" spans="4:17" ht="13.5" thickBot="1">
      <c r="D43" s="56" t="s">
        <v>48</v>
      </c>
      <c r="E43" s="16"/>
      <c r="F43" s="16"/>
      <c r="G43" s="16"/>
      <c r="H43" s="57"/>
      <c r="I43" s="58"/>
      <c r="J43" s="46">
        <f>SUM(J36:J42)</f>
        <v>70.21673</v>
      </c>
      <c r="K43" s="47"/>
      <c r="L43" s="59"/>
      <c r="M43" s="60"/>
      <c r="N43" s="46">
        <f>SUM(N36:N42)</f>
        <v>75.64263975889217</v>
      </c>
      <c r="O43" s="47"/>
      <c r="P43" s="50">
        <f>N43-J43</f>
        <v>5.425909758892175</v>
      </c>
      <c r="Q43" s="51">
        <f t="shared" si="3"/>
        <v>0.07727374599888338</v>
      </c>
    </row>
    <row r="44" spans="4:17" ht="13.5" thickBot="1">
      <c r="D44" s="18" t="s">
        <v>49</v>
      </c>
      <c r="E44" s="16"/>
      <c r="F44" s="16"/>
      <c r="G44" s="16"/>
      <c r="H44" s="61">
        <v>0.13</v>
      </c>
      <c r="I44" s="62"/>
      <c r="J44" s="63">
        <f>J43*H44</f>
        <v>9.1281749</v>
      </c>
      <c r="K44" s="16"/>
      <c r="L44" s="61">
        <v>0.13</v>
      </c>
      <c r="M44" s="64"/>
      <c r="N44" s="63">
        <f>N43*L44</f>
        <v>9.833543168655982</v>
      </c>
      <c r="O44" s="16"/>
      <c r="P44" s="23">
        <f t="shared" si="2"/>
        <v>0.7053682686559828</v>
      </c>
      <c r="Q44" s="24">
        <f t="shared" si="3"/>
        <v>0.0772737459988834</v>
      </c>
    </row>
    <row r="45" spans="4:17" ht="27" thickBot="1">
      <c r="D45" s="43" t="s">
        <v>50</v>
      </c>
      <c r="E45" s="16"/>
      <c r="F45" s="16"/>
      <c r="G45" s="16"/>
      <c r="H45" s="44"/>
      <c r="I45" s="45"/>
      <c r="J45" s="46">
        <f>ROUND(SUM(J43:J44),2)</f>
        <v>79.34</v>
      </c>
      <c r="K45" s="47"/>
      <c r="L45" s="48"/>
      <c r="M45" s="49"/>
      <c r="N45" s="46">
        <f>ROUND(SUM(N43:N44),2)</f>
        <v>85.48</v>
      </c>
      <c r="O45" s="47"/>
      <c r="P45" s="50">
        <f t="shared" si="2"/>
        <v>6.140000000000001</v>
      </c>
      <c r="Q45" s="51">
        <f t="shared" si="3"/>
        <v>0.07738845475170154</v>
      </c>
    </row>
    <row r="46" spans="4:17" ht="29.25" thickBot="1">
      <c r="D46" s="83" t="s">
        <v>102</v>
      </c>
      <c r="E46" s="16"/>
      <c r="F46" s="16"/>
      <c r="G46" s="16"/>
      <c r="H46" s="44"/>
      <c r="I46" s="80"/>
      <c r="J46" s="46">
        <f>ROUND(-J45*10%,2)</f>
        <v>-7.93</v>
      </c>
      <c r="K46" s="47"/>
      <c r="L46" s="48"/>
      <c r="M46" s="49"/>
      <c r="N46" s="46">
        <f>ROUND(-N45*10%,2)</f>
        <v>-8.55</v>
      </c>
      <c r="O46" s="47"/>
      <c r="P46" s="50">
        <f t="shared" si="2"/>
        <v>-0.620000000000001</v>
      </c>
      <c r="Q46" s="51">
        <f t="shared" si="3"/>
        <v>0.07818411097099634</v>
      </c>
    </row>
    <row r="47" spans="4:17" ht="13.5" thickBot="1">
      <c r="D47" s="43" t="s">
        <v>55</v>
      </c>
      <c r="E47" s="16"/>
      <c r="F47" s="16"/>
      <c r="G47" s="16"/>
      <c r="H47" s="82"/>
      <c r="I47" s="81"/>
      <c r="J47" s="75">
        <f>J45+J46</f>
        <v>71.41</v>
      </c>
      <c r="K47" s="47"/>
      <c r="L47" s="79"/>
      <c r="M47" s="78"/>
      <c r="N47" s="75">
        <f>N45+N46</f>
        <v>76.93</v>
      </c>
      <c r="O47" s="47"/>
      <c r="P47" s="77">
        <f t="shared" si="2"/>
        <v>5.52000000000001</v>
      </c>
      <c r="Q47" s="76">
        <f t="shared" si="3"/>
        <v>0.07730009802548678</v>
      </c>
    </row>
    <row r="48" ht="10.5" customHeight="1"/>
    <row r="49" spans="4:12" ht="12.75">
      <c r="D49" s="3" t="s">
        <v>51</v>
      </c>
      <c r="H49" s="65">
        <v>0.0502</v>
      </c>
      <c r="L49" s="120">
        <v>0.05255316333545</v>
      </c>
    </row>
    <row r="50" ht="10.5" customHeight="1"/>
    <row r="51" ht="10.5" customHeight="1">
      <c r="C51" s="107" t="s">
        <v>103</v>
      </c>
    </row>
    <row r="52" ht="10.5" customHeight="1"/>
    <row r="53" spans="2:3" ht="12.75">
      <c r="B53" s="3"/>
      <c r="C53" s="2" t="s">
        <v>59</v>
      </c>
    </row>
    <row r="54" ht="12.75">
      <c r="C54" s="2" t="s">
        <v>60</v>
      </c>
    </row>
    <row r="56" ht="12.75">
      <c r="C56" s="2" t="s">
        <v>101</v>
      </c>
    </row>
    <row r="57" ht="12.75">
      <c r="C57" s="2" t="s">
        <v>61</v>
      </c>
    </row>
    <row r="59" ht="12.75">
      <c r="C59" s="2" t="s">
        <v>62</v>
      </c>
    </row>
    <row r="60" ht="12.75">
      <c r="C60" s="2" t="s">
        <v>63</v>
      </c>
    </row>
    <row r="61" ht="12.75">
      <c r="C61" s="2" t="s">
        <v>64</v>
      </c>
    </row>
    <row r="62" ht="12.75">
      <c r="C62" s="2" t="s">
        <v>65</v>
      </c>
    </row>
    <row r="63" ht="12.75">
      <c r="C63" s="2" t="s">
        <v>66</v>
      </c>
    </row>
  </sheetData>
  <sheetProtection selectLockedCells="1"/>
  <mergeCells count="9">
    <mergeCell ref="D11:Q11"/>
    <mergeCell ref="C3:M3"/>
    <mergeCell ref="P3:Q3"/>
    <mergeCell ref="P4:Q4"/>
    <mergeCell ref="P5:Q5"/>
    <mergeCell ref="P1:Q1"/>
    <mergeCell ref="P2:Q2"/>
    <mergeCell ref="P7:Q7"/>
    <mergeCell ref="D10:Q10"/>
  </mergeCells>
  <dataValidations count="3">
    <dataValidation type="list" allowBlank="1" showInputMessage="1" showErrorMessage="1" prompt="Select Charge Unit - monthly, per kWh, per kW" sqref="F34:F35 F21:F32 F37:F42">
      <formula1>"Monthly, per kWh, per kW"</formula1>
    </dataValidation>
    <dataValidation type="list" allowBlank="1" showInputMessage="1" showErrorMessage="1" sqref="G37:G42 G21:G32 G34:G35">
      <formula1>$B$14:$B$19</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9"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S64"/>
  <sheetViews>
    <sheetView showGridLines="0" zoomScalePageLayoutView="0" workbookViewId="0" topLeftCell="A10">
      <selection activeCell="H43" sqref="H43"/>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9.7109375" style="2" customWidth="1"/>
    <col min="11" max="11" width="2.8515625" style="2" customWidth="1"/>
    <col min="12" max="12" width="12.140625" style="2" customWidth="1"/>
    <col min="13" max="13" width="8.57421875" style="2" customWidth="1"/>
    <col min="14" max="14" width="9.7109375" style="2" customWidth="1"/>
    <col min="15" max="15" width="2.8515625" style="2" customWidth="1"/>
    <col min="16" max="16" width="8.8515625" style="2" customWidth="1"/>
    <col min="17" max="17" width="10.00390625" style="2" bestFit="1" customWidth="1"/>
    <col min="18" max="18" width="12.57421875" style="2" bestFit="1"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72" t="s">
        <v>56</v>
      </c>
      <c r="G14" s="172"/>
      <c r="H14" s="172"/>
      <c r="I14" s="172"/>
      <c r="J14" s="172"/>
      <c r="K14" s="172"/>
      <c r="L14" s="172"/>
      <c r="M14" s="172"/>
      <c r="N14" s="172"/>
      <c r="O14" s="172"/>
      <c r="P14" s="172"/>
      <c r="Q14" s="172"/>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800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8" ht="12.75">
      <c r="D21" s="16" t="s">
        <v>27</v>
      </c>
      <c r="E21" s="16"/>
      <c r="F21" s="17" t="s">
        <v>72</v>
      </c>
      <c r="G21" s="18"/>
      <c r="H21" s="108">
        <v>15.11</v>
      </c>
      <c r="I21" s="20">
        <v>1</v>
      </c>
      <c r="J21" s="109">
        <f aca="true" t="shared" si="0" ref="J21:J32">I21*H21</f>
        <v>15.11</v>
      </c>
      <c r="K21" s="16"/>
      <c r="L21" s="108">
        <f>'App.2-V Bill Impacts Res 100kwh'!L21</f>
        <v>18.49</v>
      </c>
      <c r="M21" s="22">
        <v>1</v>
      </c>
      <c r="N21" s="109">
        <f aca="true" t="shared" si="1" ref="N21:N32">M21*L21</f>
        <v>18.49</v>
      </c>
      <c r="O21" s="16"/>
      <c r="P21" s="23">
        <f aca="true" t="shared" si="2" ref="P21:P48">N21-J21</f>
        <v>3.379999999999999</v>
      </c>
      <c r="Q21" s="110">
        <f aca="true" t="shared" si="3" ref="Q21:Q48">IF((J21)=0,"",(P21/J21))</f>
        <v>0.22369291859695561</v>
      </c>
      <c r="R21" s="119"/>
    </row>
    <row r="22" spans="4:18" ht="12.75">
      <c r="D22" s="16" t="s">
        <v>28</v>
      </c>
      <c r="E22" s="16"/>
      <c r="F22" s="17" t="s">
        <v>72</v>
      </c>
      <c r="G22" s="18"/>
      <c r="H22" s="108">
        <v>1.99</v>
      </c>
      <c r="I22" s="20">
        <v>1</v>
      </c>
      <c r="J22" s="109">
        <f t="shared" si="0"/>
        <v>1.99</v>
      </c>
      <c r="K22" s="16"/>
      <c r="L22" s="108">
        <f>'App.2-V Bill Impacts Res 100kwh'!L22</f>
        <v>4.823326097231227</v>
      </c>
      <c r="M22" s="22">
        <f>'App.2-V Bill Impacts Res 100kwh'!M22</f>
        <v>1</v>
      </c>
      <c r="N22" s="109">
        <f t="shared" si="1"/>
        <v>4.823326097231227</v>
      </c>
      <c r="O22" s="16"/>
      <c r="P22" s="23">
        <f t="shared" si="2"/>
        <v>2.833326097231227</v>
      </c>
      <c r="Q22" s="110">
        <f t="shared" si="3"/>
        <v>1.4237819584076519</v>
      </c>
      <c r="R22" s="119"/>
    </row>
    <row r="23" spans="4:18" ht="12.75">
      <c r="D23" s="16" t="s">
        <v>29</v>
      </c>
      <c r="E23" s="16"/>
      <c r="F23" s="17"/>
      <c r="G23" s="18"/>
      <c r="H23" s="108"/>
      <c r="I23" s="20"/>
      <c r="J23" s="109">
        <f t="shared" si="0"/>
        <v>0</v>
      </c>
      <c r="K23" s="16"/>
      <c r="L23" s="108"/>
      <c r="M23" s="22"/>
      <c r="N23" s="109">
        <f t="shared" si="1"/>
        <v>0</v>
      </c>
      <c r="O23" s="16"/>
      <c r="P23" s="23">
        <f t="shared" si="2"/>
        <v>0</v>
      </c>
      <c r="Q23" s="110">
        <f t="shared" si="3"/>
      </c>
      <c r="R23" s="119"/>
    </row>
    <row r="24" spans="4:18" ht="12.75">
      <c r="D24" s="16" t="s">
        <v>30</v>
      </c>
      <c r="E24" s="16"/>
      <c r="F24" s="17"/>
      <c r="G24" s="18"/>
      <c r="H24" s="108"/>
      <c r="I24" s="20"/>
      <c r="J24" s="109">
        <f t="shared" si="0"/>
        <v>0</v>
      </c>
      <c r="K24" s="16"/>
      <c r="L24" s="108"/>
      <c r="M24" s="22"/>
      <c r="N24" s="109">
        <f t="shared" si="1"/>
        <v>0</v>
      </c>
      <c r="O24" s="16"/>
      <c r="P24" s="23">
        <f t="shared" si="2"/>
        <v>0</v>
      </c>
      <c r="Q24" s="110">
        <f t="shared" si="3"/>
      </c>
      <c r="R24" s="119"/>
    </row>
    <row r="25" spans="4:18" ht="12.75">
      <c r="D25" s="16" t="s">
        <v>31</v>
      </c>
      <c r="E25" s="16"/>
      <c r="F25" s="17" t="s">
        <v>73</v>
      </c>
      <c r="G25" s="18"/>
      <c r="H25" s="108">
        <v>0.0086</v>
      </c>
      <c r="I25" s="20">
        <f>H16</f>
        <v>800</v>
      </c>
      <c r="J25" s="109">
        <f t="shared" si="0"/>
        <v>6.88</v>
      </c>
      <c r="K25" s="16"/>
      <c r="L25" s="108">
        <f>'App.2-V Bill Impacts Res 100kwh'!L25</f>
        <v>0.0105</v>
      </c>
      <c r="M25" s="22">
        <f>H16</f>
        <v>800</v>
      </c>
      <c r="N25" s="109">
        <f t="shared" si="1"/>
        <v>8.4</v>
      </c>
      <c r="O25" s="16"/>
      <c r="P25" s="23">
        <f t="shared" si="2"/>
        <v>1.5200000000000005</v>
      </c>
      <c r="Q25" s="110">
        <f t="shared" si="3"/>
        <v>0.2209302325581396</v>
      </c>
      <c r="R25" s="119"/>
    </row>
    <row r="26" spans="4:18" ht="12.75">
      <c r="D26" s="16" t="s">
        <v>32</v>
      </c>
      <c r="E26" s="16"/>
      <c r="F26" s="17" t="s">
        <v>73</v>
      </c>
      <c r="G26" s="18"/>
      <c r="H26" s="108">
        <v>0.0007</v>
      </c>
      <c r="I26" s="20">
        <f>I25</f>
        <v>800</v>
      </c>
      <c r="J26" s="109">
        <f t="shared" si="0"/>
        <v>0.5599999999999999</v>
      </c>
      <c r="K26" s="16"/>
      <c r="L26" s="108">
        <f>'App.2-V Bill Impacts Res 100kwh'!L26</f>
        <v>0.0007</v>
      </c>
      <c r="M26" s="22">
        <f>M25</f>
        <v>800</v>
      </c>
      <c r="N26" s="109">
        <f t="shared" si="1"/>
        <v>0.5599999999999999</v>
      </c>
      <c r="O26" s="16"/>
      <c r="P26" s="23">
        <f t="shared" si="2"/>
        <v>0</v>
      </c>
      <c r="Q26" s="110">
        <f t="shared" si="3"/>
        <v>0</v>
      </c>
      <c r="R26" s="119"/>
    </row>
    <row r="27" spans="4:18" ht="12.75">
      <c r="D27" s="16" t="s">
        <v>33</v>
      </c>
      <c r="E27" s="16"/>
      <c r="F27" s="17"/>
      <c r="G27" s="18"/>
      <c r="H27" s="108"/>
      <c r="I27" s="20"/>
      <c r="J27" s="109">
        <f t="shared" si="0"/>
        <v>0</v>
      </c>
      <c r="K27" s="16"/>
      <c r="L27" s="108"/>
      <c r="M27" s="22"/>
      <c r="N27" s="109">
        <f t="shared" si="1"/>
        <v>0</v>
      </c>
      <c r="O27" s="16"/>
      <c r="P27" s="23">
        <f t="shared" si="2"/>
        <v>0</v>
      </c>
      <c r="Q27" s="110">
        <f t="shared" si="3"/>
      </c>
      <c r="R27" s="119"/>
    </row>
    <row r="28" spans="4:18" ht="12.75">
      <c r="D28" s="16" t="s">
        <v>34</v>
      </c>
      <c r="E28" s="16"/>
      <c r="F28" s="17"/>
      <c r="G28" s="18"/>
      <c r="H28" s="108"/>
      <c r="I28" s="20"/>
      <c r="J28" s="109">
        <f t="shared" si="0"/>
        <v>0</v>
      </c>
      <c r="K28" s="16"/>
      <c r="L28" s="108"/>
      <c r="M28" s="22"/>
      <c r="N28" s="109">
        <f t="shared" si="1"/>
        <v>0</v>
      </c>
      <c r="O28" s="16"/>
      <c r="P28" s="23">
        <f t="shared" si="2"/>
        <v>0</v>
      </c>
      <c r="Q28" s="110">
        <f t="shared" si="3"/>
      </c>
      <c r="R28" s="119"/>
    </row>
    <row r="29" spans="4:17"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row>
    <row r="30" spans="4:19" ht="12.75">
      <c r="D30" s="16" t="s">
        <v>36</v>
      </c>
      <c r="E30" s="16"/>
      <c r="F30" s="17" t="s">
        <v>73</v>
      </c>
      <c r="G30" s="18"/>
      <c r="H30" s="108"/>
      <c r="I30" s="20"/>
      <c r="J30" s="109">
        <f t="shared" si="0"/>
        <v>0</v>
      </c>
      <c r="K30" s="16"/>
      <c r="L30" s="108">
        <f>'App.2-V Bill Impacts Res 100kwh'!L30</f>
        <v>0.0005</v>
      </c>
      <c r="M30" s="22">
        <f>H16</f>
        <v>800</v>
      </c>
      <c r="N30" s="109">
        <f t="shared" si="1"/>
        <v>0.4</v>
      </c>
      <c r="O30" s="16"/>
      <c r="P30" s="23">
        <f t="shared" si="2"/>
        <v>0.4</v>
      </c>
      <c r="Q30" s="110">
        <f t="shared" si="3"/>
      </c>
      <c r="S30" s="117"/>
    </row>
    <row r="31" spans="4:19" ht="26.25">
      <c r="D31" s="25" t="s">
        <v>37</v>
      </c>
      <c r="E31" s="16"/>
      <c r="F31" s="17" t="s">
        <v>73</v>
      </c>
      <c r="G31" s="18"/>
      <c r="H31" s="108"/>
      <c r="I31" s="20"/>
      <c r="J31" s="109">
        <f t="shared" si="0"/>
        <v>0</v>
      </c>
      <c r="K31" s="16"/>
      <c r="L31" s="108">
        <f>'App.2-V Bill Impacts Res 100kwh'!L31</f>
        <v>-0.005455093448542674</v>
      </c>
      <c r="M31" s="22">
        <f>H16</f>
        <v>800</v>
      </c>
      <c r="N31" s="109">
        <f t="shared" si="1"/>
        <v>-4.364074758834139</v>
      </c>
      <c r="O31" s="16"/>
      <c r="P31" s="23">
        <f t="shared" si="2"/>
        <v>-4.364074758834139</v>
      </c>
      <c r="Q31" s="110">
        <f t="shared" si="3"/>
      </c>
      <c r="S31" s="117"/>
    </row>
    <row r="32" spans="4:17" ht="13.5" thickBot="1">
      <c r="D32" s="115"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row>
    <row r="33" spans="4:17" ht="13.5" thickBot="1">
      <c r="D33" s="3" t="s">
        <v>38</v>
      </c>
      <c r="G33" s="29"/>
      <c r="H33" s="30"/>
      <c r="I33" s="31"/>
      <c r="J33" s="32">
        <f>SUM(J21:J32)</f>
        <v>24.539999999999996</v>
      </c>
      <c r="L33" s="30"/>
      <c r="M33" s="33"/>
      <c r="N33" s="32">
        <f>SUM(N21:N32)</f>
        <v>28.309251338397086</v>
      </c>
      <c r="P33" s="34">
        <f t="shared" si="2"/>
        <v>3.7692513383970905</v>
      </c>
      <c r="Q33" s="35">
        <f t="shared" si="3"/>
        <v>0.15359622405856116</v>
      </c>
    </row>
    <row r="34" spans="4:17" ht="12.75">
      <c r="D34" s="36" t="s">
        <v>39</v>
      </c>
      <c r="E34" s="36"/>
      <c r="F34" s="37" t="s">
        <v>73</v>
      </c>
      <c r="G34" s="38"/>
      <c r="H34" s="111">
        <v>0.0059</v>
      </c>
      <c r="I34" s="39">
        <f>H16*(1+H50)</f>
        <v>840.16</v>
      </c>
      <c r="J34" s="112">
        <f>I34*H34</f>
        <v>4.956944</v>
      </c>
      <c r="K34" s="36"/>
      <c r="L34" s="111">
        <v>0.0066</v>
      </c>
      <c r="M34" s="40">
        <f>H16*(1+L50)</f>
        <v>842.04253066836</v>
      </c>
      <c r="N34" s="112">
        <f>M34*L34</f>
        <v>5.557480702411175</v>
      </c>
      <c r="O34" s="36"/>
      <c r="P34" s="41">
        <f t="shared" si="2"/>
        <v>0.6005367024111754</v>
      </c>
      <c r="Q34" s="113">
        <f t="shared" si="3"/>
        <v>0.12115059246406161</v>
      </c>
    </row>
    <row r="35" spans="4:17" ht="27" thickBot="1">
      <c r="D35" s="42" t="s">
        <v>40</v>
      </c>
      <c r="E35" s="36"/>
      <c r="F35" s="37" t="s">
        <v>73</v>
      </c>
      <c r="G35" s="38"/>
      <c r="H35" s="111">
        <v>0.0049</v>
      </c>
      <c r="I35" s="39">
        <f>I34</f>
        <v>840.16</v>
      </c>
      <c r="J35" s="112">
        <f>I35*H35</f>
        <v>4.116784</v>
      </c>
      <c r="K35" s="36"/>
      <c r="L35" s="111">
        <v>0.0054</v>
      </c>
      <c r="M35" s="40">
        <f>M34</f>
        <v>842.04253066836</v>
      </c>
      <c r="N35" s="112">
        <f>M35*L35</f>
        <v>4.547029665609144</v>
      </c>
      <c r="O35" s="36"/>
      <c r="P35" s="41">
        <f t="shared" si="2"/>
        <v>0.430245665609144</v>
      </c>
      <c r="Q35" s="113">
        <f t="shared" si="3"/>
        <v>0.10451013840151537</v>
      </c>
    </row>
    <row r="36" spans="4:17" ht="27" thickBot="1">
      <c r="D36" s="43" t="s">
        <v>41</v>
      </c>
      <c r="E36" s="16"/>
      <c r="F36" s="16"/>
      <c r="G36" s="18"/>
      <c r="H36" s="44"/>
      <c r="I36" s="45"/>
      <c r="J36" s="46">
        <f>SUM(J33:J35)</f>
        <v>33.613727999999995</v>
      </c>
      <c r="K36" s="47"/>
      <c r="L36" s="48"/>
      <c r="M36" s="49"/>
      <c r="N36" s="46">
        <f>SUM(N33:N35)</f>
        <v>38.413761706417404</v>
      </c>
      <c r="O36" s="47"/>
      <c r="P36" s="50">
        <f t="shared" si="2"/>
        <v>4.800033706417409</v>
      </c>
      <c r="Q36" s="51">
        <f t="shared" si="3"/>
        <v>0.14279980210518184</v>
      </c>
    </row>
    <row r="37" spans="4:17" ht="26.25">
      <c r="D37" s="25" t="s">
        <v>42</v>
      </c>
      <c r="E37" s="16"/>
      <c r="F37" s="17" t="s">
        <v>73</v>
      </c>
      <c r="G37" s="18"/>
      <c r="H37" s="19">
        <v>0.0065</v>
      </c>
      <c r="I37" s="20">
        <f>I35</f>
        <v>840.16</v>
      </c>
      <c r="J37" s="21">
        <f aca="true" t="shared" si="4" ref="J37:J43">I37*H37</f>
        <v>5.46104</v>
      </c>
      <c r="K37" s="16"/>
      <c r="L37" s="19">
        <v>0.0065</v>
      </c>
      <c r="M37" s="22">
        <f>M35</f>
        <v>842.04253066836</v>
      </c>
      <c r="N37" s="21">
        <f aca="true" t="shared" si="5" ref="N37:N43">M37*L37</f>
        <v>5.47327644934434</v>
      </c>
      <c r="O37" s="16"/>
      <c r="P37" s="23">
        <f t="shared" si="2"/>
        <v>0.012236449344340095</v>
      </c>
      <c r="Q37" s="24">
        <f t="shared" si="3"/>
        <v>0.002240681142115805</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t="s">
        <v>73</v>
      </c>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840.16</v>
      </c>
      <c r="J41" s="21">
        <f t="shared" si="4"/>
        <v>5.88112</v>
      </c>
      <c r="K41" s="16"/>
      <c r="L41" s="19">
        <v>0.007</v>
      </c>
      <c r="M41" s="22">
        <f>M37</f>
        <v>842.04253066836</v>
      </c>
      <c r="N41" s="21">
        <f t="shared" si="5"/>
        <v>5.89429771467852</v>
      </c>
      <c r="O41" s="16"/>
      <c r="P41" s="23">
        <f t="shared" si="2"/>
        <v>0.013177714678519692</v>
      </c>
      <c r="Q41" s="24">
        <f t="shared" si="3"/>
        <v>0.002240681142115735</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240.15999999999997</v>
      </c>
      <c r="J43" s="21">
        <f t="shared" si="4"/>
        <v>18.97264</v>
      </c>
      <c r="K43" s="16"/>
      <c r="L43" s="19">
        <v>0.079</v>
      </c>
      <c r="M43" s="54">
        <f>M41-M42</f>
        <v>242.04253066835997</v>
      </c>
      <c r="N43" s="21">
        <f t="shared" si="5"/>
        <v>19.121359922800437</v>
      </c>
      <c r="O43" s="16"/>
      <c r="P43" s="23">
        <f t="shared" si="2"/>
        <v>0.14871992280043855</v>
      </c>
      <c r="Q43" s="24">
        <f t="shared" si="3"/>
        <v>0.007838652016822044</v>
      </c>
    </row>
    <row r="44" spans="4:17" ht="13.5" thickBot="1">
      <c r="D44" s="56" t="s">
        <v>48</v>
      </c>
      <c r="E44" s="16"/>
      <c r="F44" s="16"/>
      <c r="G44" s="16"/>
      <c r="H44" s="57"/>
      <c r="I44" s="58"/>
      <c r="J44" s="46">
        <f>SUM(J36:J43)</f>
        <v>104.728528</v>
      </c>
      <c r="K44" s="47"/>
      <c r="L44" s="59"/>
      <c r="M44" s="60"/>
      <c r="N44" s="46">
        <f>SUM(N36:N43)</f>
        <v>109.70269579324071</v>
      </c>
      <c r="O44" s="47"/>
      <c r="P44" s="50">
        <f>N44-J44</f>
        <v>4.97416779324071</v>
      </c>
      <c r="Q44" s="51">
        <f t="shared" si="3"/>
        <v>0.047495824568838683</v>
      </c>
    </row>
    <row r="45" spans="4:17" ht="13.5" thickBot="1">
      <c r="D45" s="18" t="s">
        <v>49</v>
      </c>
      <c r="E45" s="16"/>
      <c r="F45" s="16"/>
      <c r="G45" s="16"/>
      <c r="H45" s="61">
        <v>0.13</v>
      </c>
      <c r="I45" s="62"/>
      <c r="J45" s="63">
        <f>J44*H45</f>
        <v>13.61470864</v>
      </c>
      <c r="K45" s="16"/>
      <c r="L45" s="61">
        <v>0.13</v>
      </c>
      <c r="M45" s="64"/>
      <c r="N45" s="63">
        <f>N44*L45</f>
        <v>14.261350453121292</v>
      </c>
      <c r="O45" s="16"/>
      <c r="P45" s="23">
        <f t="shared" si="2"/>
        <v>0.6466418131212919</v>
      </c>
      <c r="Q45" s="24">
        <f t="shared" si="3"/>
        <v>0.047495824568838656</v>
      </c>
    </row>
    <row r="46" spans="4:17" ht="27" thickBot="1">
      <c r="D46" s="43" t="s">
        <v>50</v>
      </c>
      <c r="E46" s="16"/>
      <c r="F46" s="16"/>
      <c r="G46" s="16"/>
      <c r="H46" s="44"/>
      <c r="I46" s="45"/>
      <c r="J46" s="46">
        <f>ROUND(SUM(J44:J45),2)</f>
        <v>118.34</v>
      </c>
      <c r="K46" s="47"/>
      <c r="L46" s="48"/>
      <c r="M46" s="49"/>
      <c r="N46" s="46">
        <f>ROUND(SUM(N44:N45),2)</f>
        <v>123.96</v>
      </c>
      <c r="O46" s="47"/>
      <c r="P46" s="50">
        <f t="shared" si="2"/>
        <v>5.61999999999999</v>
      </c>
      <c r="Q46" s="51">
        <f t="shared" si="3"/>
        <v>0.047490282237620335</v>
      </c>
    </row>
    <row r="47" spans="4:17" ht="29.25" thickBot="1">
      <c r="D47" s="83" t="s">
        <v>102</v>
      </c>
      <c r="E47" s="16"/>
      <c r="F47" s="16"/>
      <c r="G47" s="16"/>
      <c r="H47" s="44"/>
      <c r="I47" s="80"/>
      <c r="J47" s="46">
        <f>ROUND(-J46*10%,2)</f>
        <v>-11.83</v>
      </c>
      <c r="K47" s="47"/>
      <c r="L47" s="48"/>
      <c r="M47" s="49"/>
      <c r="N47" s="46">
        <f>ROUND(-N46*10%,2)</f>
        <v>-12.4</v>
      </c>
      <c r="O47" s="47"/>
      <c r="P47" s="50">
        <f t="shared" si="2"/>
        <v>-0.5700000000000003</v>
      </c>
      <c r="Q47" s="51">
        <f t="shared" si="3"/>
        <v>0.04818258664412513</v>
      </c>
    </row>
    <row r="48" spans="4:17" ht="13.5" thickBot="1">
      <c r="D48" s="43" t="s">
        <v>55</v>
      </c>
      <c r="E48" s="16"/>
      <c r="F48" s="16"/>
      <c r="G48" s="16"/>
      <c r="H48" s="82"/>
      <c r="I48" s="81"/>
      <c r="J48" s="75">
        <f>J46+J47</f>
        <v>106.51</v>
      </c>
      <c r="K48" s="47"/>
      <c r="L48" s="79"/>
      <c r="M48" s="78"/>
      <c r="N48" s="75">
        <f>N46+N47</f>
        <v>111.55999999999999</v>
      </c>
      <c r="O48" s="47"/>
      <c r="P48" s="77">
        <f t="shared" si="2"/>
        <v>5.049999999999983</v>
      </c>
      <c r="Q48" s="76">
        <f t="shared" si="3"/>
        <v>0.047413388414233246</v>
      </c>
    </row>
    <row r="49" ht="10.5" customHeight="1"/>
    <row r="50" spans="4:12" ht="12.75">
      <c r="D50" s="3" t="s">
        <v>51</v>
      </c>
      <c r="H50" s="65">
        <v>0.0502</v>
      </c>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10">
    <mergeCell ref="D11:Q11"/>
    <mergeCell ref="F14:Q14"/>
    <mergeCell ref="P1:Q1"/>
    <mergeCell ref="P2:Q2"/>
    <mergeCell ref="P7:Q7"/>
    <mergeCell ref="D10:Q10"/>
    <mergeCell ref="C3:M3"/>
    <mergeCell ref="P3:Q3"/>
    <mergeCell ref="P4:Q4"/>
    <mergeCell ref="P5:Q5"/>
  </mergeCells>
  <dataValidations count="3">
    <dataValidation type="list" allowBlank="1" showInputMessage="1" showErrorMessage="1" prompt="Select Charge Unit - monthly, per kWh, per kW" sqref="F34:F35 F21:F32 F37:F43">
      <formula1>"Monthly, per kWh, per kW"</formula1>
    </dataValidation>
    <dataValidation type="list" allowBlank="1" showInputMessage="1" showErrorMessage="1" sqref="G37:G43 G21:G32 G34:G35">
      <formula1>$B$14:$B$19</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9" r:id="rId1"/>
  <headerFooter alignWithMargins="0">
    <oddFooter>&amp;C9</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S64"/>
  <sheetViews>
    <sheetView showGridLines="0" zoomScalePageLayoutView="0" workbookViewId="0" topLeftCell="A16">
      <selection activeCell="L22" sqref="L22:M2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9.7109375" style="2" customWidth="1"/>
    <col min="11" max="11" width="2.8515625" style="2" customWidth="1"/>
    <col min="12" max="12" width="12.140625" style="2" customWidth="1"/>
    <col min="13" max="13" width="8.57421875" style="2" customWidth="1"/>
    <col min="14" max="14" width="9.7109375" style="2" customWidth="1"/>
    <col min="15" max="15" width="2.8515625" style="2" customWidth="1"/>
    <col min="16" max="16" width="8.8515625" style="2" customWidth="1"/>
    <col min="17" max="17" width="10.00390625" style="2" bestFit="1" customWidth="1"/>
    <col min="18" max="18" width="12.57421875" style="2" bestFit="1"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8" t="s">
        <v>56</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1000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8" ht="12.75">
      <c r="D21" s="16" t="s">
        <v>27</v>
      </c>
      <c r="E21" s="16"/>
      <c r="F21" s="17" t="s">
        <v>72</v>
      </c>
      <c r="G21" s="18"/>
      <c r="H21" s="108">
        <v>15.11</v>
      </c>
      <c r="I21" s="20">
        <v>1</v>
      </c>
      <c r="J21" s="109">
        <f aca="true" t="shared" si="0" ref="J21:J32">I21*H21</f>
        <v>15.11</v>
      </c>
      <c r="K21" s="16"/>
      <c r="L21" s="108">
        <f>'App.2-V Bill Impacts Res 100kwh'!L21</f>
        <v>18.49</v>
      </c>
      <c r="M21" s="22">
        <v>1</v>
      </c>
      <c r="N21" s="109">
        <f aca="true" t="shared" si="1" ref="N21:N32">M21*L21</f>
        <v>18.49</v>
      </c>
      <c r="O21" s="16"/>
      <c r="P21" s="23">
        <f aca="true" t="shared" si="2" ref="P21:P48">N21-J21</f>
        <v>3.379999999999999</v>
      </c>
      <c r="Q21" s="110">
        <f aca="true" t="shared" si="3" ref="Q21:Q48">IF((J21)=0,"",(P21/J21))</f>
        <v>0.22369291859695561</v>
      </c>
      <c r="R21" s="119"/>
    </row>
    <row r="22" spans="4:18" ht="12.75">
      <c r="D22" s="16" t="s">
        <v>28</v>
      </c>
      <c r="E22" s="16"/>
      <c r="F22" s="17" t="s">
        <v>72</v>
      </c>
      <c r="G22" s="18"/>
      <c r="H22" s="108">
        <v>1.99</v>
      </c>
      <c r="I22" s="20">
        <v>1</v>
      </c>
      <c r="J22" s="109">
        <f t="shared" si="0"/>
        <v>1.99</v>
      </c>
      <c r="K22" s="16"/>
      <c r="L22" s="108">
        <f>'App.2-V Bill Impacts Res 100kwh'!L22</f>
        <v>4.823326097231227</v>
      </c>
      <c r="M22" s="22">
        <v>1</v>
      </c>
      <c r="N22" s="109">
        <f t="shared" si="1"/>
        <v>4.823326097231227</v>
      </c>
      <c r="O22" s="16"/>
      <c r="P22" s="23">
        <f t="shared" si="2"/>
        <v>2.833326097231227</v>
      </c>
      <c r="Q22" s="110">
        <f t="shared" si="3"/>
        <v>1.4237819584076519</v>
      </c>
      <c r="R22" s="119"/>
    </row>
    <row r="23" spans="4:18" ht="12.75">
      <c r="D23" s="16" t="s">
        <v>29</v>
      </c>
      <c r="E23" s="16"/>
      <c r="F23" s="17"/>
      <c r="G23" s="18"/>
      <c r="H23" s="108"/>
      <c r="I23" s="20"/>
      <c r="J23" s="109">
        <f t="shared" si="0"/>
        <v>0</v>
      </c>
      <c r="K23" s="16"/>
      <c r="L23" s="108"/>
      <c r="M23" s="22"/>
      <c r="N23" s="109">
        <f t="shared" si="1"/>
        <v>0</v>
      </c>
      <c r="O23" s="16"/>
      <c r="P23" s="23">
        <f t="shared" si="2"/>
        <v>0</v>
      </c>
      <c r="Q23" s="110">
        <f t="shared" si="3"/>
      </c>
      <c r="R23" s="119"/>
    </row>
    <row r="24" spans="4:18" ht="12.75">
      <c r="D24" s="16" t="s">
        <v>30</v>
      </c>
      <c r="E24" s="16"/>
      <c r="F24" s="17"/>
      <c r="G24" s="18"/>
      <c r="H24" s="108"/>
      <c r="I24" s="20"/>
      <c r="J24" s="109">
        <f t="shared" si="0"/>
        <v>0</v>
      </c>
      <c r="K24" s="16"/>
      <c r="L24" s="108"/>
      <c r="M24" s="22"/>
      <c r="N24" s="109">
        <f t="shared" si="1"/>
        <v>0</v>
      </c>
      <c r="O24" s="16"/>
      <c r="P24" s="23">
        <f t="shared" si="2"/>
        <v>0</v>
      </c>
      <c r="Q24" s="110">
        <f t="shared" si="3"/>
      </c>
      <c r="R24" s="119"/>
    </row>
    <row r="25" spans="4:18" ht="12.75">
      <c r="D25" s="16" t="s">
        <v>31</v>
      </c>
      <c r="E25" s="16"/>
      <c r="F25" s="17" t="s">
        <v>73</v>
      </c>
      <c r="G25" s="18"/>
      <c r="H25" s="108">
        <v>0.0086</v>
      </c>
      <c r="I25" s="20">
        <f>H16</f>
        <v>1000</v>
      </c>
      <c r="J25" s="109">
        <f t="shared" si="0"/>
        <v>8.6</v>
      </c>
      <c r="K25" s="16"/>
      <c r="L25" s="108">
        <f>'App.2-V Bill Impacts Res 100kwh'!L25</f>
        <v>0.0105</v>
      </c>
      <c r="M25" s="22">
        <f>H16</f>
        <v>1000</v>
      </c>
      <c r="N25" s="109">
        <f t="shared" si="1"/>
        <v>10.5</v>
      </c>
      <c r="O25" s="16"/>
      <c r="P25" s="23">
        <f t="shared" si="2"/>
        <v>1.9000000000000004</v>
      </c>
      <c r="Q25" s="110">
        <f t="shared" si="3"/>
        <v>0.2209302325581396</v>
      </c>
      <c r="R25" s="119"/>
    </row>
    <row r="26" spans="4:18" ht="12.75">
      <c r="D26" s="16" t="s">
        <v>32</v>
      </c>
      <c r="E26" s="16"/>
      <c r="F26" s="17" t="s">
        <v>73</v>
      </c>
      <c r="G26" s="18"/>
      <c r="H26" s="108">
        <v>0.0007</v>
      </c>
      <c r="I26" s="20">
        <f>I25</f>
        <v>1000</v>
      </c>
      <c r="J26" s="109">
        <f t="shared" si="0"/>
        <v>0.7</v>
      </c>
      <c r="K26" s="16"/>
      <c r="L26" s="108">
        <f>'App.2-V Bill Impacts Res 100kwh'!L26</f>
        <v>0.0007</v>
      </c>
      <c r="M26" s="22">
        <f>M25</f>
        <v>1000</v>
      </c>
      <c r="N26" s="109">
        <f t="shared" si="1"/>
        <v>0.7</v>
      </c>
      <c r="O26" s="16"/>
      <c r="P26" s="23">
        <f t="shared" si="2"/>
        <v>0</v>
      </c>
      <c r="Q26" s="110">
        <f t="shared" si="3"/>
        <v>0</v>
      </c>
      <c r="R26" s="119"/>
    </row>
    <row r="27" spans="4:18" ht="12.75">
      <c r="D27" s="16" t="s">
        <v>33</v>
      </c>
      <c r="E27" s="16"/>
      <c r="F27" s="17"/>
      <c r="G27" s="18"/>
      <c r="H27" s="108"/>
      <c r="I27" s="20"/>
      <c r="J27" s="109">
        <f t="shared" si="0"/>
        <v>0</v>
      </c>
      <c r="K27" s="16"/>
      <c r="L27" s="108"/>
      <c r="M27" s="22"/>
      <c r="N27" s="109">
        <f t="shared" si="1"/>
        <v>0</v>
      </c>
      <c r="O27" s="16"/>
      <c r="P27" s="23">
        <f t="shared" si="2"/>
        <v>0</v>
      </c>
      <c r="Q27" s="110">
        <f t="shared" si="3"/>
      </c>
      <c r="R27" s="119"/>
    </row>
    <row r="28" spans="4:18" ht="12.75">
      <c r="D28" s="16" t="s">
        <v>34</v>
      </c>
      <c r="E28" s="16"/>
      <c r="F28" s="17"/>
      <c r="G28" s="18"/>
      <c r="H28" s="108"/>
      <c r="I28" s="20"/>
      <c r="J28" s="109">
        <f t="shared" si="0"/>
        <v>0</v>
      </c>
      <c r="K28" s="16"/>
      <c r="L28" s="108"/>
      <c r="M28" s="22"/>
      <c r="N28" s="109">
        <f t="shared" si="1"/>
        <v>0</v>
      </c>
      <c r="O28" s="16"/>
      <c r="P28" s="23">
        <f t="shared" si="2"/>
        <v>0</v>
      </c>
      <c r="Q28" s="110">
        <f t="shared" si="3"/>
      </c>
      <c r="R28" s="119"/>
    </row>
    <row r="29" spans="4:17"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row>
    <row r="30" spans="4:19" ht="12.75">
      <c r="D30" s="16" t="s">
        <v>36</v>
      </c>
      <c r="E30" s="16"/>
      <c r="F30" s="17" t="s">
        <v>73</v>
      </c>
      <c r="G30" s="18"/>
      <c r="H30" s="108"/>
      <c r="I30" s="20"/>
      <c r="J30" s="109">
        <f t="shared" si="0"/>
        <v>0</v>
      </c>
      <c r="K30" s="16"/>
      <c r="L30" s="108">
        <f>'App.2-V Bill Impacts Res 100kwh'!L30</f>
        <v>0.0005</v>
      </c>
      <c r="M30" s="22">
        <f>H16</f>
        <v>1000</v>
      </c>
      <c r="N30" s="109">
        <f t="shared" si="1"/>
        <v>0.5</v>
      </c>
      <c r="O30" s="16"/>
      <c r="P30" s="23">
        <f t="shared" si="2"/>
        <v>0.5</v>
      </c>
      <c r="Q30" s="110">
        <f t="shared" si="3"/>
      </c>
      <c r="S30" s="117"/>
    </row>
    <row r="31" spans="4:19" ht="26.25">
      <c r="D31" s="25" t="s">
        <v>37</v>
      </c>
      <c r="E31" s="16"/>
      <c r="F31" s="17" t="s">
        <v>73</v>
      </c>
      <c r="G31" s="18"/>
      <c r="H31" s="108"/>
      <c r="I31" s="20"/>
      <c r="J31" s="109">
        <f t="shared" si="0"/>
        <v>0</v>
      </c>
      <c r="K31" s="16"/>
      <c r="L31" s="108">
        <f>'App.2-V Bill Impacts Res 100kwh'!L31</f>
        <v>-0.005455093448542674</v>
      </c>
      <c r="M31" s="22">
        <f>H16</f>
        <v>1000</v>
      </c>
      <c r="N31" s="109">
        <f t="shared" si="1"/>
        <v>-5.455093448542674</v>
      </c>
      <c r="O31" s="16"/>
      <c r="P31" s="23">
        <f t="shared" si="2"/>
        <v>-5.455093448542674</v>
      </c>
      <c r="Q31" s="110">
        <f t="shared" si="3"/>
      </c>
      <c r="S31" s="117"/>
    </row>
    <row r="32" spans="4:17" ht="13.5" thickBot="1">
      <c r="D32" s="115"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row>
    <row r="33" spans="4:17" ht="13.5" thickBot="1">
      <c r="D33" s="3" t="s">
        <v>38</v>
      </c>
      <c r="G33" s="29"/>
      <c r="H33" s="30"/>
      <c r="I33" s="31"/>
      <c r="J33" s="32">
        <f>SUM(J21:J32)</f>
        <v>26.399999999999995</v>
      </c>
      <c r="L33" s="30"/>
      <c r="M33" s="33"/>
      <c r="N33" s="32">
        <f>SUM(N21:N32)</f>
        <v>29.558232648688556</v>
      </c>
      <c r="P33" s="34">
        <f t="shared" si="2"/>
        <v>3.1582326486885606</v>
      </c>
      <c r="Q33" s="35">
        <f t="shared" si="3"/>
        <v>0.1196300245715364</v>
      </c>
    </row>
    <row r="34" spans="4:17" ht="12.75">
      <c r="D34" s="36" t="s">
        <v>39</v>
      </c>
      <c r="E34" s="36"/>
      <c r="F34" s="37" t="s">
        <v>73</v>
      </c>
      <c r="G34" s="38"/>
      <c r="H34" s="111">
        <v>0.0059</v>
      </c>
      <c r="I34" s="39">
        <f>H16*(1+H50)</f>
        <v>1050.2</v>
      </c>
      <c r="J34" s="112">
        <f>I34*H34</f>
        <v>6.19618</v>
      </c>
      <c r="K34" s="36"/>
      <c r="L34" s="111">
        <v>0.0066</v>
      </c>
      <c r="M34" s="40">
        <f>H16*(1+L50)</f>
        <v>1052.5531633354499</v>
      </c>
      <c r="N34" s="112">
        <f>M34*L34</f>
        <v>6.9468508780139695</v>
      </c>
      <c r="O34" s="36"/>
      <c r="P34" s="41">
        <f t="shared" si="2"/>
        <v>0.7506708780139695</v>
      </c>
      <c r="Q34" s="113">
        <f t="shared" si="3"/>
        <v>0.12115059246406164</v>
      </c>
    </row>
    <row r="35" spans="4:17" ht="27" thickBot="1">
      <c r="D35" s="42" t="s">
        <v>40</v>
      </c>
      <c r="E35" s="36"/>
      <c r="F35" s="37" t="s">
        <v>73</v>
      </c>
      <c r="G35" s="38"/>
      <c r="H35" s="111">
        <v>0.0049</v>
      </c>
      <c r="I35" s="39">
        <f>I34</f>
        <v>1050.2</v>
      </c>
      <c r="J35" s="112">
        <f>I35*H35</f>
        <v>5.14598</v>
      </c>
      <c r="K35" s="36"/>
      <c r="L35" s="111">
        <v>0.0054</v>
      </c>
      <c r="M35" s="40">
        <f>M34</f>
        <v>1052.5531633354499</v>
      </c>
      <c r="N35" s="112">
        <f>M35*L35</f>
        <v>5.683787082011429</v>
      </c>
      <c r="O35" s="36"/>
      <c r="P35" s="41">
        <f t="shared" si="2"/>
        <v>0.5378070820114296</v>
      </c>
      <c r="Q35" s="113">
        <f t="shared" si="3"/>
        <v>0.10451013840151528</v>
      </c>
    </row>
    <row r="36" spans="4:17" ht="27" thickBot="1">
      <c r="D36" s="43" t="s">
        <v>41</v>
      </c>
      <c r="E36" s="16"/>
      <c r="F36" s="16"/>
      <c r="G36" s="18"/>
      <c r="H36" s="44"/>
      <c r="I36" s="45"/>
      <c r="J36" s="46">
        <f>SUM(J33:J35)</f>
        <v>37.74216</v>
      </c>
      <c r="K36" s="47"/>
      <c r="L36" s="48"/>
      <c r="M36" s="49"/>
      <c r="N36" s="46">
        <f>SUM(N33:N35)</f>
        <v>42.188870608713955</v>
      </c>
      <c r="O36" s="47"/>
      <c r="P36" s="50">
        <f t="shared" si="2"/>
        <v>4.446710608713957</v>
      </c>
      <c r="Q36" s="51">
        <f t="shared" si="3"/>
        <v>0.11781812722732236</v>
      </c>
    </row>
    <row r="37" spans="4:17" ht="26.25">
      <c r="D37" s="25" t="s">
        <v>42</v>
      </c>
      <c r="E37" s="16"/>
      <c r="F37" s="17" t="s">
        <v>73</v>
      </c>
      <c r="G37" s="18"/>
      <c r="H37" s="19">
        <v>0.0065</v>
      </c>
      <c r="I37" s="20">
        <f>I35</f>
        <v>1050.2</v>
      </c>
      <c r="J37" s="21">
        <f aca="true" t="shared" si="4" ref="J37:J43">I37*H37</f>
        <v>6.8263</v>
      </c>
      <c r="K37" s="16"/>
      <c r="L37" s="19">
        <v>0.0065</v>
      </c>
      <c r="M37" s="22">
        <f>M35</f>
        <v>1052.5531633354499</v>
      </c>
      <c r="N37" s="21">
        <f aca="true" t="shared" si="5" ref="N37:N43">M37*L37</f>
        <v>6.841595561680424</v>
      </c>
      <c r="O37" s="16"/>
      <c r="P37" s="23">
        <f t="shared" si="2"/>
        <v>0.015295561680424008</v>
      </c>
      <c r="Q37" s="24">
        <f t="shared" si="3"/>
        <v>0.002240681142115642</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t="s">
        <v>73</v>
      </c>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1050.2</v>
      </c>
      <c r="J41" s="21">
        <f t="shared" si="4"/>
        <v>7.351400000000001</v>
      </c>
      <c r="K41" s="16"/>
      <c r="L41" s="19">
        <v>0.007</v>
      </c>
      <c r="M41" s="22">
        <f>M37</f>
        <v>1052.5531633354499</v>
      </c>
      <c r="N41" s="21">
        <f t="shared" si="5"/>
        <v>7.3678721433481495</v>
      </c>
      <c r="O41" s="16"/>
      <c r="P41" s="23">
        <f t="shared" si="2"/>
        <v>0.016472143348148727</v>
      </c>
      <c r="Q41" s="24">
        <f t="shared" si="3"/>
        <v>0.002240681142115614</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450.20000000000005</v>
      </c>
      <c r="J43" s="21">
        <f t="shared" si="4"/>
        <v>35.5658</v>
      </c>
      <c r="K43" s="16"/>
      <c r="L43" s="19">
        <v>0.079</v>
      </c>
      <c r="M43" s="54">
        <f>M41-M42</f>
        <v>452.5531633354499</v>
      </c>
      <c r="N43" s="21">
        <f t="shared" si="5"/>
        <v>35.751699903500544</v>
      </c>
      <c r="O43" s="16"/>
      <c r="P43" s="23">
        <f t="shared" si="2"/>
        <v>0.18589990350054109</v>
      </c>
      <c r="Q43" s="24">
        <f t="shared" si="3"/>
        <v>0.005226928777098816</v>
      </c>
    </row>
    <row r="44" spans="4:17" ht="13.5" thickBot="1">
      <c r="D44" s="56" t="s">
        <v>48</v>
      </c>
      <c r="E44" s="16"/>
      <c r="F44" s="16"/>
      <c r="G44" s="16"/>
      <c r="H44" s="57"/>
      <c r="I44" s="58"/>
      <c r="J44" s="46">
        <f>SUM(J36:J43)</f>
        <v>128.28566</v>
      </c>
      <c r="K44" s="47"/>
      <c r="L44" s="59"/>
      <c r="M44" s="60"/>
      <c r="N44" s="46">
        <f>SUM(N36:N43)</f>
        <v>132.95003821724308</v>
      </c>
      <c r="O44" s="47"/>
      <c r="P44" s="50">
        <f t="shared" si="2"/>
        <v>4.664378217243069</v>
      </c>
      <c r="Q44" s="51">
        <f t="shared" si="3"/>
        <v>0.03635931106596847</v>
      </c>
    </row>
    <row r="45" spans="4:17" ht="13.5" thickBot="1">
      <c r="D45" s="18" t="s">
        <v>49</v>
      </c>
      <c r="E45" s="16"/>
      <c r="F45" s="16"/>
      <c r="G45" s="16"/>
      <c r="H45" s="61">
        <v>0.13</v>
      </c>
      <c r="I45" s="62"/>
      <c r="J45" s="63">
        <f>J44*H45</f>
        <v>16.677135800000002</v>
      </c>
      <c r="K45" s="16"/>
      <c r="L45" s="61">
        <v>0.13</v>
      </c>
      <c r="M45" s="64"/>
      <c r="N45" s="63">
        <f>N44*L45</f>
        <v>17.2835049682416</v>
      </c>
      <c r="O45" s="16"/>
      <c r="P45" s="23">
        <f t="shared" si="2"/>
        <v>0.6063691682415993</v>
      </c>
      <c r="Q45" s="24">
        <f t="shared" si="3"/>
        <v>0.036359311065968486</v>
      </c>
    </row>
    <row r="46" spans="4:17" ht="27" thickBot="1">
      <c r="D46" s="43" t="s">
        <v>50</v>
      </c>
      <c r="E46" s="16"/>
      <c r="F46" s="16"/>
      <c r="G46" s="16"/>
      <c r="H46" s="44"/>
      <c r="I46" s="45"/>
      <c r="J46" s="46">
        <f>ROUND(SUM(J44:J45),2)</f>
        <v>144.96</v>
      </c>
      <c r="K46" s="47"/>
      <c r="L46" s="48"/>
      <c r="M46" s="49"/>
      <c r="N46" s="46">
        <f>ROUND(SUM(N44:N45),2)</f>
        <v>150.23</v>
      </c>
      <c r="O46" s="47"/>
      <c r="P46" s="50">
        <f t="shared" si="2"/>
        <v>5.269999999999982</v>
      </c>
      <c r="Q46" s="51">
        <f t="shared" si="3"/>
        <v>0.036354856512141154</v>
      </c>
    </row>
    <row r="47" spans="4:17" ht="29.25" thickBot="1">
      <c r="D47" s="83" t="s">
        <v>102</v>
      </c>
      <c r="E47" s="16"/>
      <c r="F47" s="16"/>
      <c r="G47" s="16"/>
      <c r="H47" s="44"/>
      <c r="I47" s="80"/>
      <c r="J47" s="46">
        <f>ROUND(-J46*10%,2)</f>
        <v>-14.5</v>
      </c>
      <c r="K47" s="47"/>
      <c r="L47" s="48"/>
      <c r="M47" s="49"/>
      <c r="N47" s="46">
        <f>ROUND(-N46*10%,2)</f>
        <v>-15.02</v>
      </c>
      <c r="O47" s="47"/>
      <c r="P47" s="50">
        <f t="shared" si="2"/>
        <v>-0.5199999999999996</v>
      </c>
      <c r="Q47" s="51">
        <f t="shared" si="3"/>
        <v>0.03586206896551721</v>
      </c>
    </row>
    <row r="48" spans="4:17" ht="13.5" thickBot="1">
      <c r="D48" s="43" t="s">
        <v>55</v>
      </c>
      <c r="E48" s="16"/>
      <c r="F48" s="16"/>
      <c r="G48" s="16"/>
      <c r="H48" s="82"/>
      <c r="I48" s="81"/>
      <c r="J48" s="75">
        <f>J46+J47</f>
        <v>130.46</v>
      </c>
      <c r="K48" s="47"/>
      <c r="L48" s="79"/>
      <c r="M48" s="78"/>
      <c r="N48" s="75">
        <f>N46+N47</f>
        <v>135.20999999999998</v>
      </c>
      <c r="O48" s="47"/>
      <c r="P48" s="77">
        <f t="shared" si="2"/>
        <v>4.749999999999972</v>
      </c>
      <c r="Q48" s="76">
        <f t="shared" si="3"/>
        <v>0.03640962747202186</v>
      </c>
    </row>
    <row r="49" ht="10.5" customHeight="1"/>
    <row r="50" spans="4:12" ht="12.75">
      <c r="D50" s="3" t="s">
        <v>51</v>
      </c>
      <c r="H50" s="65">
        <v>0.0502</v>
      </c>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C3:M3"/>
    <mergeCell ref="P3:Q3"/>
    <mergeCell ref="P4:Q4"/>
    <mergeCell ref="P5:Q5"/>
    <mergeCell ref="P1:Q1"/>
    <mergeCell ref="P2:Q2"/>
    <mergeCell ref="P7:Q7"/>
    <mergeCell ref="D10:Q10"/>
  </mergeCells>
  <dataValidations count="3">
    <dataValidation type="list" allowBlank="1" showInputMessage="1" showErrorMessage="1" prompt="Select Charge Unit - monthly, per kWh, per kW" sqref="F34:F35 F21:F32 F37:F43">
      <formula1>"Monthly, per kWh, per kW"</formula1>
    </dataValidation>
    <dataValidation type="list" allowBlank="1" showInputMessage="1" showErrorMessage="1" sqref="G37:G43 G21:G32 G34:G35">
      <formula1>$B$14:$B$19</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S64"/>
  <sheetViews>
    <sheetView showGridLines="0" zoomScalePageLayoutView="0" workbookViewId="0" topLeftCell="C13">
      <selection activeCell="L22" sqref="L22:M2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9.7109375" style="2" customWidth="1"/>
    <col min="11" max="11" width="2.8515625" style="2" customWidth="1"/>
    <col min="12" max="12" width="12.140625" style="2" customWidth="1"/>
    <col min="13" max="13" width="8.57421875" style="2" customWidth="1"/>
    <col min="14" max="14" width="9.7109375" style="2" customWidth="1"/>
    <col min="15" max="15" width="2.8515625" style="2" customWidth="1"/>
    <col min="16" max="16" width="8.8515625" style="2" customWidth="1"/>
    <col min="17" max="17" width="10.00390625" style="2" bestFit="1" customWidth="1"/>
    <col min="18" max="18" width="12.7109375" style="2" bestFit="1" customWidth="1"/>
    <col min="19" max="19" width="10.8515625" style="2" bestFit="1" customWidth="1"/>
    <col min="20"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8" t="s">
        <v>56</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1500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9" ht="12.75">
      <c r="D21" s="16" t="s">
        <v>27</v>
      </c>
      <c r="E21" s="16"/>
      <c r="F21" s="17" t="s">
        <v>72</v>
      </c>
      <c r="G21" s="18"/>
      <c r="H21" s="108">
        <v>15.11</v>
      </c>
      <c r="I21" s="20">
        <v>1</v>
      </c>
      <c r="J21" s="109">
        <f aca="true" t="shared" si="0" ref="J21:J32">I21*H21</f>
        <v>15.11</v>
      </c>
      <c r="K21" s="16"/>
      <c r="L21" s="108">
        <f>'App.2-V Bill Impacts Res 100kwh'!L21</f>
        <v>18.49</v>
      </c>
      <c r="M21" s="22">
        <v>1</v>
      </c>
      <c r="N21" s="109">
        <f aca="true" t="shared" si="1" ref="N21:N32">M21*L21</f>
        <v>18.49</v>
      </c>
      <c r="O21" s="16"/>
      <c r="P21" s="23">
        <f aca="true" t="shared" si="2" ref="P21:P48">N21-J21</f>
        <v>3.379999999999999</v>
      </c>
      <c r="Q21" s="110">
        <f aca="true" t="shared" si="3" ref="Q21:Q48">IF((J21)=0,"",(P21/J21))</f>
        <v>0.22369291859695561</v>
      </c>
      <c r="R21" s="125"/>
      <c r="S21" s="126"/>
    </row>
    <row r="22" spans="4:19" ht="12.75">
      <c r="D22" s="16" t="s">
        <v>28</v>
      </c>
      <c r="E22" s="16"/>
      <c r="F22" s="17" t="s">
        <v>72</v>
      </c>
      <c r="G22" s="18"/>
      <c r="H22" s="108">
        <v>1.99</v>
      </c>
      <c r="I22" s="20">
        <v>1</v>
      </c>
      <c r="J22" s="109">
        <f t="shared" si="0"/>
        <v>1.99</v>
      </c>
      <c r="K22" s="16"/>
      <c r="L22" s="108">
        <f>'App.2-V Bill Impacts Res 100kwh'!L22</f>
        <v>4.823326097231227</v>
      </c>
      <c r="M22" s="22">
        <v>1</v>
      </c>
      <c r="N22" s="109">
        <f t="shared" si="1"/>
        <v>4.823326097231227</v>
      </c>
      <c r="O22" s="16"/>
      <c r="P22" s="23">
        <f t="shared" si="2"/>
        <v>2.833326097231227</v>
      </c>
      <c r="Q22" s="110">
        <f t="shared" si="3"/>
        <v>1.4237819584076519</v>
      </c>
      <c r="R22" s="125"/>
      <c r="S22" s="126"/>
    </row>
    <row r="23" spans="4:19" ht="12.75">
      <c r="D23" s="16" t="s">
        <v>29</v>
      </c>
      <c r="E23" s="16"/>
      <c r="F23" s="17"/>
      <c r="G23" s="18"/>
      <c r="H23" s="108"/>
      <c r="I23" s="20"/>
      <c r="J23" s="109">
        <f t="shared" si="0"/>
        <v>0</v>
      </c>
      <c r="K23" s="16"/>
      <c r="L23" s="108"/>
      <c r="M23" s="22"/>
      <c r="N23" s="109">
        <f t="shared" si="1"/>
        <v>0</v>
      </c>
      <c r="O23" s="16"/>
      <c r="P23" s="23">
        <f t="shared" si="2"/>
        <v>0</v>
      </c>
      <c r="Q23" s="110">
        <f t="shared" si="3"/>
      </c>
      <c r="R23" s="125"/>
      <c r="S23" s="126"/>
    </row>
    <row r="24" spans="4:19" ht="12.75">
      <c r="D24" s="16" t="s">
        <v>30</v>
      </c>
      <c r="E24" s="16"/>
      <c r="F24" s="17"/>
      <c r="G24" s="18"/>
      <c r="H24" s="108"/>
      <c r="I24" s="20"/>
      <c r="J24" s="109">
        <f t="shared" si="0"/>
        <v>0</v>
      </c>
      <c r="K24" s="16"/>
      <c r="L24" s="108"/>
      <c r="M24" s="22"/>
      <c r="N24" s="109">
        <f t="shared" si="1"/>
        <v>0</v>
      </c>
      <c r="O24" s="16"/>
      <c r="P24" s="23">
        <f t="shared" si="2"/>
        <v>0</v>
      </c>
      <c r="Q24" s="110">
        <f t="shared" si="3"/>
      </c>
      <c r="R24" s="125"/>
      <c r="S24" s="126"/>
    </row>
    <row r="25" spans="4:19" ht="12.75">
      <c r="D25" s="16" t="s">
        <v>31</v>
      </c>
      <c r="E25" s="16"/>
      <c r="F25" s="17" t="s">
        <v>73</v>
      </c>
      <c r="G25" s="18"/>
      <c r="H25" s="108">
        <v>0.0086</v>
      </c>
      <c r="I25" s="20">
        <f>H16</f>
        <v>1500</v>
      </c>
      <c r="J25" s="109">
        <f t="shared" si="0"/>
        <v>12.9</v>
      </c>
      <c r="K25" s="16"/>
      <c r="L25" s="108">
        <f>'App.2-V Bill Impacts Res 100kwh'!L25</f>
        <v>0.0105</v>
      </c>
      <c r="M25" s="22">
        <f>H16</f>
        <v>1500</v>
      </c>
      <c r="N25" s="109">
        <f t="shared" si="1"/>
        <v>15.750000000000002</v>
      </c>
      <c r="O25" s="16"/>
      <c r="P25" s="23">
        <f t="shared" si="2"/>
        <v>2.8500000000000014</v>
      </c>
      <c r="Q25" s="110">
        <f t="shared" si="3"/>
        <v>0.22093023255813965</v>
      </c>
      <c r="R25" s="125"/>
      <c r="S25" s="126"/>
    </row>
    <row r="26" spans="4:19" ht="12.75">
      <c r="D26" s="16" t="s">
        <v>32</v>
      </c>
      <c r="E26" s="16"/>
      <c r="F26" s="17" t="s">
        <v>73</v>
      </c>
      <c r="G26" s="18"/>
      <c r="H26" s="108">
        <v>0.0007</v>
      </c>
      <c r="I26" s="20">
        <f>I25</f>
        <v>1500</v>
      </c>
      <c r="J26" s="109">
        <f t="shared" si="0"/>
        <v>1.05</v>
      </c>
      <c r="K26" s="16"/>
      <c r="L26" s="108">
        <f>'App.2-V Bill Impacts Res 100kwh'!L26</f>
        <v>0.0007</v>
      </c>
      <c r="M26" s="22">
        <f>M25</f>
        <v>1500</v>
      </c>
      <c r="N26" s="109">
        <f t="shared" si="1"/>
        <v>1.05</v>
      </c>
      <c r="O26" s="16"/>
      <c r="P26" s="23">
        <f t="shared" si="2"/>
        <v>0</v>
      </c>
      <c r="Q26" s="110">
        <f t="shared" si="3"/>
        <v>0</v>
      </c>
      <c r="R26" s="125"/>
      <c r="S26" s="126"/>
    </row>
    <row r="27" spans="4:19" ht="12.75">
      <c r="D27" s="16" t="s">
        <v>33</v>
      </c>
      <c r="E27" s="16"/>
      <c r="F27" s="17"/>
      <c r="G27" s="18"/>
      <c r="H27" s="108"/>
      <c r="I27" s="20"/>
      <c r="J27" s="109">
        <f t="shared" si="0"/>
        <v>0</v>
      </c>
      <c r="K27" s="16"/>
      <c r="L27" s="108"/>
      <c r="M27" s="22"/>
      <c r="N27" s="109">
        <f t="shared" si="1"/>
        <v>0</v>
      </c>
      <c r="O27" s="16"/>
      <c r="P27" s="23">
        <f t="shared" si="2"/>
        <v>0</v>
      </c>
      <c r="Q27" s="110">
        <f t="shared" si="3"/>
      </c>
      <c r="R27" s="125"/>
      <c r="S27" s="126"/>
    </row>
    <row r="28" spans="4:19" ht="12.75">
      <c r="D28" s="16" t="s">
        <v>34</v>
      </c>
      <c r="E28" s="16"/>
      <c r="F28" s="17"/>
      <c r="G28" s="18"/>
      <c r="H28" s="108"/>
      <c r="I28" s="20"/>
      <c r="J28" s="109">
        <f t="shared" si="0"/>
        <v>0</v>
      </c>
      <c r="K28" s="16"/>
      <c r="L28" s="108"/>
      <c r="M28" s="22"/>
      <c r="N28" s="109">
        <f t="shared" si="1"/>
        <v>0</v>
      </c>
      <c r="O28" s="16"/>
      <c r="P28" s="23">
        <f t="shared" si="2"/>
        <v>0</v>
      </c>
      <c r="Q28" s="110">
        <f t="shared" si="3"/>
      </c>
      <c r="R28" s="125"/>
      <c r="S28" s="126"/>
    </row>
    <row r="29" spans="4:19"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c r="R29" s="126"/>
      <c r="S29" s="126"/>
    </row>
    <row r="30" spans="4:19" ht="12.75">
      <c r="D30" s="16" t="s">
        <v>36</v>
      </c>
      <c r="E30" s="16"/>
      <c r="F30" s="17" t="s">
        <v>73</v>
      </c>
      <c r="G30" s="18"/>
      <c r="H30" s="108"/>
      <c r="I30" s="20"/>
      <c r="J30" s="109">
        <f t="shared" si="0"/>
        <v>0</v>
      </c>
      <c r="K30" s="16"/>
      <c r="L30" s="108">
        <f>'App.2-V Bill Impacts Res 100kwh'!L30</f>
        <v>0.0005</v>
      </c>
      <c r="M30" s="22">
        <f>H16</f>
        <v>1500</v>
      </c>
      <c r="N30" s="109">
        <f t="shared" si="1"/>
        <v>0.75</v>
      </c>
      <c r="O30" s="16"/>
      <c r="P30" s="23">
        <f t="shared" si="2"/>
        <v>0.75</v>
      </c>
      <c r="Q30" s="110">
        <f t="shared" si="3"/>
      </c>
      <c r="R30" s="126"/>
      <c r="S30" s="126"/>
    </row>
    <row r="31" spans="4:19" ht="26.25">
      <c r="D31" s="25" t="s">
        <v>37</v>
      </c>
      <c r="E31" s="16"/>
      <c r="F31" s="17" t="s">
        <v>73</v>
      </c>
      <c r="G31" s="18"/>
      <c r="H31" s="108"/>
      <c r="I31" s="20"/>
      <c r="J31" s="109">
        <f t="shared" si="0"/>
        <v>0</v>
      </c>
      <c r="K31" s="16"/>
      <c r="L31" s="108">
        <f>'App.2-V Bill Impacts Res 100kwh'!L31</f>
        <v>-0.005455093448542674</v>
      </c>
      <c r="M31" s="22">
        <f>H16</f>
        <v>1500</v>
      </c>
      <c r="N31" s="109">
        <f t="shared" si="1"/>
        <v>-8.182640172814011</v>
      </c>
      <c r="O31" s="16"/>
      <c r="P31" s="23">
        <f t="shared" si="2"/>
        <v>-8.182640172814011</v>
      </c>
      <c r="Q31" s="110">
        <f t="shared" si="3"/>
      </c>
      <c r="R31" s="126"/>
      <c r="S31" s="126"/>
    </row>
    <row r="32" spans="4:19" ht="13.5" thickBot="1">
      <c r="D32" s="115"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c r="R32" s="126"/>
      <c r="S32" s="126"/>
    </row>
    <row r="33" spans="4:19" ht="13.5" thickBot="1">
      <c r="D33" s="3" t="s">
        <v>38</v>
      </c>
      <c r="G33" s="29"/>
      <c r="H33" s="30"/>
      <c r="I33" s="31"/>
      <c r="J33" s="32">
        <f>SUM(J21:J32)</f>
        <v>31.05</v>
      </c>
      <c r="L33" s="30"/>
      <c r="M33" s="33"/>
      <c r="N33" s="32">
        <f>SUM(N21:N32)</f>
        <v>32.68068592441721</v>
      </c>
      <c r="P33" s="34">
        <f t="shared" si="2"/>
        <v>1.630685924417211</v>
      </c>
      <c r="Q33" s="35">
        <f t="shared" si="3"/>
        <v>0.05251806519862193</v>
      </c>
      <c r="R33" s="126"/>
      <c r="S33" s="126"/>
    </row>
    <row r="34" spans="4:19" ht="12.75">
      <c r="D34" s="36" t="s">
        <v>39</v>
      </c>
      <c r="E34" s="36"/>
      <c r="F34" s="37" t="s">
        <v>73</v>
      </c>
      <c r="G34" s="38"/>
      <c r="H34" s="111">
        <v>0.0059</v>
      </c>
      <c r="I34" s="39">
        <f>H16*(1+H50)</f>
        <v>1575.3</v>
      </c>
      <c r="J34" s="112">
        <f>I34*H34</f>
        <v>9.29427</v>
      </c>
      <c r="K34" s="36"/>
      <c r="L34" s="111">
        <v>0.0066</v>
      </c>
      <c r="M34" s="40">
        <f>H16*(1+L50)</f>
        <v>1578.8297450031748</v>
      </c>
      <c r="N34" s="112">
        <f>M34*L34</f>
        <v>10.420276317020953</v>
      </c>
      <c r="O34" s="36"/>
      <c r="P34" s="41">
        <f t="shared" si="2"/>
        <v>1.1260063170209538</v>
      </c>
      <c r="Q34" s="113">
        <f t="shared" si="3"/>
        <v>0.12115059246406161</v>
      </c>
      <c r="R34" s="126"/>
      <c r="S34" s="126"/>
    </row>
    <row r="35" spans="4:19" ht="27" thickBot="1">
      <c r="D35" s="42" t="s">
        <v>40</v>
      </c>
      <c r="E35" s="36"/>
      <c r="F35" s="37" t="s">
        <v>73</v>
      </c>
      <c r="G35" s="38"/>
      <c r="H35" s="111">
        <v>0.0049</v>
      </c>
      <c r="I35" s="39">
        <f>I34</f>
        <v>1575.3</v>
      </c>
      <c r="J35" s="112">
        <f>I35*H35</f>
        <v>7.71897</v>
      </c>
      <c r="K35" s="36"/>
      <c r="L35" s="111">
        <v>0.0054</v>
      </c>
      <c r="M35" s="40">
        <f>M34</f>
        <v>1578.8297450031748</v>
      </c>
      <c r="N35" s="112">
        <f>M35*L35</f>
        <v>8.525680623017145</v>
      </c>
      <c r="O35" s="36"/>
      <c r="P35" s="41">
        <f t="shared" si="2"/>
        <v>0.8067106230171452</v>
      </c>
      <c r="Q35" s="113">
        <f t="shared" si="3"/>
        <v>0.10451013840151539</v>
      </c>
      <c r="R35" s="126"/>
      <c r="S35" s="126"/>
    </row>
    <row r="36" spans="4:17" ht="27" thickBot="1">
      <c r="D36" s="43" t="s">
        <v>41</v>
      </c>
      <c r="E36" s="16"/>
      <c r="F36" s="16"/>
      <c r="G36" s="18"/>
      <c r="H36" s="44"/>
      <c r="I36" s="45"/>
      <c r="J36" s="46">
        <f>SUM(J33:J35)</f>
        <v>48.06324</v>
      </c>
      <c r="K36" s="47"/>
      <c r="L36" s="48"/>
      <c r="M36" s="49"/>
      <c r="N36" s="46">
        <f>SUM(N33:N35)</f>
        <v>51.62664286445531</v>
      </c>
      <c r="O36" s="47"/>
      <c r="P36" s="50">
        <f t="shared" si="2"/>
        <v>3.5634028644553126</v>
      </c>
      <c r="Q36" s="51">
        <f t="shared" si="3"/>
        <v>0.07413988038374676</v>
      </c>
    </row>
    <row r="37" spans="4:17" ht="26.25">
      <c r="D37" s="25" t="s">
        <v>42</v>
      </c>
      <c r="E37" s="16"/>
      <c r="F37" s="17" t="s">
        <v>73</v>
      </c>
      <c r="G37" s="18"/>
      <c r="H37" s="19">
        <v>0.0065</v>
      </c>
      <c r="I37" s="20">
        <f>I35</f>
        <v>1575.3</v>
      </c>
      <c r="J37" s="21">
        <f aca="true" t="shared" si="4" ref="J37:J43">I37*H37</f>
        <v>10.23945</v>
      </c>
      <c r="K37" s="16"/>
      <c r="L37" s="19">
        <v>0.0065</v>
      </c>
      <c r="M37" s="22">
        <f>M35</f>
        <v>1578.8297450031748</v>
      </c>
      <c r="N37" s="21">
        <f aca="true" t="shared" si="5" ref="N37:N43">M37*L37</f>
        <v>10.262393342520635</v>
      </c>
      <c r="O37" s="16"/>
      <c r="P37" s="23">
        <f t="shared" si="2"/>
        <v>0.022943342520635568</v>
      </c>
      <c r="Q37" s="24">
        <f t="shared" si="3"/>
        <v>0.002240681142115599</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t="s">
        <v>73</v>
      </c>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1575.3</v>
      </c>
      <c r="J41" s="21">
        <f t="shared" si="4"/>
        <v>11.0271</v>
      </c>
      <c r="K41" s="16"/>
      <c r="L41" s="19">
        <v>0.007</v>
      </c>
      <c r="M41" s="22">
        <f>M37</f>
        <v>1578.8297450031748</v>
      </c>
      <c r="N41" s="21">
        <f t="shared" si="5"/>
        <v>11.051808215022223</v>
      </c>
      <c r="O41" s="16"/>
      <c r="P41" s="23">
        <f t="shared" si="2"/>
        <v>0.024708215022222646</v>
      </c>
      <c r="Q41" s="24">
        <f t="shared" si="3"/>
        <v>0.0022406811421155737</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975.3</v>
      </c>
      <c r="J43" s="21">
        <f t="shared" si="4"/>
        <v>77.0487</v>
      </c>
      <c r="K43" s="16"/>
      <c r="L43" s="19">
        <v>0.079</v>
      </c>
      <c r="M43" s="54">
        <f>M41-M42</f>
        <v>978.8297450031748</v>
      </c>
      <c r="N43" s="21">
        <f t="shared" si="5"/>
        <v>77.32754985525081</v>
      </c>
      <c r="O43" s="16"/>
      <c r="P43" s="23">
        <f t="shared" si="2"/>
        <v>0.27884985525081163</v>
      </c>
      <c r="Q43" s="24">
        <f t="shared" si="3"/>
        <v>0.0036191377044753727</v>
      </c>
    </row>
    <row r="44" spans="4:17" ht="13.5" thickBot="1">
      <c r="D44" s="56" t="s">
        <v>48</v>
      </c>
      <c r="E44" s="16"/>
      <c r="F44" s="16"/>
      <c r="G44" s="16"/>
      <c r="H44" s="57"/>
      <c r="I44" s="58"/>
      <c r="J44" s="46">
        <f>SUM(J36:J43)</f>
        <v>187.17849</v>
      </c>
      <c r="K44" s="47"/>
      <c r="L44" s="59"/>
      <c r="M44" s="60"/>
      <c r="N44" s="46">
        <f>SUM(N36:N43)</f>
        <v>191.06839427724896</v>
      </c>
      <c r="O44" s="47"/>
      <c r="P44" s="50">
        <f t="shared" si="2"/>
        <v>3.889904277248945</v>
      </c>
      <c r="Q44" s="51">
        <f t="shared" si="3"/>
        <v>0.020781791098159544</v>
      </c>
    </row>
    <row r="45" spans="4:17" ht="13.5" thickBot="1">
      <c r="D45" s="18" t="s">
        <v>49</v>
      </c>
      <c r="E45" s="16"/>
      <c r="F45" s="16"/>
      <c r="G45" s="16"/>
      <c r="H45" s="61">
        <v>0.13</v>
      </c>
      <c r="I45" s="62"/>
      <c r="J45" s="63">
        <f>J44*H45</f>
        <v>24.333203700000002</v>
      </c>
      <c r="K45" s="16"/>
      <c r="L45" s="61">
        <v>0.13</v>
      </c>
      <c r="M45" s="64"/>
      <c r="N45" s="63">
        <f>N44*L45</f>
        <v>24.838891256042366</v>
      </c>
      <c r="O45" s="16"/>
      <c r="P45" s="23">
        <f t="shared" si="2"/>
        <v>0.5056875560423642</v>
      </c>
      <c r="Q45" s="24">
        <f t="shared" si="3"/>
        <v>0.020781791098159596</v>
      </c>
    </row>
    <row r="46" spans="4:17" ht="27" thickBot="1">
      <c r="D46" s="43" t="s">
        <v>50</v>
      </c>
      <c r="E46" s="16"/>
      <c r="F46" s="16"/>
      <c r="G46" s="16"/>
      <c r="H46" s="44"/>
      <c r="I46" s="45"/>
      <c r="J46" s="46">
        <f>ROUND(SUM(J44:J45),2)</f>
        <v>211.51</v>
      </c>
      <c r="K46" s="47"/>
      <c r="L46" s="48"/>
      <c r="M46" s="49"/>
      <c r="N46" s="46">
        <f>ROUND(SUM(N44:N45),2)</f>
        <v>215.91</v>
      </c>
      <c r="O46" s="47"/>
      <c r="P46" s="50">
        <f t="shared" si="2"/>
        <v>4.400000000000006</v>
      </c>
      <c r="Q46" s="51">
        <f t="shared" si="3"/>
        <v>0.020802798922036812</v>
      </c>
    </row>
    <row r="47" spans="4:17" ht="29.25" thickBot="1">
      <c r="D47" s="83" t="s">
        <v>102</v>
      </c>
      <c r="E47" s="16"/>
      <c r="F47" s="16"/>
      <c r="G47" s="16"/>
      <c r="H47" s="44"/>
      <c r="I47" s="80"/>
      <c r="J47" s="46">
        <f>ROUND(-J46*10%,2)</f>
        <v>-21.15</v>
      </c>
      <c r="K47" s="47"/>
      <c r="L47" s="48"/>
      <c r="M47" s="49"/>
      <c r="N47" s="46">
        <f>ROUND(-N46*10%,2)</f>
        <v>-21.59</v>
      </c>
      <c r="O47" s="47"/>
      <c r="P47" s="50">
        <f t="shared" si="2"/>
        <v>-0.4400000000000013</v>
      </c>
      <c r="Q47" s="51">
        <f t="shared" si="3"/>
        <v>0.020803782505910227</v>
      </c>
    </row>
    <row r="48" spans="4:17" ht="13.5" thickBot="1">
      <c r="D48" s="43" t="s">
        <v>55</v>
      </c>
      <c r="E48" s="16"/>
      <c r="F48" s="16"/>
      <c r="G48" s="16"/>
      <c r="H48" s="82"/>
      <c r="I48" s="81"/>
      <c r="J48" s="75">
        <f>J46+J47</f>
        <v>190.35999999999999</v>
      </c>
      <c r="K48" s="47"/>
      <c r="L48" s="79"/>
      <c r="M48" s="78"/>
      <c r="N48" s="75">
        <f>N46+N47</f>
        <v>194.32</v>
      </c>
      <c r="O48" s="47"/>
      <c r="P48" s="77">
        <f t="shared" si="2"/>
        <v>3.960000000000008</v>
      </c>
      <c r="Q48" s="76">
        <f t="shared" si="3"/>
        <v>0.02080268964068086</v>
      </c>
    </row>
    <row r="49" ht="10.5" customHeight="1"/>
    <row r="50" spans="4:12" ht="12.75">
      <c r="D50" s="3" t="s">
        <v>51</v>
      </c>
      <c r="H50" s="65">
        <v>0.0502</v>
      </c>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P1:Q1"/>
    <mergeCell ref="P2:Q2"/>
    <mergeCell ref="P7:Q7"/>
    <mergeCell ref="D10:Q10"/>
    <mergeCell ref="C3:M3"/>
    <mergeCell ref="P3:Q3"/>
    <mergeCell ref="P4:Q4"/>
    <mergeCell ref="P5:Q5"/>
  </mergeCells>
  <dataValidations count="3">
    <dataValidation type="list" allowBlank="1" showInputMessage="1" showErrorMessage="1" prompt="Select Charge Unit - monthly, per kWh, per kW" sqref="F34:F35 F21:F32 F37:F43">
      <formula1>"Monthly, per kWh, per kW"</formula1>
    </dataValidation>
    <dataValidation type="list" allowBlank="1" showInputMessage="1" showErrorMessage="1" sqref="G37:G43 G21:G32 G34:G35">
      <formula1>$B$14:$B$19</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S64"/>
  <sheetViews>
    <sheetView showGridLines="0" zoomScalePageLayoutView="0" workbookViewId="0" topLeftCell="C4">
      <selection activeCell="L30" sqref="L30"/>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9.7109375" style="2" customWidth="1"/>
    <col min="11" max="11" width="2.8515625" style="2" customWidth="1"/>
    <col min="12" max="12" width="12.140625" style="2" customWidth="1"/>
    <col min="13" max="13" width="8.57421875" style="2" customWidth="1"/>
    <col min="14" max="14" width="9.7109375" style="2" customWidth="1"/>
    <col min="15" max="15" width="2.8515625" style="2" customWidth="1"/>
    <col min="16" max="16" width="8.8515625" style="2" customWidth="1"/>
    <col min="17" max="17" width="10.00390625" style="2" bestFit="1" customWidth="1"/>
    <col min="18" max="18" width="12.7109375" style="2" bestFit="1" customWidth="1"/>
    <col min="19" max="19" width="10.8515625" style="2" bestFit="1" customWidth="1"/>
    <col min="20"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8" t="s">
        <v>56</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2000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9" ht="12.75">
      <c r="D21" s="16" t="s">
        <v>27</v>
      </c>
      <c r="E21" s="16"/>
      <c r="F21" s="17" t="s">
        <v>72</v>
      </c>
      <c r="G21" s="18"/>
      <c r="H21" s="108">
        <v>15.11</v>
      </c>
      <c r="I21" s="20">
        <v>1</v>
      </c>
      <c r="J21" s="109">
        <f aca="true" t="shared" si="0" ref="J21:J32">I21*H21</f>
        <v>15.11</v>
      </c>
      <c r="K21" s="16"/>
      <c r="L21" s="108">
        <f>'App.2-V Bill Impacts Res 100kwh'!L21</f>
        <v>18.49</v>
      </c>
      <c r="M21" s="22">
        <v>1</v>
      </c>
      <c r="N21" s="109">
        <f aca="true" t="shared" si="1" ref="N21:N32">M21*L21</f>
        <v>18.49</v>
      </c>
      <c r="O21" s="16"/>
      <c r="P21" s="23">
        <f aca="true" t="shared" si="2" ref="P21:P48">N21-J21</f>
        <v>3.379999999999999</v>
      </c>
      <c r="Q21" s="110">
        <f aca="true" t="shared" si="3" ref="Q21:Q48">IF((J21)=0,"",(P21/J21))</f>
        <v>0.22369291859695561</v>
      </c>
      <c r="R21" s="125"/>
      <c r="S21" s="126"/>
    </row>
    <row r="22" spans="4:19" ht="12.75">
      <c r="D22" s="16" t="s">
        <v>28</v>
      </c>
      <c r="E22" s="16"/>
      <c r="F22" s="17" t="s">
        <v>72</v>
      </c>
      <c r="G22" s="18"/>
      <c r="H22" s="108">
        <v>1.99</v>
      </c>
      <c r="I22" s="20">
        <v>1</v>
      </c>
      <c r="J22" s="109">
        <f t="shared" si="0"/>
        <v>1.99</v>
      </c>
      <c r="K22" s="16"/>
      <c r="L22" s="108">
        <f>'App.2-V Bill Impacts Res 100kwh'!L22</f>
        <v>4.823326097231227</v>
      </c>
      <c r="M22" s="22">
        <v>1</v>
      </c>
      <c r="N22" s="109">
        <f t="shared" si="1"/>
        <v>4.823326097231227</v>
      </c>
      <c r="O22" s="16"/>
      <c r="P22" s="23">
        <f t="shared" si="2"/>
        <v>2.833326097231227</v>
      </c>
      <c r="Q22" s="110">
        <f t="shared" si="3"/>
        <v>1.4237819584076519</v>
      </c>
      <c r="R22" s="125"/>
      <c r="S22" s="126"/>
    </row>
    <row r="23" spans="4:19" ht="12.75">
      <c r="D23" s="16" t="s">
        <v>29</v>
      </c>
      <c r="E23" s="16"/>
      <c r="F23" s="17"/>
      <c r="G23" s="18"/>
      <c r="H23" s="108"/>
      <c r="I23" s="20"/>
      <c r="J23" s="109">
        <f t="shared" si="0"/>
        <v>0</v>
      </c>
      <c r="K23" s="16"/>
      <c r="L23" s="108"/>
      <c r="M23" s="22"/>
      <c r="N23" s="109">
        <f t="shared" si="1"/>
        <v>0</v>
      </c>
      <c r="O23" s="16"/>
      <c r="P23" s="23">
        <f t="shared" si="2"/>
        <v>0</v>
      </c>
      <c r="Q23" s="110">
        <f t="shared" si="3"/>
      </c>
      <c r="R23" s="125"/>
      <c r="S23" s="126"/>
    </row>
    <row r="24" spans="4:19" ht="12.75">
      <c r="D24" s="16" t="s">
        <v>30</v>
      </c>
      <c r="E24" s="16"/>
      <c r="F24" s="17"/>
      <c r="G24" s="18"/>
      <c r="H24" s="108"/>
      <c r="I24" s="20"/>
      <c r="J24" s="109">
        <f t="shared" si="0"/>
        <v>0</v>
      </c>
      <c r="K24" s="16"/>
      <c r="L24" s="108"/>
      <c r="M24" s="22"/>
      <c r="N24" s="109">
        <f t="shared" si="1"/>
        <v>0</v>
      </c>
      <c r="O24" s="16"/>
      <c r="P24" s="23">
        <f t="shared" si="2"/>
        <v>0</v>
      </c>
      <c r="Q24" s="110">
        <f t="shared" si="3"/>
      </c>
      <c r="R24" s="125"/>
      <c r="S24" s="126"/>
    </row>
    <row r="25" spans="4:19" ht="12.75">
      <c r="D25" s="16" t="s">
        <v>31</v>
      </c>
      <c r="E25" s="16"/>
      <c r="F25" s="17" t="s">
        <v>73</v>
      </c>
      <c r="G25" s="18"/>
      <c r="H25" s="108">
        <v>0.0086</v>
      </c>
      <c r="I25" s="20">
        <f>H16</f>
        <v>2000</v>
      </c>
      <c r="J25" s="109">
        <f t="shared" si="0"/>
        <v>17.2</v>
      </c>
      <c r="K25" s="16"/>
      <c r="L25" s="108">
        <f>'App.2-V Bill Impacts Res 100kwh'!L25</f>
        <v>0.0105</v>
      </c>
      <c r="M25" s="22">
        <f>H16</f>
        <v>2000</v>
      </c>
      <c r="N25" s="109">
        <f t="shared" si="1"/>
        <v>21</v>
      </c>
      <c r="O25" s="16"/>
      <c r="P25" s="23">
        <f t="shared" si="2"/>
        <v>3.8000000000000007</v>
      </c>
      <c r="Q25" s="110">
        <f t="shared" si="3"/>
        <v>0.2209302325581396</v>
      </c>
      <c r="R25" s="125"/>
      <c r="S25" s="126"/>
    </row>
    <row r="26" spans="4:19" ht="12.75">
      <c r="D26" s="16" t="s">
        <v>32</v>
      </c>
      <c r="E26" s="16"/>
      <c r="F26" s="17" t="s">
        <v>73</v>
      </c>
      <c r="G26" s="18"/>
      <c r="H26" s="108">
        <v>0.0007</v>
      </c>
      <c r="I26" s="20">
        <f>I25</f>
        <v>2000</v>
      </c>
      <c r="J26" s="109">
        <f t="shared" si="0"/>
        <v>1.4</v>
      </c>
      <c r="K26" s="16"/>
      <c r="L26" s="108">
        <f>'App.2-V Bill Impacts Res 100kwh'!L26</f>
        <v>0.0007</v>
      </c>
      <c r="M26" s="22">
        <f>M25</f>
        <v>2000</v>
      </c>
      <c r="N26" s="109">
        <f t="shared" si="1"/>
        <v>1.4</v>
      </c>
      <c r="O26" s="16"/>
      <c r="P26" s="23">
        <f t="shared" si="2"/>
        <v>0</v>
      </c>
      <c r="Q26" s="110">
        <f t="shared" si="3"/>
        <v>0</v>
      </c>
      <c r="R26" s="125"/>
      <c r="S26" s="126"/>
    </row>
    <row r="27" spans="4:19" ht="12.75">
      <c r="D27" s="16" t="s">
        <v>33</v>
      </c>
      <c r="E27" s="16"/>
      <c r="F27" s="17"/>
      <c r="G27" s="18"/>
      <c r="H27" s="108"/>
      <c r="I27" s="20"/>
      <c r="J27" s="109">
        <f t="shared" si="0"/>
        <v>0</v>
      </c>
      <c r="K27" s="16"/>
      <c r="L27" s="108"/>
      <c r="M27" s="22"/>
      <c r="N27" s="109">
        <f t="shared" si="1"/>
        <v>0</v>
      </c>
      <c r="O27" s="16"/>
      <c r="P27" s="23">
        <f t="shared" si="2"/>
        <v>0</v>
      </c>
      <c r="Q27" s="110">
        <f t="shared" si="3"/>
      </c>
      <c r="R27" s="125"/>
      <c r="S27" s="126"/>
    </row>
    <row r="28" spans="4:19" ht="12.75">
      <c r="D28" s="16" t="s">
        <v>34</v>
      </c>
      <c r="E28" s="16"/>
      <c r="F28" s="17"/>
      <c r="G28" s="18"/>
      <c r="H28" s="108"/>
      <c r="I28" s="20"/>
      <c r="J28" s="109">
        <f t="shared" si="0"/>
        <v>0</v>
      </c>
      <c r="K28" s="16"/>
      <c r="L28" s="108"/>
      <c r="M28" s="22"/>
      <c r="N28" s="109">
        <f t="shared" si="1"/>
        <v>0</v>
      </c>
      <c r="O28" s="16"/>
      <c r="P28" s="23">
        <f t="shared" si="2"/>
        <v>0</v>
      </c>
      <c r="Q28" s="110">
        <f t="shared" si="3"/>
      </c>
      <c r="R28" s="125"/>
      <c r="S28" s="126"/>
    </row>
    <row r="29" spans="4:19" ht="12.75">
      <c r="D29" s="16" t="s">
        <v>35</v>
      </c>
      <c r="E29" s="16"/>
      <c r="F29" s="17" t="s">
        <v>72</v>
      </c>
      <c r="G29" s="18"/>
      <c r="H29" s="108"/>
      <c r="I29" s="20"/>
      <c r="J29" s="109">
        <f t="shared" si="0"/>
        <v>0</v>
      </c>
      <c r="K29" s="16"/>
      <c r="L29" s="108">
        <f>'App.2-V Bill Impacts Res 100kwh'!L29</f>
        <v>0</v>
      </c>
      <c r="M29" s="22">
        <v>1</v>
      </c>
      <c r="N29" s="109">
        <f t="shared" si="1"/>
        <v>0</v>
      </c>
      <c r="O29" s="16"/>
      <c r="P29" s="23">
        <f t="shared" si="2"/>
        <v>0</v>
      </c>
      <c r="Q29" s="110">
        <f t="shared" si="3"/>
      </c>
      <c r="R29" s="126"/>
      <c r="S29" s="126"/>
    </row>
    <row r="30" spans="4:19" ht="12.75">
      <c r="D30" s="16" t="s">
        <v>36</v>
      </c>
      <c r="E30" s="16"/>
      <c r="F30" s="17" t="s">
        <v>73</v>
      </c>
      <c r="G30" s="18"/>
      <c r="H30" s="108"/>
      <c r="I30" s="20"/>
      <c r="J30" s="109">
        <f t="shared" si="0"/>
        <v>0</v>
      </c>
      <c r="K30" s="16"/>
      <c r="L30" s="108">
        <f>'App.2-V Bill Impacts Res 100kwh'!L30</f>
        <v>0.0005</v>
      </c>
      <c r="M30" s="22">
        <f>H16</f>
        <v>2000</v>
      </c>
      <c r="N30" s="109">
        <f t="shared" si="1"/>
        <v>1</v>
      </c>
      <c r="O30" s="16"/>
      <c r="P30" s="23">
        <f t="shared" si="2"/>
        <v>1</v>
      </c>
      <c r="Q30" s="110">
        <f t="shared" si="3"/>
      </c>
      <c r="R30" s="126"/>
      <c r="S30" s="126"/>
    </row>
    <row r="31" spans="4:19" ht="26.25">
      <c r="D31" s="25" t="s">
        <v>37</v>
      </c>
      <c r="E31" s="16"/>
      <c r="F31" s="17" t="s">
        <v>73</v>
      </c>
      <c r="G31" s="18"/>
      <c r="H31" s="108"/>
      <c r="I31" s="20"/>
      <c r="J31" s="109">
        <f t="shared" si="0"/>
        <v>0</v>
      </c>
      <c r="K31" s="16"/>
      <c r="L31" s="108">
        <f>'App.2-V Bill Impacts Res 100kwh'!L31</f>
        <v>-0.005455093448542674</v>
      </c>
      <c r="M31" s="22">
        <f>H16</f>
        <v>2000</v>
      </c>
      <c r="N31" s="109">
        <f t="shared" si="1"/>
        <v>-10.910186897085348</v>
      </c>
      <c r="O31" s="16"/>
      <c r="P31" s="23">
        <f t="shared" si="2"/>
        <v>-10.910186897085348</v>
      </c>
      <c r="Q31" s="110">
        <f t="shared" si="3"/>
      </c>
      <c r="R31" s="126"/>
      <c r="S31" s="126"/>
    </row>
    <row r="32" spans="4:19" ht="13.5" thickBot="1">
      <c r="D32" s="115" t="s">
        <v>14</v>
      </c>
      <c r="E32" s="16"/>
      <c r="F32" s="17" t="s">
        <v>72</v>
      </c>
      <c r="G32" s="18"/>
      <c r="H32" s="108"/>
      <c r="I32" s="27"/>
      <c r="J32" s="109">
        <f t="shared" si="0"/>
        <v>0</v>
      </c>
      <c r="K32" s="16"/>
      <c r="L32" s="108">
        <f>'App.2-V Bill Impacts Res 100kwh'!L32</f>
        <v>0</v>
      </c>
      <c r="M32" s="28">
        <v>1</v>
      </c>
      <c r="N32" s="109">
        <f t="shared" si="1"/>
        <v>0</v>
      </c>
      <c r="O32" s="16"/>
      <c r="P32" s="23">
        <f t="shared" si="2"/>
        <v>0</v>
      </c>
      <c r="Q32" s="110">
        <f t="shared" si="3"/>
      </c>
      <c r="R32" s="126"/>
      <c r="S32" s="126"/>
    </row>
    <row r="33" spans="4:19" ht="13.5" thickBot="1">
      <c r="D33" s="3" t="s">
        <v>38</v>
      </c>
      <c r="G33" s="29"/>
      <c r="H33" s="30"/>
      <c r="I33" s="31"/>
      <c r="J33" s="32">
        <f>SUM(J21:J32)</f>
        <v>35.699999999999996</v>
      </c>
      <c r="L33" s="30"/>
      <c r="M33" s="33"/>
      <c r="N33" s="32">
        <f>SUM(N21:N32)</f>
        <v>35.80313920014588</v>
      </c>
      <c r="P33" s="34">
        <f t="shared" si="2"/>
        <v>0.10313920014588263</v>
      </c>
      <c r="Q33" s="35">
        <f t="shared" si="3"/>
        <v>0.0028890532253748637</v>
      </c>
      <c r="R33" s="126"/>
      <c r="S33" s="126"/>
    </row>
    <row r="34" spans="4:19" ht="12.75">
      <c r="D34" s="36" t="s">
        <v>39</v>
      </c>
      <c r="E34" s="36"/>
      <c r="F34" s="37" t="s">
        <v>73</v>
      </c>
      <c r="G34" s="38"/>
      <c r="H34" s="111">
        <v>0.0059</v>
      </c>
      <c r="I34" s="39">
        <f>H16*(1+H50)</f>
        <v>2100.4</v>
      </c>
      <c r="J34" s="112">
        <f>I34*H34</f>
        <v>12.39236</v>
      </c>
      <c r="K34" s="36"/>
      <c r="L34" s="111">
        <v>0.0066</v>
      </c>
      <c r="M34" s="40">
        <f>H16*(1+L50)</f>
        <v>2105.1063266708998</v>
      </c>
      <c r="N34" s="112">
        <f>M34*L34</f>
        <v>13.893701756027939</v>
      </c>
      <c r="O34" s="36"/>
      <c r="P34" s="41">
        <f t="shared" si="2"/>
        <v>1.501341756027939</v>
      </c>
      <c r="Q34" s="113">
        <f t="shared" si="3"/>
        <v>0.12115059246406164</v>
      </c>
      <c r="R34" s="126"/>
      <c r="S34" s="126"/>
    </row>
    <row r="35" spans="4:19" ht="27" thickBot="1">
      <c r="D35" s="42" t="s">
        <v>40</v>
      </c>
      <c r="E35" s="36"/>
      <c r="F35" s="37" t="s">
        <v>73</v>
      </c>
      <c r="G35" s="38"/>
      <c r="H35" s="111">
        <v>0.0049</v>
      </c>
      <c r="I35" s="39">
        <f>I34</f>
        <v>2100.4</v>
      </c>
      <c r="J35" s="112">
        <f>I35*H35</f>
        <v>10.29196</v>
      </c>
      <c r="K35" s="36"/>
      <c r="L35" s="111">
        <v>0.0054</v>
      </c>
      <c r="M35" s="40">
        <f>M34</f>
        <v>2105.1063266708998</v>
      </c>
      <c r="N35" s="112">
        <f>M35*L35</f>
        <v>11.367574164022859</v>
      </c>
      <c r="O35" s="36"/>
      <c r="P35" s="41">
        <f t="shared" si="2"/>
        <v>1.0756141640228591</v>
      </c>
      <c r="Q35" s="113">
        <f t="shared" si="3"/>
        <v>0.10451013840151528</v>
      </c>
      <c r="R35" s="126"/>
      <c r="S35" s="126"/>
    </row>
    <row r="36" spans="4:17" ht="27" thickBot="1">
      <c r="D36" s="43" t="s">
        <v>41</v>
      </c>
      <c r="E36" s="16"/>
      <c r="F36" s="16"/>
      <c r="G36" s="18"/>
      <c r="H36" s="44"/>
      <c r="I36" s="45"/>
      <c r="J36" s="46">
        <f>SUM(J33:J35)</f>
        <v>58.38432</v>
      </c>
      <c r="K36" s="47"/>
      <c r="L36" s="48"/>
      <c r="M36" s="49"/>
      <c r="N36" s="46">
        <f>SUM(N33:N35)</f>
        <v>61.06441512019667</v>
      </c>
      <c r="O36" s="47"/>
      <c r="P36" s="50">
        <f t="shared" si="2"/>
        <v>2.6800951201966683</v>
      </c>
      <c r="Q36" s="51">
        <f t="shared" si="3"/>
        <v>0.04590436473691341</v>
      </c>
    </row>
    <row r="37" spans="4:17" ht="26.25">
      <c r="D37" s="25" t="s">
        <v>42</v>
      </c>
      <c r="E37" s="16"/>
      <c r="F37" s="17" t="s">
        <v>73</v>
      </c>
      <c r="G37" s="18"/>
      <c r="H37" s="19">
        <v>0.0065</v>
      </c>
      <c r="I37" s="20">
        <f>I35</f>
        <v>2100.4</v>
      </c>
      <c r="J37" s="21">
        <f aca="true" t="shared" si="4" ref="J37:J43">I37*H37</f>
        <v>13.6526</v>
      </c>
      <c r="K37" s="16"/>
      <c r="L37" s="19">
        <v>0.0065</v>
      </c>
      <c r="M37" s="22">
        <f>M35</f>
        <v>2105.1063266708998</v>
      </c>
      <c r="N37" s="21">
        <f aca="true" t="shared" si="5" ref="N37:N43">M37*L37</f>
        <v>13.683191123360848</v>
      </c>
      <c r="O37" s="16"/>
      <c r="P37" s="23">
        <f t="shared" si="2"/>
        <v>0.030591123360848016</v>
      </c>
      <c r="Q37" s="24">
        <f t="shared" si="3"/>
        <v>0.002240681142115642</v>
      </c>
    </row>
    <row r="38" spans="4:17" ht="26.25">
      <c r="D38" s="25" t="s">
        <v>43</v>
      </c>
      <c r="E38" s="16"/>
      <c r="F38" s="17"/>
      <c r="G38" s="18"/>
      <c r="H38" s="19"/>
      <c r="I38" s="20"/>
      <c r="J38" s="21">
        <f t="shared" si="4"/>
        <v>0</v>
      </c>
      <c r="K38" s="16"/>
      <c r="L38" s="19"/>
      <c r="M38" s="22"/>
      <c r="N38" s="21">
        <f t="shared" si="5"/>
        <v>0</v>
      </c>
      <c r="O38" s="16"/>
      <c r="P38" s="23">
        <f t="shared" si="2"/>
        <v>0</v>
      </c>
      <c r="Q38" s="24">
        <f t="shared" si="3"/>
      </c>
    </row>
    <row r="39" spans="4:17" ht="12.75">
      <c r="D39" s="25" t="s">
        <v>44</v>
      </c>
      <c r="E39" s="16"/>
      <c r="F39" s="17" t="s">
        <v>73</v>
      </c>
      <c r="G39" s="18"/>
      <c r="H39" s="52"/>
      <c r="I39" s="20"/>
      <c r="J39" s="21">
        <f t="shared" si="4"/>
        <v>0</v>
      </c>
      <c r="K39" s="16"/>
      <c r="L39" s="52"/>
      <c r="M39" s="22"/>
      <c r="N39" s="21">
        <f t="shared" si="5"/>
        <v>0</v>
      </c>
      <c r="O39" s="16"/>
      <c r="P39" s="23">
        <f t="shared" si="2"/>
        <v>0</v>
      </c>
      <c r="Q39" s="24">
        <f t="shared" si="3"/>
      </c>
    </row>
    <row r="40" spans="4:17" ht="12.75">
      <c r="D40" s="16" t="s">
        <v>45</v>
      </c>
      <c r="E40" s="16"/>
      <c r="F40" s="17"/>
      <c r="G40" s="18"/>
      <c r="H40" s="19"/>
      <c r="I40" s="20"/>
      <c r="J40" s="21">
        <f t="shared" si="4"/>
        <v>0</v>
      </c>
      <c r="K40" s="16"/>
      <c r="L40" s="19"/>
      <c r="M40" s="22"/>
      <c r="N40" s="21">
        <f t="shared" si="5"/>
        <v>0</v>
      </c>
      <c r="O40" s="16"/>
      <c r="P40" s="23">
        <f t="shared" si="2"/>
        <v>0</v>
      </c>
      <c r="Q40" s="24">
        <f t="shared" si="3"/>
      </c>
    </row>
    <row r="41" spans="4:17" ht="12.75">
      <c r="D41" s="16" t="s">
        <v>46</v>
      </c>
      <c r="E41" s="16"/>
      <c r="F41" s="17" t="s">
        <v>73</v>
      </c>
      <c r="G41" s="18"/>
      <c r="H41" s="19">
        <v>0.007</v>
      </c>
      <c r="I41" s="20">
        <f>I37</f>
        <v>2100.4</v>
      </c>
      <c r="J41" s="21">
        <f t="shared" si="4"/>
        <v>14.702800000000002</v>
      </c>
      <c r="K41" s="16"/>
      <c r="L41" s="19">
        <v>0.007</v>
      </c>
      <c r="M41" s="22">
        <f>M37</f>
        <v>2105.1063266708998</v>
      </c>
      <c r="N41" s="21">
        <f t="shared" si="5"/>
        <v>14.735744286696299</v>
      </c>
      <c r="O41" s="16"/>
      <c r="P41" s="23">
        <f t="shared" si="2"/>
        <v>0.03294428669629745</v>
      </c>
      <c r="Q41" s="24">
        <f t="shared" si="3"/>
        <v>0.002240681142115614</v>
      </c>
    </row>
    <row r="42" spans="4:17" ht="12.75">
      <c r="D42" s="16" t="s">
        <v>47</v>
      </c>
      <c r="E42" s="16"/>
      <c r="F42" s="17" t="s">
        <v>73</v>
      </c>
      <c r="G42" s="18"/>
      <c r="H42" s="19">
        <v>0.068</v>
      </c>
      <c r="I42" s="20">
        <v>600</v>
      </c>
      <c r="J42" s="21">
        <f t="shared" si="4"/>
        <v>40.800000000000004</v>
      </c>
      <c r="K42" s="16"/>
      <c r="L42" s="19">
        <v>0.068</v>
      </c>
      <c r="M42" s="22">
        <v>600</v>
      </c>
      <c r="N42" s="21">
        <f t="shared" si="5"/>
        <v>40.800000000000004</v>
      </c>
      <c r="O42" s="16"/>
      <c r="P42" s="23">
        <f t="shared" si="2"/>
        <v>0</v>
      </c>
      <c r="Q42" s="24">
        <f t="shared" si="3"/>
        <v>0</v>
      </c>
    </row>
    <row r="43" spans="4:17" ht="13.5" thickBot="1">
      <c r="D43" s="53" t="s">
        <v>47</v>
      </c>
      <c r="E43" s="16"/>
      <c r="F43" s="17" t="s">
        <v>73</v>
      </c>
      <c r="G43" s="18"/>
      <c r="H43" s="19">
        <v>0.079</v>
      </c>
      <c r="I43" s="54">
        <f>I41-I42</f>
        <v>1500.4</v>
      </c>
      <c r="J43" s="21">
        <f t="shared" si="4"/>
        <v>118.53160000000001</v>
      </c>
      <c r="K43" s="16"/>
      <c r="L43" s="19">
        <v>0.079</v>
      </c>
      <c r="M43" s="54">
        <f>M41-M42</f>
        <v>1505.1063266708998</v>
      </c>
      <c r="N43" s="21">
        <f t="shared" si="5"/>
        <v>118.90339980700108</v>
      </c>
      <c r="O43" s="16"/>
      <c r="P43" s="23">
        <f t="shared" si="2"/>
        <v>0.37179980700106796</v>
      </c>
      <c r="Q43" s="24">
        <f t="shared" si="3"/>
        <v>0.0031367146566912783</v>
      </c>
    </row>
    <row r="44" spans="4:17" ht="13.5" thickBot="1">
      <c r="D44" s="56" t="s">
        <v>48</v>
      </c>
      <c r="E44" s="16"/>
      <c r="F44" s="16"/>
      <c r="G44" s="16"/>
      <c r="H44" s="57"/>
      <c r="I44" s="58"/>
      <c r="J44" s="46">
        <f>SUM(J36:J43)</f>
        <v>246.07132000000001</v>
      </c>
      <c r="K44" s="47"/>
      <c r="L44" s="59"/>
      <c r="M44" s="60"/>
      <c r="N44" s="46">
        <f>SUM(N36:N43)</f>
        <v>249.1867503372549</v>
      </c>
      <c r="O44" s="47"/>
      <c r="P44" s="50">
        <f t="shared" si="2"/>
        <v>3.115430337254878</v>
      </c>
      <c r="Q44" s="51">
        <f t="shared" si="3"/>
        <v>0.012660680396459359</v>
      </c>
    </row>
    <row r="45" spans="4:17" ht="13.5" thickBot="1">
      <c r="D45" s="18" t="s">
        <v>49</v>
      </c>
      <c r="E45" s="16"/>
      <c r="F45" s="16"/>
      <c r="G45" s="16"/>
      <c r="H45" s="61">
        <v>0.13</v>
      </c>
      <c r="I45" s="62"/>
      <c r="J45" s="63">
        <f>J44*H45</f>
        <v>31.989271600000002</v>
      </c>
      <c r="K45" s="16"/>
      <c r="L45" s="61">
        <v>0.13</v>
      </c>
      <c r="M45" s="64"/>
      <c r="N45" s="63">
        <f>N44*L45</f>
        <v>32.39427754384314</v>
      </c>
      <c r="O45" s="16"/>
      <c r="P45" s="23">
        <f t="shared" si="2"/>
        <v>0.40500594384313615</v>
      </c>
      <c r="Q45" s="24">
        <f t="shared" si="3"/>
        <v>0.012660680396459421</v>
      </c>
    </row>
    <row r="46" spans="4:17" ht="27" thickBot="1">
      <c r="D46" s="43" t="s">
        <v>50</v>
      </c>
      <c r="E46" s="16"/>
      <c r="F46" s="16"/>
      <c r="G46" s="16"/>
      <c r="H46" s="44"/>
      <c r="I46" s="45"/>
      <c r="J46" s="46">
        <f>ROUND(SUM(J44:J45),2)</f>
        <v>278.06</v>
      </c>
      <c r="K46" s="47"/>
      <c r="L46" s="48"/>
      <c r="M46" s="49"/>
      <c r="N46" s="46">
        <f>ROUND(SUM(N44:N45),2)</f>
        <v>281.58</v>
      </c>
      <c r="O46" s="47"/>
      <c r="P46" s="50">
        <f t="shared" si="2"/>
        <v>3.519999999999982</v>
      </c>
      <c r="Q46" s="51">
        <f t="shared" si="3"/>
        <v>0.012659138315471415</v>
      </c>
    </row>
    <row r="47" spans="4:17" ht="29.25" thickBot="1">
      <c r="D47" s="83" t="s">
        <v>102</v>
      </c>
      <c r="E47" s="16"/>
      <c r="F47" s="16"/>
      <c r="G47" s="16"/>
      <c r="H47" s="44"/>
      <c r="I47" s="80"/>
      <c r="J47" s="46">
        <f>ROUND(-J46*10%,2)</f>
        <v>-27.81</v>
      </c>
      <c r="K47" s="47"/>
      <c r="L47" s="48"/>
      <c r="M47" s="49"/>
      <c r="N47" s="46">
        <f>ROUND(-N46*10%,2)</f>
        <v>-28.16</v>
      </c>
      <c r="O47" s="47"/>
      <c r="P47" s="50">
        <f t="shared" si="2"/>
        <v>-0.3500000000000014</v>
      </c>
      <c r="Q47" s="51">
        <f t="shared" si="3"/>
        <v>0.01258540093491555</v>
      </c>
    </row>
    <row r="48" spans="4:17" ht="13.5" thickBot="1">
      <c r="D48" s="43" t="s">
        <v>55</v>
      </c>
      <c r="E48" s="16"/>
      <c r="F48" s="16"/>
      <c r="G48" s="16"/>
      <c r="H48" s="82"/>
      <c r="I48" s="81"/>
      <c r="J48" s="75">
        <f>J46+J47</f>
        <v>250.25</v>
      </c>
      <c r="K48" s="47"/>
      <c r="L48" s="79"/>
      <c r="M48" s="78"/>
      <c r="N48" s="75">
        <f>N46+N47</f>
        <v>253.42</v>
      </c>
      <c r="O48" s="47"/>
      <c r="P48" s="77">
        <f t="shared" si="2"/>
        <v>3.1699999999999875</v>
      </c>
      <c r="Q48" s="76">
        <f t="shared" si="3"/>
        <v>0.012667332667332618</v>
      </c>
    </row>
    <row r="49" ht="10.5" customHeight="1"/>
    <row r="50" spans="4:12" ht="12.75">
      <c r="D50" s="3" t="s">
        <v>51</v>
      </c>
      <c r="H50" s="65">
        <v>0.0502</v>
      </c>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P1:Q1"/>
    <mergeCell ref="P2:Q2"/>
    <mergeCell ref="P7:Q7"/>
    <mergeCell ref="D10:Q10"/>
    <mergeCell ref="C3:M3"/>
    <mergeCell ref="P3:Q3"/>
    <mergeCell ref="P4:Q4"/>
    <mergeCell ref="P5:Q5"/>
  </mergeCells>
  <dataValidations count="3">
    <dataValidation type="list" allowBlank="1" showInputMessage="1" showErrorMessage="1" prompt="Select Charge Unit - monthly, per kWh, per kW" sqref="F34:F35 F21:F32 F37:F43">
      <formula1>"Monthly, per kWh, per kW"</formula1>
    </dataValidation>
    <dataValidation type="list" allowBlank="1" showInputMessage="1" showErrorMessage="1" sqref="G37:G43 G21:G32 G34:G35">
      <formula1>$B$14:$B$19</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T64"/>
  <sheetViews>
    <sheetView showGridLines="0" zoomScalePageLayoutView="0" workbookViewId="0" topLeftCell="A9">
      <selection activeCell="L22" sqref="L22:M22"/>
    </sheetView>
  </sheetViews>
  <sheetFormatPr defaultColWidth="9.140625" defaultRowHeight="12.75"/>
  <cols>
    <col min="1" max="1" width="2.7109375" style="2" customWidth="1"/>
    <col min="2" max="2" width="0.9921875" style="2" customWidth="1"/>
    <col min="3" max="3" width="1.28515625" style="2" customWidth="1"/>
    <col min="4" max="4" width="26.57421875" style="2" customWidth="1"/>
    <col min="5" max="5" width="1.28515625" style="2" customWidth="1"/>
    <col min="6" max="6" width="11.28125" style="2" customWidth="1"/>
    <col min="7" max="7" width="1.28515625" style="2" customWidth="1"/>
    <col min="8" max="8" width="12.28125" style="2" customWidth="1"/>
    <col min="9" max="9" width="8.57421875" style="2" customWidth="1"/>
    <col min="10" max="10" width="10.28125" style="2" bestFit="1" customWidth="1"/>
    <col min="11" max="11" width="2.8515625" style="2" customWidth="1"/>
    <col min="12" max="12" width="12.140625" style="2" customWidth="1"/>
    <col min="13" max="13" width="8.57421875" style="2" customWidth="1"/>
    <col min="14" max="14" width="12.7109375" style="2" bestFit="1" customWidth="1"/>
    <col min="15" max="15" width="2.8515625" style="2" customWidth="1"/>
    <col min="16" max="16" width="8.8515625" style="2" customWidth="1"/>
    <col min="17" max="17" width="10.00390625" style="2" bestFit="1" customWidth="1"/>
    <col min="18" max="18" width="3.8515625" style="2" customWidth="1"/>
    <col min="19" max="16384" width="9.140625" style="2" customWidth="1"/>
  </cols>
  <sheetData>
    <row r="1" spans="3:18" s="66" customFormat="1" ht="15" customHeight="1">
      <c r="C1" s="70"/>
      <c r="D1" s="70"/>
      <c r="E1" s="70"/>
      <c r="F1" s="70"/>
      <c r="G1" s="70"/>
      <c r="H1" s="70"/>
      <c r="I1" s="70"/>
      <c r="J1" s="70"/>
      <c r="K1" s="70"/>
      <c r="L1" s="70"/>
      <c r="M1" s="70"/>
      <c r="N1" s="4" t="s">
        <v>3</v>
      </c>
      <c r="O1"/>
      <c r="P1" s="145" t="s">
        <v>69</v>
      </c>
      <c r="Q1" s="145"/>
      <c r="R1"/>
    </row>
    <row r="2" spans="3:18" s="66" customFormat="1" ht="15" customHeight="1">
      <c r="C2" s="69"/>
      <c r="D2" s="69"/>
      <c r="E2" s="69"/>
      <c r="F2" s="69"/>
      <c r="G2" s="69"/>
      <c r="H2" s="69"/>
      <c r="I2" s="69"/>
      <c r="J2" s="69"/>
      <c r="K2" s="69"/>
      <c r="L2" s="69"/>
      <c r="M2" s="69"/>
      <c r="N2" s="4" t="s">
        <v>4</v>
      </c>
      <c r="O2"/>
      <c r="P2" s="145" t="s">
        <v>9</v>
      </c>
      <c r="Q2" s="145"/>
      <c r="R2"/>
    </row>
    <row r="3" spans="3:18" s="66" customFormat="1" ht="15" customHeight="1">
      <c r="C3" s="171"/>
      <c r="D3" s="171"/>
      <c r="E3" s="171"/>
      <c r="F3" s="171"/>
      <c r="G3" s="171"/>
      <c r="H3" s="171"/>
      <c r="I3" s="171"/>
      <c r="J3" s="171"/>
      <c r="K3" s="171"/>
      <c r="L3" s="171"/>
      <c r="M3" s="171"/>
      <c r="N3" s="4" t="s">
        <v>5</v>
      </c>
      <c r="O3"/>
      <c r="P3" s="145" t="s">
        <v>10</v>
      </c>
      <c r="Q3" s="145"/>
      <c r="R3"/>
    </row>
    <row r="4" spans="3:18" s="66" customFormat="1" ht="15" customHeight="1">
      <c r="C4" s="69"/>
      <c r="D4" s="69"/>
      <c r="E4" s="69"/>
      <c r="F4" s="69"/>
      <c r="G4" s="69"/>
      <c r="H4" s="69"/>
      <c r="I4" s="69"/>
      <c r="J4" s="69"/>
      <c r="K4" s="67"/>
      <c r="L4" s="67"/>
      <c r="M4" s="67"/>
      <c r="N4" s="4" t="s">
        <v>6</v>
      </c>
      <c r="O4"/>
      <c r="P4" s="145" t="s">
        <v>11</v>
      </c>
      <c r="Q4" s="145"/>
      <c r="R4"/>
    </row>
    <row r="5" spans="5:18" s="66" customFormat="1" ht="15" customHeight="1">
      <c r="E5" s="68"/>
      <c r="F5" s="68"/>
      <c r="G5" s="68"/>
      <c r="N5" s="4" t="s">
        <v>7</v>
      </c>
      <c r="O5"/>
      <c r="P5" s="145" t="s">
        <v>12</v>
      </c>
      <c r="Q5" s="145"/>
      <c r="R5"/>
    </row>
    <row r="6" spans="14:18" s="66" customFormat="1" ht="9" customHeight="1">
      <c r="N6" s="4"/>
      <c r="O6"/>
      <c r="P6"/>
      <c r="Q6" s="4"/>
      <c r="R6"/>
    </row>
    <row r="7" spans="14:18" s="66" customFormat="1" ht="12.75">
      <c r="N7" s="4" t="s">
        <v>8</v>
      </c>
      <c r="O7"/>
      <c r="P7" s="170"/>
      <c r="Q7" s="170"/>
      <c r="R7"/>
    </row>
    <row r="8" s="66" customFormat="1" ht="15" customHeight="1">
      <c r="R8"/>
    </row>
    <row r="9" spans="14:18" ht="7.5" customHeight="1">
      <c r="N9"/>
      <c r="O9"/>
      <c r="P9"/>
      <c r="Q9"/>
      <c r="R9"/>
    </row>
    <row r="10" spans="4:18" ht="18.75" customHeight="1">
      <c r="D10" s="173" t="s">
        <v>53</v>
      </c>
      <c r="E10" s="173"/>
      <c r="F10" s="173"/>
      <c r="G10" s="173"/>
      <c r="H10" s="173"/>
      <c r="I10" s="173"/>
      <c r="J10" s="173"/>
      <c r="K10" s="173"/>
      <c r="L10" s="173"/>
      <c r="M10" s="173"/>
      <c r="N10" s="173"/>
      <c r="O10" s="173"/>
      <c r="P10" s="173"/>
      <c r="Q10" s="173"/>
      <c r="R10"/>
    </row>
    <row r="11" spans="4:18" ht="18.75" customHeight="1">
      <c r="D11" s="173" t="s">
        <v>54</v>
      </c>
      <c r="E11" s="173"/>
      <c r="F11" s="173"/>
      <c r="G11" s="173"/>
      <c r="H11" s="173"/>
      <c r="I11" s="173"/>
      <c r="J11" s="173"/>
      <c r="K11" s="173"/>
      <c r="L11" s="173"/>
      <c r="M11" s="173"/>
      <c r="N11" s="173"/>
      <c r="O11" s="173"/>
      <c r="P11" s="173"/>
      <c r="Q11" s="173"/>
      <c r="R11"/>
    </row>
    <row r="12" spans="14:18" ht="7.5" customHeight="1">
      <c r="N12"/>
      <c r="O12"/>
      <c r="P12"/>
      <c r="Q12"/>
      <c r="R12"/>
    </row>
    <row r="13" spans="14:18" ht="7.5" customHeight="1">
      <c r="N13"/>
      <c r="O13"/>
      <c r="P13"/>
      <c r="Q13"/>
      <c r="R13"/>
    </row>
    <row r="14" spans="2:17" ht="15">
      <c r="B14" s="8"/>
      <c r="D14" s="72" t="s">
        <v>52</v>
      </c>
      <c r="F14" s="139" t="s">
        <v>74</v>
      </c>
      <c r="G14" s="138"/>
      <c r="H14" s="138"/>
      <c r="I14" s="138"/>
      <c r="J14" s="138"/>
      <c r="K14" s="138"/>
      <c r="L14" s="138"/>
      <c r="M14" s="138"/>
      <c r="N14" s="138"/>
      <c r="O14" s="138"/>
      <c r="P14" s="138"/>
      <c r="Q14" s="138"/>
    </row>
    <row r="15" spans="2:17" ht="7.5" customHeight="1">
      <c r="B15" s="8"/>
      <c r="D15" s="98"/>
      <c r="F15" s="71"/>
      <c r="G15" s="71"/>
      <c r="H15" s="71"/>
      <c r="I15" s="71"/>
      <c r="J15" s="71"/>
      <c r="K15" s="71"/>
      <c r="L15" s="71"/>
      <c r="M15" s="71"/>
      <c r="N15" s="71"/>
      <c r="O15" s="71"/>
      <c r="P15" s="71"/>
      <c r="Q15" s="71"/>
    </row>
    <row r="16" spans="2:9" ht="12.75">
      <c r="B16" s="8"/>
      <c r="D16" s="99"/>
      <c r="F16" s="3" t="s">
        <v>16</v>
      </c>
      <c r="G16" s="3"/>
      <c r="H16" s="6">
        <v>1000</v>
      </c>
      <c r="I16" s="3" t="s">
        <v>17</v>
      </c>
    </row>
    <row r="17" spans="2:4" ht="10.5" customHeight="1">
      <c r="B17" s="8"/>
      <c r="D17" s="99"/>
    </row>
    <row r="18" spans="2:17" ht="12.75">
      <c r="B18" s="7"/>
      <c r="D18" s="99"/>
      <c r="F18" s="9"/>
      <c r="G18" s="9"/>
      <c r="H18" s="134" t="s">
        <v>18</v>
      </c>
      <c r="I18" s="135"/>
      <c r="J18" s="136"/>
      <c r="L18" s="134" t="s">
        <v>19</v>
      </c>
      <c r="M18" s="135"/>
      <c r="N18" s="136"/>
      <c r="P18" s="134" t="s">
        <v>20</v>
      </c>
      <c r="Q18" s="136"/>
    </row>
    <row r="19" spans="2:17" ht="12.75" customHeight="1">
      <c r="B19" s="7"/>
      <c r="D19" s="99"/>
      <c r="F19" s="129" t="s">
        <v>21</v>
      </c>
      <c r="G19" s="10"/>
      <c r="H19" s="11" t="s">
        <v>22</v>
      </c>
      <c r="I19" s="11" t="s">
        <v>23</v>
      </c>
      <c r="J19" s="12" t="s">
        <v>24</v>
      </c>
      <c r="L19" s="11" t="s">
        <v>22</v>
      </c>
      <c r="M19" s="13" t="s">
        <v>23</v>
      </c>
      <c r="N19" s="12" t="s">
        <v>24</v>
      </c>
      <c r="P19" s="131" t="s">
        <v>25</v>
      </c>
      <c r="Q19" s="133" t="s">
        <v>26</v>
      </c>
    </row>
    <row r="20" spans="2:17" ht="12.75">
      <c r="B20" s="7"/>
      <c r="D20" s="99"/>
      <c r="F20" s="130"/>
      <c r="G20" s="10"/>
      <c r="H20" s="14" t="s">
        <v>13</v>
      </c>
      <c r="I20" s="14"/>
      <c r="J20" s="15" t="s">
        <v>13</v>
      </c>
      <c r="L20" s="14" t="s">
        <v>13</v>
      </c>
      <c r="M20" s="15"/>
      <c r="N20" s="15" t="s">
        <v>13</v>
      </c>
      <c r="P20" s="132"/>
      <c r="Q20" s="128"/>
    </row>
    <row r="21" spans="4:17" ht="12.75">
      <c r="D21" s="16" t="s">
        <v>27</v>
      </c>
      <c r="E21" s="16"/>
      <c r="F21" s="17" t="s">
        <v>72</v>
      </c>
      <c r="G21" s="18"/>
      <c r="H21" s="108">
        <f>'App.2-V Bill Impact &lt;50 2000kwh'!H21</f>
        <v>25.56</v>
      </c>
      <c r="I21" s="20">
        <v>1</v>
      </c>
      <c r="J21" s="109">
        <f aca="true" t="shared" si="0" ref="J21:J32">I21*H21</f>
        <v>25.56</v>
      </c>
      <c r="K21" s="16"/>
      <c r="L21" s="108">
        <f>'App.2-V Bill Impact &lt;50 2000kwh'!L21</f>
        <v>31.53</v>
      </c>
      <c r="M21" s="22">
        <v>1</v>
      </c>
      <c r="N21" s="109">
        <f aca="true" t="shared" si="1" ref="N21:N32">M21*L21</f>
        <v>31.53</v>
      </c>
      <c r="O21" s="16"/>
      <c r="P21" s="23">
        <f aca="true" t="shared" si="2" ref="P21:P48">N21-J21</f>
        <v>5.970000000000002</v>
      </c>
      <c r="Q21" s="110">
        <f aca="true" t="shared" si="3" ref="Q21:Q48">IF((J21)=0,"",(P21/J21))</f>
        <v>0.233568075117371</v>
      </c>
    </row>
    <row r="22" spans="4:17" ht="12.75">
      <c r="D22" s="16" t="s">
        <v>28</v>
      </c>
      <c r="E22" s="16"/>
      <c r="F22" s="17" t="s">
        <v>72</v>
      </c>
      <c r="G22" s="18"/>
      <c r="H22" s="108">
        <f>'App.2-V Bill Impact &lt;50 2000kwh'!H22</f>
        <v>1.99</v>
      </c>
      <c r="I22" s="20">
        <v>1</v>
      </c>
      <c r="J22" s="109">
        <f t="shared" si="0"/>
        <v>1.99</v>
      </c>
      <c r="K22" s="16"/>
      <c r="L22" s="108">
        <f>'App.2-V Bill Impact &lt;50 2000kwh'!L22</f>
        <v>4.823326097231227</v>
      </c>
      <c r="M22" s="22">
        <v>1</v>
      </c>
      <c r="N22" s="109">
        <f t="shared" si="1"/>
        <v>4.823326097231227</v>
      </c>
      <c r="O22" s="16"/>
      <c r="P22" s="23">
        <f t="shared" si="2"/>
        <v>2.833326097231227</v>
      </c>
      <c r="Q22" s="110">
        <f t="shared" si="3"/>
        <v>1.4237819584076519</v>
      </c>
    </row>
    <row r="23" spans="4:17" ht="12.75">
      <c r="D23" s="16" t="s">
        <v>29</v>
      </c>
      <c r="E23" s="16"/>
      <c r="F23" s="17"/>
      <c r="G23" s="18"/>
      <c r="H23" s="108"/>
      <c r="I23" s="20"/>
      <c r="J23" s="109">
        <f t="shared" si="0"/>
        <v>0</v>
      </c>
      <c r="K23" s="16"/>
      <c r="L23" s="108"/>
      <c r="M23" s="22"/>
      <c r="N23" s="109">
        <f t="shared" si="1"/>
        <v>0</v>
      </c>
      <c r="O23" s="16"/>
      <c r="P23" s="23">
        <f t="shared" si="2"/>
        <v>0</v>
      </c>
      <c r="Q23" s="110">
        <f t="shared" si="3"/>
      </c>
    </row>
    <row r="24" spans="4:17" ht="12.75">
      <c r="D24" s="16" t="s">
        <v>30</v>
      </c>
      <c r="E24" s="16"/>
      <c r="F24" s="17"/>
      <c r="G24" s="18"/>
      <c r="H24" s="108"/>
      <c r="I24" s="20"/>
      <c r="J24" s="109">
        <f t="shared" si="0"/>
        <v>0</v>
      </c>
      <c r="K24" s="16"/>
      <c r="L24" s="108"/>
      <c r="M24" s="22"/>
      <c r="N24" s="109">
        <f t="shared" si="1"/>
        <v>0</v>
      </c>
      <c r="O24" s="16"/>
      <c r="P24" s="23">
        <f t="shared" si="2"/>
        <v>0</v>
      </c>
      <c r="Q24" s="110">
        <f t="shared" si="3"/>
      </c>
    </row>
    <row r="25" spans="4:17" ht="12.75">
      <c r="D25" s="16" t="s">
        <v>31</v>
      </c>
      <c r="E25" s="16"/>
      <c r="F25" s="17" t="s">
        <v>73</v>
      </c>
      <c r="G25" s="18"/>
      <c r="H25" s="108">
        <f>'App.2-V Bill Impact &lt;50 2000kwh'!H25</f>
        <v>0.01</v>
      </c>
      <c r="I25" s="20">
        <f>H16</f>
        <v>1000</v>
      </c>
      <c r="J25" s="109">
        <f t="shared" si="0"/>
        <v>10</v>
      </c>
      <c r="K25" s="16"/>
      <c r="L25" s="108">
        <f>'App.2-V Bill Impact &lt;50 2000kwh'!L25</f>
        <v>0.0123</v>
      </c>
      <c r="M25" s="22">
        <f>H16</f>
        <v>1000</v>
      </c>
      <c r="N25" s="109">
        <f t="shared" si="1"/>
        <v>12.3</v>
      </c>
      <c r="O25" s="16"/>
      <c r="P25" s="23">
        <f t="shared" si="2"/>
        <v>2.3000000000000007</v>
      </c>
      <c r="Q25" s="110">
        <f t="shared" si="3"/>
        <v>0.23000000000000007</v>
      </c>
    </row>
    <row r="26" spans="4:17" ht="12.75">
      <c r="D26" s="16" t="s">
        <v>32</v>
      </c>
      <c r="E26" s="16"/>
      <c r="F26" s="17" t="s">
        <v>73</v>
      </c>
      <c r="G26" s="18"/>
      <c r="H26" s="108">
        <f>'App.2-V Bill Impact &lt;50 2000kwh'!H26</f>
        <v>0.0006</v>
      </c>
      <c r="I26" s="20">
        <f>I25</f>
        <v>1000</v>
      </c>
      <c r="J26" s="109">
        <f t="shared" si="0"/>
        <v>0.6</v>
      </c>
      <c r="K26" s="16"/>
      <c r="L26" s="108">
        <f>'App.2-V Bill Impact &lt;50 2000kwh'!L26</f>
        <v>0.0006</v>
      </c>
      <c r="M26" s="22">
        <f>M25</f>
        <v>1000</v>
      </c>
      <c r="N26" s="109">
        <f t="shared" si="1"/>
        <v>0.6</v>
      </c>
      <c r="O26" s="16"/>
      <c r="P26" s="23">
        <f t="shared" si="2"/>
        <v>0</v>
      </c>
      <c r="Q26" s="110">
        <f t="shared" si="3"/>
        <v>0</v>
      </c>
    </row>
    <row r="27" spans="4:17" ht="12.75">
      <c r="D27" s="16" t="s">
        <v>33</v>
      </c>
      <c r="E27" s="16"/>
      <c r="F27" s="17"/>
      <c r="G27" s="18"/>
      <c r="H27" s="108"/>
      <c r="I27" s="20"/>
      <c r="J27" s="109">
        <f t="shared" si="0"/>
        <v>0</v>
      </c>
      <c r="K27" s="16"/>
      <c r="L27" s="108"/>
      <c r="M27" s="22"/>
      <c r="N27" s="109">
        <f t="shared" si="1"/>
        <v>0</v>
      </c>
      <c r="O27" s="16"/>
      <c r="P27" s="23">
        <f t="shared" si="2"/>
        <v>0</v>
      </c>
      <c r="Q27" s="110">
        <f t="shared" si="3"/>
      </c>
    </row>
    <row r="28" spans="4:17" ht="12.75">
      <c r="D28" s="16" t="s">
        <v>34</v>
      </c>
      <c r="E28" s="16"/>
      <c r="F28" s="17"/>
      <c r="G28" s="18"/>
      <c r="H28" s="108"/>
      <c r="I28" s="20"/>
      <c r="J28" s="109">
        <f t="shared" si="0"/>
        <v>0</v>
      </c>
      <c r="K28" s="16"/>
      <c r="L28" s="108"/>
      <c r="M28" s="22"/>
      <c r="N28" s="109">
        <f t="shared" si="1"/>
        <v>0</v>
      </c>
      <c r="O28" s="16"/>
      <c r="P28" s="23">
        <f t="shared" si="2"/>
        <v>0</v>
      </c>
      <c r="Q28" s="110">
        <f t="shared" si="3"/>
      </c>
    </row>
    <row r="29" spans="4:17" ht="12.75">
      <c r="D29" s="16" t="s">
        <v>35</v>
      </c>
      <c r="E29" s="16"/>
      <c r="F29" s="17" t="s">
        <v>72</v>
      </c>
      <c r="G29" s="18"/>
      <c r="H29" s="108"/>
      <c r="I29" s="20"/>
      <c r="J29" s="109">
        <f t="shared" si="0"/>
        <v>0</v>
      </c>
      <c r="K29" s="16"/>
      <c r="L29" s="108">
        <f>'App.2-V Bill Impact &lt;50 2000kwh'!L29</f>
        <v>0</v>
      </c>
      <c r="M29" s="22">
        <v>1</v>
      </c>
      <c r="N29" s="109">
        <f t="shared" si="1"/>
        <v>0</v>
      </c>
      <c r="O29" s="16"/>
      <c r="P29" s="23">
        <f t="shared" si="2"/>
        <v>0</v>
      </c>
      <c r="Q29" s="110">
        <f t="shared" si="3"/>
      </c>
    </row>
    <row r="30" spans="4:17" ht="12.75">
      <c r="D30" s="16" t="s">
        <v>36</v>
      </c>
      <c r="E30" s="16"/>
      <c r="F30" s="17" t="s">
        <v>73</v>
      </c>
      <c r="G30" s="18"/>
      <c r="H30" s="108"/>
      <c r="I30" s="20"/>
      <c r="J30" s="109">
        <f t="shared" si="0"/>
        <v>0</v>
      </c>
      <c r="K30" s="16"/>
      <c r="L30" s="108">
        <f>'App.2-V Bill Impact &lt;50 2000kwh'!L30</f>
        <v>0.0004</v>
      </c>
      <c r="M30" s="20">
        <f>H16</f>
        <v>1000</v>
      </c>
      <c r="N30" s="109">
        <f t="shared" si="1"/>
        <v>0.4</v>
      </c>
      <c r="O30" s="16"/>
      <c r="P30" s="23">
        <f t="shared" si="2"/>
        <v>0.4</v>
      </c>
      <c r="Q30" s="110">
        <f t="shared" si="3"/>
      </c>
    </row>
    <row r="31" spans="4:17" ht="26.25">
      <c r="D31" s="25" t="s">
        <v>37</v>
      </c>
      <c r="E31" s="16"/>
      <c r="F31" s="17" t="s">
        <v>73</v>
      </c>
      <c r="G31" s="18"/>
      <c r="H31" s="108"/>
      <c r="I31" s="20"/>
      <c r="J31" s="109">
        <f t="shared" si="0"/>
        <v>0</v>
      </c>
      <c r="K31" s="16"/>
      <c r="L31" s="108">
        <f>'App.2-V Bill Impact &lt;50 2000kwh'!L31</f>
        <v>-0.005817469203499612</v>
      </c>
      <c r="M31" s="22">
        <f>M30</f>
        <v>1000</v>
      </c>
      <c r="N31" s="109">
        <f t="shared" si="1"/>
        <v>-5.817469203499612</v>
      </c>
      <c r="O31" s="16"/>
      <c r="P31" s="23">
        <f t="shared" si="2"/>
        <v>-5.817469203499612</v>
      </c>
      <c r="Q31" s="110">
        <f t="shared" si="3"/>
      </c>
    </row>
    <row r="32" spans="4:19" ht="13.5" thickBot="1">
      <c r="D32" s="26" t="s">
        <v>14</v>
      </c>
      <c r="E32" s="16"/>
      <c r="F32" s="17" t="s">
        <v>72</v>
      </c>
      <c r="G32" s="18"/>
      <c r="H32" s="108"/>
      <c r="I32" s="27"/>
      <c r="J32" s="109">
        <f t="shared" si="0"/>
        <v>0</v>
      </c>
      <c r="K32" s="16"/>
      <c r="L32" s="108">
        <f>'App.2-V Bill Impact &lt;50 2000kwh'!L32</f>
        <v>0</v>
      </c>
      <c r="M32" s="28">
        <v>1</v>
      </c>
      <c r="N32" s="109">
        <f t="shared" si="1"/>
        <v>0</v>
      </c>
      <c r="O32" s="16"/>
      <c r="P32" s="23">
        <f t="shared" si="2"/>
        <v>0</v>
      </c>
      <c r="Q32" s="110">
        <f t="shared" si="3"/>
      </c>
      <c r="S32" s="117"/>
    </row>
    <row r="33" spans="4:17" ht="13.5" thickBot="1">
      <c r="D33" s="3" t="s">
        <v>38</v>
      </c>
      <c r="G33" s="29"/>
      <c r="H33" s="30"/>
      <c r="I33" s="31"/>
      <c r="J33" s="32">
        <f>SUM(J21:J32)</f>
        <v>38.15</v>
      </c>
      <c r="L33" s="30"/>
      <c r="M33" s="33"/>
      <c r="N33" s="32">
        <f>SUM(N21:N32)</f>
        <v>43.835856893731616</v>
      </c>
      <c r="P33" s="34">
        <f t="shared" si="2"/>
        <v>5.685856893731618</v>
      </c>
      <c r="Q33" s="35">
        <f t="shared" si="3"/>
        <v>0.14903949918038317</v>
      </c>
    </row>
    <row r="34" spans="4:17" ht="12.75">
      <c r="D34" s="36" t="s">
        <v>39</v>
      </c>
      <c r="E34" s="36"/>
      <c r="F34" s="37" t="s">
        <v>73</v>
      </c>
      <c r="G34" s="38"/>
      <c r="H34" s="111">
        <f>'App.2-V Bill Impact &lt;50 2000kwh'!H34</f>
        <v>0.0054</v>
      </c>
      <c r="I34" s="39">
        <f>H16*(1+H50)</f>
        <v>1050.2</v>
      </c>
      <c r="J34" s="112">
        <f>I34*H34</f>
        <v>5.671080000000001</v>
      </c>
      <c r="K34" s="36"/>
      <c r="L34" s="111">
        <f>'App.2-V Bill Impact &lt;50 2000kwh'!L34</f>
        <v>0.0061</v>
      </c>
      <c r="M34" s="40">
        <f>H16*(1+L50)</f>
        <v>1052.5531633354499</v>
      </c>
      <c r="N34" s="112">
        <f>M34*L34</f>
        <v>6.420574296346245</v>
      </c>
      <c r="O34" s="36"/>
      <c r="P34" s="41">
        <f t="shared" si="2"/>
        <v>0.7494942963462439</v>
      </c>
      <c r="Q34" s="113">
        <f t="shared" si="3"/>
        <v>0.13216076943831576</v>
      </c>
    </row>
    <row r="35" spans="4:17" ht="27" thickBot="1">
      <c r="D35" s="42" t="s">
        <v>40</v>
      </c>
      <c r="E35" s="36"/>
      <c r="F35" s="37" t="s">
        <v>73</v>
      </c>
      <c r="G35" s="38"/>
      <c r="H35" s="111">
        <f>'App.2-V Bill Impact &lt;50 2000kwh'!H35</f>
        <v>0.0043</v>
      </c>
      <c r="I35" s="39">
        <f>I34</f>
        <v>1050.2</v>
      </c>
      <c r="J35" s="112">
        <f>I35*H35</f>
        <v>4.51586</v>
      </c>
      <c r="K35" s="36"/>
      <c r="L35" s="111">
        <f>'App.2-V Bill Impact &lt;50 2000kwh'!L35</f>
        <v>0.0047</v>
      </c>
      <c r="M35" s="40">
        <f>M34</f>
        <v>1052.5531633354499</v>
      </c>
      <c r="N35" s="112">
        <f>M35*L35</f>
        <v>4.946999867676615</v>
      </c>
      <c r="O35" s="36"/>
      <c r="P35" s="41">
        <f t="shared" si="2"/>
        <v>0.43113986767661494</v>
      </c>
      <c r="Q35" s="113">
        <f t="shared" si="3"/>
        <v>0.0954723724111498</v>
      </c>
    </row>
    <row r="36" spans="4:17" ht="27" thickBot="1">
      <c r="D36" s="43" t="s">
        <v>41</v>
      </c>
      <c r="E36" s="16"/>
      <c r="F36" s="16"/>
      <c r="G36" s="18"/>
      <c r="H36" s="44"/>
      <c r="I36" s="45"/>
      <c r="J36" s="46">
        <f>SUM(J33:J35)</f>
        <v>48.33694</v>
      </c>
      <c r="K36" s="47"/>
      <c r="L36" s="48"/>
      <c r="M36" s="49"/>
      <c r="N36" s="46">
        <f>SUM(N33:N35)</f>
        <v>55.20343105775448</v>
      </c>
      <c r="O36" s="47"/>
      <c r="P36" s="50">
        <f t="shared" si="2"/>
        <v>6.86649105775448</v>
      </c>
      <c r="Q36" s="51">
        <f t="shared" si="3"/>
        <v>0.14205473200733187</v>
      </c>
    </row>
    <row r="37" spans="4:17" ht="26.25">
      <c r="D37" s="25" t="s">
        <v>42</v>
      </c>
      <c r="E37" s="16"/>
      <c r="F37" s="17"/>
      <c r="G37" s="18"/>
      <c r="H37" s="19">
        <f>'App.2-V Bill Impact &lt;50 2000kwh'!H37</f>
        <v>0.0065</v>
      </c>
      <c r="I37" s="20">
        <f>I35</f>
        <v>1050.2</v>
      </c>
      <c r="J37" s="21">
        <f aca="true" t="shared" si="4" ref="J37:J43">I37*H37</f>
        <v>6.8263</v>
      </c>
      <c r="K37" s="16"/>
      <c r="L37" s="19">
        <f>'App.2-V Bill Impact &lt;50 2000kwh'!L37</f>
        <v>0.0065</v>
      </c>
      <c r="M37" s="22">
        <f>M35</f>
        <v>1052.5531633354499</v>
      </c>
      <c r="N37" s="21">
        <f aca="true" t="shared" si="5" ref="N37:N43">M37*L37</f>
        <v>6.841595561680424</v>
      </c>
      <c r="O37" s="16"/>
      <c r="P37" s="23">
        <f t="shared" si="2"/>
        <v>0.015295561680424008</v>
      </c>
      <c r="Q37" s="24">
        <f t="shared" si="3"/>
        <v>0.002240681142115642</v>
      </c>
    </row>
    <row r="38" spans="4:17" ht="26.25">
      <c r="D38" s="25" t="s">
        <v>43</v>
      </c>
      <c r="E38" s="16"/>
      <c r="F38" s="17"/>
      <c r="G38" s="18"/>
      <c r="H38" s="19"/>
      <c r="I38" s="20">
        <f>I35</f>
        <v>1050.2</v>
      </c>
      <c r="J38" s="21">
        <f t="shared" si="4"/>
        <v>0</v>
      </c>
      <c r="K38" s="16"/>
      <c r="L38" s="19"/>
      <c r="M38" s="22">
        <f>M35</f>
        <v>1052.5531633354499</v>
      </c>
      <c r="N38" s="21">
        <f t="shared" si="5"/>
        <v>0</v>
      </c>
      <c r="O38" s="16"/>
      <c r="P38" s="23">
        <f t="shared" si="2"/>
        <v>0</v>
      </c>
      <c r="Q38" s="24">
        <f t="shared" si="3"/>
      </c>
    </row>
    <row r="39" spans="4:17" ht="12.75">
      <c r="D39" s="25" t="s">
        <v>44</v>
      </c>
      <c r="E39" s="16"/>
      <c r="F39" s="17"/>
      <c r="G39" s="18"/>
      <c r="H39" s="19"/>
      <c r="I39" s="20">
        <f>I35</f>
        <v>1050.2</v>
      </c>
      <c r="J39" s="21">
        <f t="shared" si="4"/>
        <v>0</v>
      </c>
      <c r="K39" s="16"/>
      <c r="L39" s="19"/>
      <c r="M39" s="22">
        <f>M35</f>
        <v>1052.5531633354499</v>
      </c>
      <c r="N39" s="21">
        <f t="shared" si="5"/>
        <v>0</v>
      </c>
      <c r="O39" s="16"/>
      <c r="P39" s="23">
        <f t="shared" si="2"/>
        <v>0</v>
      </c>
      <c r="Q39" s="24">
        <f t="shared" si="3"/>
      </c>
    </row>
    <row r="40" spans="4:17" ht="12.75">
      <c r="D40" s="16" t="s">
        <v>45</v>
      </c>
      <c r="E40" s="16"/>
      <c r="F40" s="17"/>
      <c r="G40" s="18"/>
      <c r="H40" s="19"/>
      <c r="I40" s="20">
        <v>1</v>
      </c>
      <c r="J40" s="21">
        <f t="shared" si="4"/>
        <v>0</v>
      </c>
      <c r="K40" s="16"/>
      <c r="L40" s="19"/>
      <c r="M40" s="22">
        <v>1</v>
      </c>
      <c r="N40" s="21">
        <f t="shared" si="5"/>
        <v>0</v>
      </c>
      <c r="O40" s="16"/>
      <c r="P40" s="23">
        <f t="shared" si="2"/>
        <v>0</v>
      </c>
      <c r="Q40" s="24">
        <f t="shared" si="3"/>
      </c>
    </row>
    <row r="41" spans="4:17" ht="12.75">
      <c r="D41" s="16" t="s">
        <v>46</v>
      </c>
      <c r="E41" s="16"/>
      <c r="F41" s="17" t="s">
        <v>73</v>
      </c>
      <c r="G41" s="18"/>
      <c r="H41" s="19">
        <f>'App.2-V Bill Impact &lt;50 2000kwh'!H41</f>
        <v>0.007</v>
      </c>
      <c r="I41" s="20">
        <f>I38</f>
        <v>1050.2</v>
      </c>
      <c r="J41" s="21">
        <f t="shared" si="4"/>
        <v>7.351400000000001</v>
      </c>
      <c r="K41" s="16"/>
      <c r="L41" s="19">
        <f>'App.2-V Bill Impact &lt;50 2000kwh'!L41</f>
        <v>0.007</v>
      </c>
      <c r="M41" s="22">
        <f>M38</f>
        <v>1052.5531633354499</v>
      </c>
      <c r="N41" s="21">
        <f t="shared" si="5"/>
        <v>7.3678721433481495</v>
      </c>
      <c r="O41" s="16"/>
      <c r="P41" s="23">
        <f t="shared" si="2"/>
        <v>0.016472143348148727</v>
      </c>
      <c r="Q41" s="24">
        <f t="shared" si="3"/>
        <v>0.002240681142115614</v>
      </c>
    </row>
    <row r="42" spans="4:17" ht="12.75">
      <c r="D42" s="16" t="s">
        <v>47</v>
      </c>
      <c r="E42" s="16"/>
      <c r="F42" s="17" t="s">
        <v>73</v>
      </c>
      <c r="G42" s="18"/>
      <c r="H42" s="19">
        <f>'App.2-V Bill Impact &lt;50 2000kwh'!H42</f>
        <v>0.068</v>
      </c>
      <c r="I42" s="20">
        <v>600</v>
      </c>
      <c r="J42" s="21">
        <f t="shared" si="4"/>
        <v>40.800000000000004</v>
      </c>
      <c r="K42" s="16"/>
      <c r="L42" s="19">
        <f>'App.2-V Bill Impact &lt;50 2000kwh'!L42</f>
        <v>0.068</v>
      </c>
      <c r="M42" s="22">
        <v>600</v>
      </c>
      <c r="N42" s="21">
        <f t="shared" si="5"/>
        <v>40.800000000000004</v>
      </c>
      <c r="O42" s="16"/>
      <c r="P42" s="23">
        <f t="shared" si="2"/>
        <v>0</v>
      </c>
      <c r="Q42" s="24">
        <f t="shared" si="3"/>
        <v>0</v>
      </c>
    </row>
    <row r="43" spans="4:17" ht="13.5" thickBot="1">
      <c r="D43" s="53" t="s">
        <v>47</v>
      </c>
      <c r="E43" s="16"/>
      <c r="F43" s="17" t="s">
        <v>73</v>
      </c>
      <c r="G43" s="18"/>
      <c r="H43" s="19">
        <f>'App.2-V Bill Impact &lt;50 2000kwh'!H43</f>
        <v>0.079</v>
      </c>
      <c r="I43" s="54">
        <f>I41-I42</f>
        <v>450.20000000000005</v>
      </c>
      <c r="J43" s="21">
        <f t="shared" si="4"/>
        <v>35.5658</v>
      </c>
      <c r="K43" s="16"/>
      <c r="L43" s="19">
        <f>'App.2-V Bill Impact &lt;50 2000kwh'!L43</f>
        <v>0.079</v>
      </c>
      <c r="M43" s="55">
        <f>M41-M42</f>
        <v>452.5531633354499</v>
      </c>
      <c r="N43" s="21">
        <f t="shared" si="5"/>
        <v>35.751699903500544</v>
      </c>
      <c r="O43" s="16"/>
      <c r="P43" s="23">
        <f t="shared" si="2"/>
        <v>0.18589990350054109</v>
      </c>
      <c r="Q43" s="24">
        <f t="shared" si="3"/>
        <v>0.005226928777098816</v>
      </c>
    </row>
    <row r="44" spans="4:17" ht="13.5" thickBot="1">
      <c r="D44" s="56" t="s">
        <v>48</v>
      </c>
      <c r="E44" s="16"/>
      <c r="F44" s="16"/>
      <c r="G44" s="16"/>
      <c r="H44" s="57"/>
      <c r="I44" s="58"/>
      <c r="J44" s="46">
        <f>SUM(J36:J43)</f>
        <v>138.88044</v>
      </c>
      <c r="K44" s="47"/>
      <c r="L44" s="59"/>
      <c r="M44" s="60"/>
      <c r="N44" s="46">
        <f>SUM(N36:N43)</f>
        <v>145.9645986662836</v>
      </c>
      <c r="O44" s="47"/>
      <c r="P44" s="50">
        <f t="shared" si="2"/>
        <v>7.084158666283599</v>
      </c>
      <c r="Q44" s="51">
        <f t="shared" si="3"/>
        <v>0.05100904537949044</v>
      </c>
    </row>
    <row r="45" spans="4:17" ht="13.5" thickBot="1">
      <c r="D45" s="18" t="s">
        <v>49</v>
      </c>
      <c r="E45" s="16"/>
      <c r="F45" s="16"/>
      <c r="G45" s="16"/>
      <c r="H45" s="61">
        <v>0.13</v>
      </c>
      <c r="I45" s="62"/>
      <c r="J45" s="63">
        <f>J44*H45</f>
        <v>18.054457199999998</v>
      </c>
      <c r="K45" s="16"/>
      <c r="L45" s="61">
        <v>0.13</v>
      </c>
      <c r="M45" s="64"/>
      <c r="N45" s="63">
        <f>N44*L45</f>
        <v>18.975397826616867</v>
      </c>
      <c r="O45" s="16"/>
      <c r="P45" s="23">
        <f t="shared" si="2"/>
        <v>0.9209406266168685</v>
      </c>
      <c r="Q45" s="24">
        <f t="shared" si="3"/>
        <v>0.05100904537949048</v>
      </c>
    </row>
    <row r="46" spans="4:17" ht="27" thickBot="1">
      <c r="D46" s="43" t="s">
        <v>50</v>
      </c>
      <c r="E46" s="16"/>
      <c r="F46" s="16"/>
      <c r="G46" s="16"/>
      <c r="H46" s="44"/>
      <c r="I46" s="45"/>
      <c r="J46" s="46">
        <f>ROUND(SUM(J44:J45),2)</f>
        <v>156.93</v>
      </c>
      <c r="K46" s="47"/>
      <c r="L46" s="48"/>
      <c r="M46" s="49"/>
      <c r="N46" s="46">
        <f>ROUND(SUM(N44:N45),2)</f>
        <v>164.94</v>
      </c>
      <c r="O46" s="47"/>
      <c r="P46" s="50">
        <f t="shared" si="2"/>
        <v>8.009999999999991</v>
      </c>
      <c r="Q46" s="51">
        <f t="shared" si="3"/>
        <v>0.05104186580003817</v>
      </c>
    </row>
    <row r="47" spans="4:17" ht="29.25" thickBot="1">
      <c r="D47" s="83" t="s">
        <v>102</v>
      </c>
      <c r="E47" s="16"/>
      <c r="F47" s="16"/>
      <c r="G47" s="16"/>
      <c r="H47" s="44"/>
      <c r="I47" s="80"/>
      <c r="J47" s="46">
        <f>ROUND(-J46*10%,2)</f>
        <v>-15.69</v>
      </c>
      <c r="K47" s="47"/>
      <c r="L47" s="48"/>
      <c r="M47" s="49"/>
      <c r="N47" s="46">
        <f>ROUND(-N46*10%,2)</f>
        <v>-16.49</v>
      </c>
      <c r="O47" s="47"/>
      <c r="P47" s="50">
        <f t="shared" si="2"/>
        <v>-0.7999999999999989</v>
      </c>
      <c r="Q47" s="51">
        <f t="shared" si="3"/>
        <v>0.05098789037603563</v>
      </c>
    </row>
    <row r="48" spans="4:17" ht="13.5" thickBot="1">
      <c r="D48" s="43" t="s">
        <v>55</v>
      </c>
      <c r="E48" s="16"/>
      <c r="F48" s="16"/>
      <c r="G48" s="16"/>
      <c r="H48" s="82"/>
      <c r="I48" s="81"/>
      <c r="J48" s="75">
        <f>J46+J47</f>
        <v>141.24</v>
      </c>
      <c r="K48" s="47"/>
      <c r="L48" s="79"/>
      <c r="M48" s="78"/>
      <c r="N48" s="75">
        <f>N46+N47</f>
        <v>148.45</v>
      </c>
      <c r="O48" s="47"/>
      <c r="P48" s="77">
        <f t="shared" si="2"/>
        <v>7.2099999999999795</v>
      </c>
      <c r="Q48" s="76">
        <f t="shared" si="3"/>
        <v>0.0510478617955252</v>
      </c>
    </row>
    <row r="49" ht="10.5" customHeight="1">
      <c r="T49" s="123"/>
    </row>
    <row r="50" spans="4:12" ht="12.75">
      <c r="D50" s="3" t="s">
        <v>51</v>
      </c>
      <c r="H50" s="65">
        <v>0.0502</v>
      </c>
      <c r="I50" s="137"/>
      <c r="J50" s="137"/>
      <c r="K50" s="137"/>
      <c r="L50" s="120">
        <v>0.05255316333545</v>
      </c>
    </row>
    <row r="51" ht="10.5" customHeight="1"/>
    <row r="52" ht="10.5" customHeight="1">
      <c r="C52" s="107" t="s">
        <v>103</v>
      </c>
    </row>
    <row r="53" ht="10.5" customHeight="1"/>
    <row r="54" spans="2:3" ht="12.75">
      <c r="B54" s="3"/>
      <c r="C54" s="2" t="s">
        <v>59</v>
      </c>
    </row>
    <row r="55" ht="12.75">
      <c r="C55" s="2" t="s">
        <v>60</v>
      </c>
    </row>
    <row r="57" ht="12.75">
      <c r="C57" s="2" t="s">
        <v>101</v>
      </c>
    </row>
    <row r="58" ht="12.75">
      <c r="C58" s="2" t="s">
        <v>61</v>
      </c>
    </row>
    <row r="60" ht="12.75">
      <c r="C60" s="2" t="s">
        <v>62</v>
      </c>
    </row>
    <row r="61" ht="12.75">
      <c r="C61" s="2" t="s">
        <v>63</v>
      </c>
    </row>
    <row r="62" ht="12.75">
      <c r="C62" s="2" t="s">
        <v>64</v>
      </c>
    </row>
    <row r="63" ht="12.75">
      <c r="C63" s="2" t="s">
        <v>65</v>
      </c>
    </row>
    <row r="64" ht="12.75">
      <c r="C64" s="2" t="s">
        <v>66</v>
      </c>
    </row>
  </sheetData>
  <sheetProtection selectLockedCells="1"/>
  <mergeCells count="9">
    <mergeCell ref="D11:Q11"/>
    <mergeCell ref="P5:Q5"/>
    <mergeCell ref="P7:Q7"/>
    <mergeCell ref="P1:Q1"/>
    <mergeCell ref="P2:Q2"/>
    <mergeCell ref="P3:Q3"/>
    <mergeCell ref="P4:Q4"/>
    <mergeCell ref="C3:M3"/>
    <mergeCell ref="D10:Q10"/>
  </mergeCells>
  <dataValidations count="3">
    <dataValidation type="list" allowBlank="1" showInputMessage="1" showErrorMessage="1" sqref="G37:G43 G21:G32 G34:G35">
      <formula1>$B$14:$B$19</formula1>
    </dataValidation>
    <dataValidation type="list" allowBlank="1" showInputMessage="1" showErrorMessage="1" prompt="Select Charge Unit - monthly, per kWh, per kW" sqref="F34:F35 F21:F32 F37:F43">
      <formula1>"Monthly, per kWh, per kW"</formula1>
    </dataValidation>
    <dataValidation allowBlank="1" showInputMessage="1" showErrorMessage="1" promptTitle="Date Format" prompt="E.g:  &quot;August 1, 2011&quot;" sqref="P7"/>
  </dataValidations>
  <printOptions/>
  <pageMargins left="0.75" right="0.75" top="1" bottom="1" header="0.5" footer="0.5"/>
  <pageSetup fitToHeight="1" fitToWidth="1" horizontalDpi="600" verticalDpi="600" orientation="portrait" scale="67"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ArmstrBi</dc:creator>
  <cp:keywords/>
  <dc:description/>
  <cp:lastModifiedBy>Mioara</cp:lastModifiedBy>
  <cp:lastPrinted>2011-11-14T20:26:10Z</cp:lastPrinted>
  <dcterms:created xsi:type="dcterms:W3CDTF">2009-03-26T15:32:04Z</dcterms:created>
  <dcterms:modified xsi:type="dcterms:W3CDTF">2011-11-14T23:20:31Z</dcterms:modified>
  <cp:category/>
  <cp:version/>
  <cp:contentType/>
  <cp:contentStatus/>
</cp:coreProperties>
</file>