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9200" windowHeight="1296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Analysis'!$A$1:$O$60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<sst xmlns="http://schemas.openxmlformats.org/spreadsheetml/2006/main" count="1021" uniqueCount="598">
  <si>
    <t xml:space="preserve">     from the Q4 2001 and 2002 PILs worksheets for 2002, 2003 and January 1 to March 31, 2004.  </t>
  </si>
  <si>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</si>
  <si>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</si>
  <si>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</si>
  <si>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 In 2004, use the Board-approved 2002 PILs proxy rate for the period April 1 to December 31, 2004 added to the result from</t>
  </si>
  <si>
    <t xml:space="preserve">     the sentence above for January 1 to March 31, 2004.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</si>
  <si>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</si>
  <si>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</si>
  <si>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</si>
  <si>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</si>
  <si>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</si>
  <si>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</si>
  <si>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</si>
  <si>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</si>
  <si>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</si>
  <si>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</si>
  <si>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</si>
  <si>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</si>
  <si>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</si>
  <si>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</si>
  <si>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</si>
  <si>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</si>
  <si>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</si>
  <si>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</si>
  <si>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</si>
  <si>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</si>
  <si>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</si>
  <si>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</si>
  <si>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</si>
  <si>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</si>
  <si>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</si>
  <si>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</si>
  <si>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</si>
  <si>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</si>
  <si>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</si>
  <si>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</si>
  <si>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</si>
  <si>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</si>
  <si>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</si>
  <si>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</si>
  <si>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</si>
  <si>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</si>
  <si>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</si>
  <si>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</si>
  <si>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</si>
  <si>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</si>
  <si>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</si>
  <si>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</si>
  <si>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</si>
  <si>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</si>
  <si>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</si>
  <si>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</si>
  <si>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</si>
  <si>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</si>
  <si>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</si>
  <si>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</si>
  <si>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</si>
  <si>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</si>
  <si>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</si>
  <si>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</si>
  <si>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</si>
  <si>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</si>
  <si>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</si>
  <si>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</si>
  <si>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</si>
  <si>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</si>
  <si>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</si>
  <si>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</si>
  <si>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</si>
  <si>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</si>
  <si>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</si>
  <si>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</si>
  <si>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</si>
  <si>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</si>
  <si>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</si>
  <si>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</si>
  <si>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</si>
  <si>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</si>
  <si>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</si>
  <si>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</si>
  <si>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</si>
  <si>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</si>
  <si>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</si>
  <si>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</si>
  <si>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</si>
  <si>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</si>
  <si>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</si>
  <si>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</si>
  <si>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</si>
  <si>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</si>
  <si>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</si>
  <si>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</si>
  <si>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</si>
  <si>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</si>
  <si>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</si>
  <si>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</si>
  <si>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</si>
  <si>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</si>
  <si>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</si>
  <si>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</si>
  <si>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</si>
  <si>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</si>
  <si>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</si>
  <si>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</si>
  <si>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</si>
  <si>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</si>
  <si>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</si>
  <si>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</si>
  <si>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</si>
  <si>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</si>
  <si>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</si>
  <si>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</si>
  <si>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</si>
  <si>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</si>
  <si>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</si>
  <si>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</si>
  <si>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</si>
  <si>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</si>
  <si>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</si>
  <si>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</si>
  <si>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</si>
  <si>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</si>
  <si>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</si>
  <si>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</si>
  <si>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</si>
  <si>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</si>
  <si>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</si>
  <si>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</si>
  <si>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</si>
  <si>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</si>
  <si>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</si>
  <si>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</si>
  <si>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</si>
  <si>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</si>
  <si>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</si>
  <si>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</si>
  <si>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</si>
  <si>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</si>
  <si>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</si>
  <si>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</si>
  <si>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</si>
  <si>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</si>
  <si>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</si>
  <si>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</si>
  <si>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</si>
  <si>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</si>
  <si>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</si>
  <si>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</si>
  <si>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</si>
  <si>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</si>
  <si>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</si>
  <si>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</si>
  <si>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</si>
  <si>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</si>
  <si>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</si>
  <si>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</si>
  <si>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</si>
  <si>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</si>
  <si>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</si>
  <si>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</si>
  <si>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</si>
  <si>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</si>
  <si>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</si>
  <si>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</si>
  <si>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</si>
  <si>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</si>
  <si>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</si>
  <si>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</si>
  <si>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</si>
  <si>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</si>
  <si>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</si>
  <si>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</si>
  <si>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</si>
  <si>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</si>
  <si>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</si>
  <si>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</si>
  <si>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</si>
  <si>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</si>
  <si>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</si>
  <si>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</si>
  <si>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</si>
  <si>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</si>
  <si>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Deferred Payment in lieu of Taxes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</si>
  <si>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</si>
  <si>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</si>
  <si>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</si>
  <si>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</si>
  <si>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</si>
  <si>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</si>
  <si>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</si>
  <si>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</si>
  <si>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</si>
  <si>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</si>
  <si>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</si>
  <si>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</si>
  <si>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</si>
  <si>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</si>
  <si>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</si>
  <si>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</si>
  <si>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</si>
  <si>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</si>
  <si>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</si>
  <si>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</si>
  <si>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</si>
  <si>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</si>
  <si>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</si>
  <si>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</si>
  <si>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</si>
  <si>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</si>
  <si>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</si>
  <si>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</si>
  <si>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</si>
  <si>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</si>
  <si>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</si>
  <si>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</si>
  <si>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</si>
  <si>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</si>
  <si>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</si>
  <si>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</si>
  <si>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</si>
  <si>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</si>
  <si>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</si>
  <si>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</si>
  <si>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</si>
  <si>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</si>
  <si>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</si>
  <si>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</si>
  <si>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</si>
  <si>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</si>
  <si>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</si>
  <si>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</si>
  <si>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</si>
  <si>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</si>
  <si>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</si>
  <si>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</si>
  <si>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</si>
  <si>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</si>
  <si>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</si>
  <si>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</si>
  <si>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</si>
  <si>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</si>
  <si>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</si>
  <si>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</si>
  <si>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</si>
  <si>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</si>
  <si>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</si>
  <si>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</si>
  <si>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</si>
  <si>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</si>
  <si>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</si>
  <si>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</si>
  <si>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</si>
  <si>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</si>
  <si>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</si>
  <si>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</si>
  <si>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</si>
  <si>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</si>
  <si>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</si>
  <si>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</si>
  <si>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</si>
  <si>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</si>
  <si>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</si>
  <si>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</si>
  <si>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</si>
  <si>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</si>
  <si>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</si>
  <si>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</si>
  <si>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</si>
  <si>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</si>
  <si>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</si>
  <si>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</si>
  <si>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</si>
  <si>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</si>
  <si>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</si>
  <si>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</si>
  <si>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</si>
  <si>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</si>
  <si>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</si>
  <si>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</si>
  <si>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</si>
  <si>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</si>
  <si>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</si>
  <si>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</si>
  <si>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</si>
  <si>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</si>
  <si>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</si>
  <si>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</si>
  <si>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</si>
  <si>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</si>
  <si>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</si>
  <si>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</si>
  <si>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</si>
  <si>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</si>
  <si>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</si>
  <si>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</si>
  <si>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</si>
  <si>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</si>
  <si>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</si>
  <si>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</si>
  <si>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</si>
  <si>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</si>
  <si>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</si>
  <si>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</si>
  <si>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</si>
  <si>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</si>
  <si>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</si>
  <si>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</si>
  <si>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</si>
  <si>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</si>
  <si>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</si>
  <si>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</si>
  <si>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</si>
  <si>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</si>
  <si>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</si>
  <si>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</si>
  <si>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</si>
  <si>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</si>
  <si>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</si>
  <si>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</si>
  <si>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</si>
  <si>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</si>
  <si>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</si>
  <si>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</si>
  <si>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</si>
  <si>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</si>
  <si>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</si>
  <si>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</si>
  <si>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</si>
  <si>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</si>
  <si>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</si>
  <si>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</si>
  <si>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</si>
  <si>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</si>
  <si>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</si>
  <si>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</si>
  <si>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</si>
  <si>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</si>
  <si>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</si>
  <si>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</si>
  <si>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</si>
  <si>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</si>
  <si>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</si>
  <si>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</si>
  <si>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</si>
  <si>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</si>
  <si>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</si>
  <si>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</si>
  <si>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</si>
  <si>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</si>
  <si>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</si>
  <si>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</si>
  <si>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</si>
  <si>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</si>
  <si>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</si>
  <si>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</si>
  <si>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</si>
  <si>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</si>
  <si>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</si>
  <si>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</si>
  <si>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</si>
  <si>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</si>
  <si>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</si>
  <si>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</si>
  <si>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</si>
  <si>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</si>
  <si>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</si>
  <si>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</si>
  <si>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</si>
  <si>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</si>
  <si>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</si>
  <si>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</si>
  <si>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</si>
  <si>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</si>
  <si>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</si>
  <si>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</si>
  <si>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</si>
  <si>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</si>
  <si>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</si>
  <si>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</si>
  <si>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</si>
  <si>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</si>
  <si>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</si>
  <si>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</si>
  <si>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</si>
  <si>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</si>
  <si>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</si>
  <si>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</si>
  <si>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</si>
  <si>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</si>
  <si>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</si>
  <si>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</si>
  <si>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</si>
  <si>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</si>
  <si>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</si>
  <si>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</si>
  <si>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</si>
  <si>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</si>
  <si>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</si>
  <si>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</si>
  <si>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</si>
  <si>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</si>
  <si>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</si>
  <si>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</si>
  <si>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</si>
  <si>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</si>
  <si>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</si>
  <si>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</si>
  <si>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</si>
  <si>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</si>
  <si>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</si>
  <si>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</si>
  <si>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</si>
  <si>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</si>
  <si>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</si>
  <si>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</si>
  <si>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</si>
  <si>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</si>
  <si>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</si>
  <si>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</si>
  <si>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</si>
  <si>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</si>
  <si>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</si>
  <si>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</si>
  <si>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</si>
  <si>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</si>
  <si>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</si>
  <si>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</si>
  <si>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</si>
  <si>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</si>
  <si>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</si>
  <si>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</si>
  <si>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</si>
  <si>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</si>
  <si>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</si>
  <si>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</si>
  <si>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</si>
  <si>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</si>
  <si>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</si>
  <si>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</si>
  <si>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</si>
  <si>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</si>
  <si>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</si>
  <si>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</si>
  <si>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</si>
  <si>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</si>
  <si>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</si>
  <si>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</si>
  <si>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</si>
  <si>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</si>
  <si>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</si>
  <si>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</si>
  <si>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</si>
  <si>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</si>
  <si>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</si>
  <si>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</si>
  <si>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</si>
  <si>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</si>
  <si>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</si>
  <si>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</si>
  <si>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</si>
  <si>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</si>
  <si>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</si>
  <si>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</si>
  <si>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</si>
  <si>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</si>
  <si>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</si>
  <si>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</si>
  <si>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</si>
  <si>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</si>
  <si>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</si>
  <si>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</si>
  <si>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</si>
  <si>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</si>
  <si>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</si>
  <si>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</si>
  <si>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</si>
  <si>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</si>
  <si>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</si>
  <si>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</si>
  <si>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</si>
  <si>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</si>
  <si>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</si>
  <si>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</si>
  <si>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</si>
  <si>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</si>
  <si>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</si>
  <si>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</si>
  <si>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</si>
  <si>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</si>
  <si>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</si>
  <si>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</si>
  <si>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</si>
  <si>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</si>
  <si>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</si>
  <si>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</si>
  <si>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</si>
  <si>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</si>
  <si>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</si>
  <si>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</si>
  <si>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</si>
  <si>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</si>
  <si>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</si>
  <si>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</si>
  <si>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</si>
  <si>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Version 2004.1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</si>
  <si>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</si>
  <si>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</si>
  <si>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</si>
  <si>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</si>
  <si>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</si>
  <si>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</si>
  <si>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</si>
  <si>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</si>
  <si>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</si>
  <si>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</si>
  <si>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</si>
  <si>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</si>
  <si>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</si>
  <si>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</si>
  <si>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</si>
  <si>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</si>
  <si>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</si>
  <si>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</si>
  <si>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</si>
  <si>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</si>
  <si>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</si>
  <si>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</si>
  <si>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</si>
  <si>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</si>
  <si>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</si>
  <si>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</si>
  <si>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</si>
  <si>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</si>
  <si>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</si>
  <si>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</si>
  <si>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</si>
  <si>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</si>
  <si>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</si>
  <si>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</si>
  <si>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</si>
  <si>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</si>
  <si>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</si>
  <si>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</si>
  <si>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</si>
  <si>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</si>
  <si>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</si>
  <si>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</si>
  <si>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</si>
  <si>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</si>
  <si>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</si>
  <si>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</si>
  <si>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</si>
  <si>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</si>
  <si>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</si>
  <si>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</si>
  <si>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</si>
  <si>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</si>
  <si>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</si>
  <si>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</si>
  <si>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</si>
  <si>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</si>
  <si>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</si>
  <si>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</si>
  <si>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</si>
  <si>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</si>
  <si>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</si>
  <si>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</si>
  <si>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</si>
  <si>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</si>
  <si>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</si>
  <si>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</si>
  <si>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</si>
  <si>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</si>
  <si>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 xml:space="preserve">(5) This should equal the actual kWhs for the period (including net unbilled at period end), multiplied by the PILs proxy rates 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</si>
  <si>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</si>
  <si>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</si>
  <si>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</si>
  <si>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</si>
  <si>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</si>
  <si>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</si>
  <si>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</si>
  <si>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</si>
  <si>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</si>
  <si>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</si>
  <si>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</si>
  <si>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</si>
  <si>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</si>
  <si>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</si>
  <si>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</si>
  <si>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</si>
  <si>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</si>
  <si>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Utility Name:    Asphodel-Norwood Distribution Inc</t>
  </si>
  <si>
    <t>Y</t>
  </si>
  <si>
    <t>N</t>
  </si>
  <si>
    <t>Allowance for deferred restructuring costs</t>
  </si>
  <si>
    <t>NO</t>
  </si>
  <si>
    <t>X</t>
  </si>
  <si>
    <t>Answer: 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</si>
</sst>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53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25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7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1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5" xfId="0" applyFont="1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25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horizontal="right"/>
      <protection/>
    </xf>
    <xf numFmtId="3" fontId="0" fillId="27" borderId="4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172" fontId="0" fillId="27" borderId="14" xfId="0" applyNumberFormat="1" applyFill="1" applyBorder="1" applyAlignment="1" applyProtection="1">
      <alignment vertical="top"/>
      <protection/>
    </xf>
    <xf numFmtId="39" fontId="0" fillId="27" borderId="14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 applyProtection="1">
      <alignment/>
      <protection locked="0"/>
    </xf>
    <xf numFmtId="3" fontId="0" fillId="4" borderId="14" xfId="0" applyNumberFormat="1" applyFill="1" applyBorder="1" applyAlignment="1" applyProtection="1">
      <alignment vertical="top"/>
      <protection locked="0"/>
    </xf>
    <xf numFmtId="3" fontId="0" fillId="29" borderId="14" xfId="0" applyNumberFormat="1" applyFill="1" applyBorder="1" applyAlignment="1" applyProtection="1">
      <alignment vertical="top"/>
      <protection locked="0"/>
    </xf>
    <xf numFmtId="3" fontId="0" fillId="27" borderId="49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27" borderId="14" xfId="0" applyNumberFormat="1" applyFill="1" applyBorder="1" applyAlignment="1" applyProtection="1">
      <alignment vertical="top"/>
      <protection/>
    </xf>
    <xf numFmtId="175" fontId="0" fillId="27" borderId="14" xfId="0" applyNumberFormat="1" applyFill="1" applyBorder="1" applyAlignment="1" applyProtection="1">
      <alignment horizontal="right" vertical="top"/>
      <protection/>
    </xf>
    <xf numFmtId="173" fontId="0" fillId="27" borderId="14" xfId="0" applyNumberFormat="1" applyFill="1" applyBorder="1" applyAlignment="1" applyProtection="1">
      <alignment vertical="top"/>
      <protection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50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8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27" borderId="25" xfId="0" applyNumberFormat="1" applyFill="1" applyBorder="1" applyAlignment="1" applyProtection="1">
      <alignment horizontal="center" vertical="top"/>
      <protection locked="0"/>
    </xf>
    <xf numFmtId="10" fontId="0" fillId="27" borderId="56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0" fontId="0" fillId="27" borderId="45" xfId="0" applyNumberFormat="1" applyFill="1" applyBorder="1" applyAlignment="1" applyProtection="1">
      <alignment horizontal="center" vertical="top"/>
      <protection locked="0"/>
    </xf>
    <xf numFmtId="178" fontId="0" fillId="27" borderId="25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50" xfId="0" applyFill="1" applyBorder="1" applyAlignment="1" applyProtection="1">
      <alignment horizontal="center" vertical="top"/>
      <protection locked="0"/>
    </xf>
    <xf numFmtId="0" fontId="0" fillId="27" borderId="57" xfId="0" applyFill="1" applyBorder="1" applyAlignment="1" applyProtection="1">
      <alignment horizontal="center" vertical="top"/>
      <protection locked="0"/>
    </xf>
    <xf numFmtId="0" fontId="3" fillId="23" borderId="0" xfId="0" applyFont="1" applyFill="1" applyBorder="1" applyAlignment="1" applyProtection="1">
      <alignment vertical="top"/>
      <protection locked="0"/>
    </xf>
    <xf numFmtId="0" fontId="0" fillId="23" borderId="0" xfId="0" applyFill="1" applyBorder="1" applyAlignment="1" applyProtection="1">
      <alignment horizontal="center" vertical="top"/>
      <protection locked="0"/>
    </xf>
    <xf numFmtId="3" fontId="0" fillId="27" borderId="0" xfId="0" applyNumberFormat="1" applyFill="1" applyBorder="1" applyAlignment="1" applyProtection="1">
      <alignment horizontal="center" vertical="center"/>
      <protection locked="0"/>
    </xf>
    <xf numFmtId="0" fontId="0" fillId="27" borderId="0" xfId="0" applyFill="1" applyBorder="1" applyAlignment="1" applyProtection="1">
      <alignment horizontal="center" vertical="top"/>
      <protection locked="0"/>
    </xf>
    <xf numFmtId="0" fontId="3" fillId="23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25" xfId="0" applyNumberFormat="1" applyFill="1" applyBorder="1" applyAlignment="1" applyProtection="1">
      <alignment horizontal="center" vertical="top"/>
      <protection locked="0"/>
    </xf>
    <xf numFmtId="10" fontId="0" fillId="29" borderId="56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25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50" xfId="0" applyNumberFormat="1" applyFill="1" applyBorder="1" applyAlignment="1" applyProtection="1">
      <alignment horizontal="center" vertical="center"/>
      <protection locked="0"/>
    </xf>
    <xf numFmtId="0" fontId="0" fillId="29" borderId="50" xfId="0" applyFill="1" applyBorder="1" applyAlignment="1" applyProtection="1">
      <alignment horizontal="center" vertical="top"/>
      <protection locked="0"/>
    </xf>
    <xf numFmtId="0" fontId="0" fillId="29" borderId="57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51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52" xfId="42" applyNumberFormat="1" applyFont="1" applyFill="1" applyBorder="1" applyAlignment="1" applyProtection="1">
      <alignment horizontal="center" vertical="top"/>
      <protection locked="0"/>
    </xf>
    <xf numFmtId="3" fontId="3" fillId="4" borderId="58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51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52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52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3" fontId="0" fillId="27" borderId="14" xfId="0" applyNumberForma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9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3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27" borderId="61" xfId="0" applyNumberFormat="1" applyFill="1" applyBorder="1" applyAlignment="1">
      <alignment/>
    </xf>
    <xf numFmtId="3" fontId="0" fillId="27" borderId="61" xfId="0" applyNumberFormat="1" applyFill="1" applyBorder="1" applyAlignment="1" applyProtection="1">
      <alignment/>
      <protection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51" xfId="0" applyFont="1" applyFill="1" applyBorder="1" applyAlignment="1">
      <alignment horizontal="center" vertical="top"/>
    </xf>
    <xf numFmtId="0" fontId="3" fillId="27" borderId="52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15" fontId="0" fillId="0" borderId="0" xfId="0" applyNumberFormat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26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25" borderId="0" xfId="0" applyFill="1" applyAlignment="1" applyProtection="1">
      <alignment vertical="top" wrapText="1"/>
      <protection locked="0"/>
    </xf>
    <xf numFmtId="0" fontId="3" fillId="29" borderId="0" xfId="0" applyFont="1" applyFill="1" applyAlignment="1" applyProtection="1">
      <alignment vertical="top" wrapText="1"/>
      <protection locked="0"/>
    </xf>
    <xf numFmtId="0" fontId="0" fillId="29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166</v>
      </c>
      <c r="C1" s="8"/>
      <c r="E1" s="2" t="s">
        <v>504</v>
      </c>
      <c r="H1" s="8"/>
    </row>
    <row r="2" spans="1:8" ht="12.75">
      <c r="A2" s="2" t="s">
        <v>134</v>
      </c>
      <c r="B2" s="8"/>
      <c r="C2" s="8"/>
      <c r="E2" s="27" t="s">
        <v>525</v>
      </c>
      <c r="H2" s="8"/>
    </row>
    <row r="3" spans="1:8" ht="12.75">
      <c r="A3" s="2" t="s">
        <v>591</v>
      </c>
      <c r="C3" s="8"/>
      <c r="E3" s="8"/>
      <c r="F3" s="8"/>
      <c r="G3" s="8"/>
      <c r="H3" s="8"/>
    </row>
    <row r="4" spans="1:8" ht="12.75">
      <c r="A4" s="2" t="s">
        <v>402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213</v>
      </c>
      <c r="B6" s="456">
        <v>366</v>
      </c>
      <c r="C6" s="8" t="s">
        <v>214</v>
      </c>
      <c r="D6" s="27"/>
      <c r="H6" s="8"/>
    </row>
    <row r="7" spans="1:8" ht="13.5" thickBot="1">
      <c r="A7" s="58" t="s">
        <v>388</v>
      </c>
      <c r="B7" s="289">
        <v>366</v>
      </c>
      <c r="C7" s="8" t="s">
        <v>214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135</v>
      </c>
      <c r="B9" s="3"/>
      <c r="C9" s="26"/>
      <c r="D9" s="3"/>
      <c r="E9" s="3"/>
      <c r="F9" s="3"/>
      <c r="G9" s="3"/>
      <c r="H9" s="3"/>
    </row>
    <row r="10" spans="1:8" ht="12.75">
      <c r="A10" s="3" t="s">
        <v>136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137</v>
      </c>
      <c r="C11" s="26"/>
      <c r="D11" s="26"/>
      <c r="E11" s="3"/>
      <c r="F11" s="3"/>
      <c r="G11" s="3"/>
      <c r="H11" s="3"/>
    </row>
    <row r="12" spans="1:8" ht="13.5" thickBot="1">
      <c r="A12" s="3" t="s">
        <v>138</v>
      </c>
      <c r="C12" s="26" t="s">
        <v>139</v>
      </c>
      <c r="D12" s="298" t="s">
        <v>592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140</v>
      </c>
      <c r="C14" s="26"/>
      <c r="D14" s="26"/>
      <c r="E14" s="3"/>
      <c r="F14" s="3"/>
      <c r="G14" s="3"/>
    </row>
    <row r="15" spans="1:4" ht="13.5" customHeight="1" thickBot="1">
      <c r="A15" s="3" t="s">
        <v>141</v>
      </c>
      <c r="C15" s="8" t="s">
        <v>139</v>
      </c>
      <c r="D15" s="298" t="s">
        <v>593</v>
      </c>
    </row>
    <row r="16" spans="1:4" ht="7.5" customHeight="1">
      <c r="A16" s="51"/>
      <c r="C16" s="8"/>
      <c r="D16" s="8"/>
    </row>
    <row r="17" spans="1:4" ht="13.5" thickBot="1">
      <c r="A17" s="51" t="s">
        <v>275</v>
      </c>
      <c r="C17" s="8" t="s">
        <v>139</v>
      </c>
      <c r="D17" s="298" t="s">
        <v>593</v>
      </c>
    </row>
    <row r="18" spans="1:4" ht="15" customHeight="1">
      <c r="A18" s="457" t="s">
        <v>470</v>
      </c>
      <c r="C18" s="8"/>
      <c r="D18" s="8"/>
    </row>
    <row r="19" spans="1:4" ht="15" customHeight="1">
      <c r="A19" s="523" t="s">
        <v>471</v>
      </c>
      <c r="B19" s="8" t="s">
        <v>468</v>
      </c>
      <c r="C19" s="8" t="s">
        <v>139</v>
      </c>
      <c r="D19" s="456" t="s">
        <v>592</v>
      </c>
    </row>
    <row r="20" spans="1:4" ht="13.5" thickBot="1">
      <c r="A20" s="524"/>
      <c r="B20" s="8" t="s">
        <v>469</v>
      </c>
      <c r="C20" s="8" t="s">
        <v>139</v>
      </c>
      <c r="D20" s="298" t="s">
        <v>592</v>
      </c>
    </row>
    <row r="21" spans="1:4" ht="12.75">
      <c r="A21" s="523" t="s">
        <v>467</v>
      </c>
      <c r="B21" s="8" t="s">
        <v>468</v>
      </c>
      <c r="C21" s="8"/>
      <c r="D21" s="497">
        <v>0</v>
      </c>
    </row>
    <row r="22" spans="1:4" ht="12.75">
      <c r="A22" s="523"/>
      <c r="B22" s="8" t="s">
        <v>469</v>
      </c>
      <c r="C22" s="8"/>
      <c r="D22" s="497">
        <v>0.0115</v>
      </c>
    </row>
    <row r="23" spans="1:4" ht="7.5" customHeight="1">
      <c r="A23" s="51"/>
      <c r="C23" s="8"/>
      <c r="D23" s="456"/>
    </row>
    <row r="24" spans="1:4" ht="12.75">
      <c r="A24" s="51" t="s">
        <v>333</v>
      </c>
      <c r="C24" s="8" t="s">
        <v>334</v>
      </c>
      <c r="D24" s="498" t="s">
        <v>425</v>
      </c>
    </row>
    <row r="25" ht="6.75" customHeight="1" thickBot="1">
      <c r="A25" s="12"/>
    </row>
    <row r="26" spans="1:5" ht="12.75">
      <c r="A26" s="295" t="s">
        <v>142</v>
      </c>
      <c r="C26" s="8"/>
      <c r="E26" s="519" t="s">
        <v>436</v>
      </c>
    </row>
    <row r="27" spans="1:5" ht="12.75">
      <c r="A27" s="296" t="s">
        <v>143</v>
      </c>
      <c r="C27" s="8"/>
      <c r="E27" s="520" t="s">
        <v>437</v>
      </c>
    </row>
    <row r="28" spans="1:3" ht="12.75">
      <c r="A28" s="296" t="s">
        <v>144</v>
      </c>
      <c r="C28" s="44"/>
    </row>
    <row r="29" ht="12.75">
      <c r="A29" s="297" t="s">
        <v>145</v>
      </c>
    </row>
    <row r="30" ht="12.75">
      <c r="A30" s="41"/>
    </row>
    <row r="31" spans="1:8" ht="12.75">
      <c r="A31" t="s">
        <v>426</v>
      </c>
      <c r="D31" s="495">
        <v>502176</v>
      </c>
      <c r="H31" s="5"/>
    </row>
    <row r="32" ht="6" customHeight="1"/>
    <row r="33" spans="1:8" ht="12.75">
      <c r="A33" t="s">
        <v>146</v>
      </c>
      <c r="D33" s="496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147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148</v>
      </c>
      <c r="D37" s="496">
        <v>0.0988</v>
      </c>
      <c r="H37" s="47"/>
    </row>
    <row r="38" ht="4.5" customHeight="1">
      <c r="H38" s="40"/>
    </row>
    <row r="39" spans="1:8" ht="12.75">
      <c r="A39" t="s">
        <v>149</v>
      </c>
      <c r="D39" s="496">
        <v>0.0725</v>
      </c>
      <c r="H39" s="47"/>
    </row>
    <row r="40" ht="6" customHeight="1">
      <c r="H40" s="40"/>
    </row>
    <row r="41" spans="1:8" ht="12.75">
      <c r="A41" t="s">
        <v>150</v>
      </c>
      <c r="D41" s="291">
        <f>D31*((D33*D37)+(D35*D39))</f>
        <v>43011.3744</v>
      </c>
      <c r="H41" s="46"/>
    </row>
    <row r="42" spans="4:8" ht="6" customHeight="1">
      <c r="D42" s="28"/>
      <c r="H42" s="46"/>
    </row>
    <row r="43" spans="1:11" ht="12.75">
      <c r="A43" t="s">
        <v>151</v>
      </c>
      <c r="D43" s="499">
        <v>-5052</v>
      </c>
      <c r="E43" s="455">
        <f>-D43</f>
        <v>5052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152</v>
      </c>
      <c r="D45" s="291">
        <f>D41-D43</f>
        <v>48063.3744</v>
      </c>
      <c r="H45" s="46"/>
      <c r="J45" s="5"/>
      <c r="K45" s="5"/>
    </row>
    <row r="46" spans="1:11" ht="12.75">
      <c r="A46" s="2" t="s">
        <v>427</v>
      </c>
      <c r="D46" s="46"/>
      <c r="H46" s="46"/>
      <c r="J46" s="5"/>
      <c r="K46" s="5"/>
    </row>
    <row r="47" spans="1:11" ht="12.75">
      <c r="A47" t="s">
        <v>428</v>
      </c>
      <c r="D47" s="500">
        <v>16021</v>
      </c>
      <c r="E47" s="455">
        <f aca="true" t="shared" si="0" ref="E47:E52">D47</f>
        <v>16021</v>
      </c>
      <c r="H47" s="46"/>
      <c r="J47" s="5"/>
      <c r="K47" s="5"/>
    </row>
    <row r="48" spans="1:11" ht="12.75">
      <c r="A48" t="s">
        <v>429</v>
      </c>
      <c r="D48" s="500">
        <v>16021</v>
      </c>
      <c r="E48" s="455">
        <f t="shared" si="0"/>
        <v>16021</v>
      </c>
      <c r="F48" s="28"/>
      <c r="H48" s="46"/>
      <c r="J48" s="5"/>
      <c r="K48" s="5"/>
    </row>
    <row r="49" spans="1:11" ht="12.75">
      <c r="A49" t="s">
        <v>430</v>
      </c>
      <c r="D49" s="501"/>
      <c r="E49" s="455">
        <f t="shared" si="0"/>
        <v>0</v>
      </c>
      <c r="F49" s="28"/>
      <c r="H49" s="46"/>
      <c r="J49" s="5"/>
      <c r="K49" s="5"/>
    </row>
    <row r="50" spans="1:11" ht="12.75">
      <c r="A50" t="s">
        <v>431</v>
      </c>
      <c r="D50" s="502"/>
      <c r="E50" s="455">
        <f t="shared" si="0"/>
        <v>0</v>
      </c>
      <c r="H50" s="46"/>
      <c r="J50" s="5"/>
      <c r="K50" s="5"/>
    </row>
    <row r="51" spans="4:11" ht="12.75">
      <c r="D51" s="502"/>
      <c r="E51" s="455">
        <f t="shared" si="0"/>
        <v>0</v>
      </c>
      <c r="H51" s="46"/>
      <c r="J51" s="5"/>
      <c r="K51" s="5"/>
    </row>
    <row r="52" spans="4:11" ht="12.75">
      <c r="D52" s="502"/>
      <c r="E52" s="455">
        <f t="shared" si="0"/>
        <v>0</v>
      </c>
      <c r="H52" s="46"/>
      <c r="J52" s="5"/>
      <c r="K52" s="5"/>
    </row>
    <row r="53" spans="1:11" ht="12.75">
      <c r="A53" s="2" t="s">
        <v>432</v>
      </c>
      <c r="E53" s="294">
        <f>SUM(E43:E52)</f>
        <v>37094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153</v>
      </c>
      <c r="B55" s="5"/>
      <c r="C55" s="5"/>
      <c r="D55" s="292">
        <f>D31*D33</f>
        <v>251088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154</v>
      </c>
      <c r="B57" s="5"/>
      <c r="C57" s="5"/>
      <c r="D57" s="292">
        <f>D55*D37</f>
        <v>24807.4944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155</v>
      </c>
      <c r="B59" s="5"/>
      <c r="C59" s="5"/>
      <c r="D59" s="292">
        <f>D31*D35</f>
        <v>251088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466</v>
      </c>
      <c r="B61" s="5"/>
      <c r="C61" s="5"/>
      <c r="D61" s="292">
        <f>D59*D39</f>
        <v>18203.879999999997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433</v>
      </c>
      <c r="B63" s="5"/>
      <c r="C63" s="5"/>
      <c r="D63" s="293">
        <f>IF(D41&gt;0,(((D43+D47)/D41)*D61),0)</f>
        <v>4642.454757734967</v>
      </c>
      <c r="F63" s="5"/>
      <c r="H63" s="38"/>
      <c r="J63" s="5"/>
      <c r="K63" s="5"/>
    </row>
    <row r="64" spans="1:11" ht="12.75">
      <c r="A64" s="39" t="s">
        <v>588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434</v>
      </c>
      <c r="B65" s="5"/>
      <c r="C65" s="5"/>
      <c r="D65" s="293">
        <f>IF(D41&gt;0,(((D43+D47+D48)/D41)*D61),0)</f>
        <v>11423.088149445415</v>
      </c>
      <c r="F65" s="5"/>
      <c r="H65" s="38"/>
      <c r="J65" s="5"/>
      <c r="K65" s="5"/>
    </row>
    <row r="66" spans="1:11" ht="12.75">
      <c r="A66" s="39" t="s">
        <v>589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435</v>
      </c>
      <c r="B67" s="5"/>
      <c r="C67" s="5"/>
      <c r="D67" s="293">
        <f>IF(D41&gt;0,(((D43+D47+D48)/D41)*D61),0)</f>
        <v>11423.088149445415</v>
      </c>
      <c r="F67" s="5"/>
      <c r="H67" s="38"/>
      <c r="J67" s="5"/>
    </row>
    <row r="68" spans="1:10" ht="12.75">
      <c r="A68" s="39" t="s">
        <v>590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zoomScalePageLayoutView="0" workbookViewId="0" topLeftCell="A1">
      <selection activeCell="I179" sqref="I17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167</v>
      </c>
      <c r="B1" s="227" t="s">
        <v>215</v>
      </c>
      <c r="C1" s="228" t="s">
        <v>47</v>
      </c>
      <c r="D1" s="229"/>
      <c r="E1" s="229"/>
      <c r="F1" s="229"/>
      <c r="G1" s="230"/>
      <c r="H1" s="230"/>
      <c r="I1" s="231" t="s">
        <v>36</v>
      </c>
      <c r="J1" s="232" t="s">
        <v>36</v>
      </c>
      <c r="K1" s="233" t="s">
        <v>36</v>
      </c>
      <c r="L1" s="234"/>
    </row>
    <row r="2" spans="1:12" ht="12.75">
      <c r="A2" s="235" t="s">
        <v>120</v>
      </c>
      <c r="B2" s="236"/>
      <c r="C2" s="237" t="s">
        <v>48</v>
      </c>
      <c r="D2" s="238"/>
      <c r="E2" s="238"/>
      <c r="F2" s="238"/>
      <c r="G2" s="239"/>
      <c r="H2" s="239"/>
      <c r="I2" s="240" t="s">
        <v>37</v>
      </c>
      <c r="J2" s="241" t="s">
        <v>37</v>
      </c>
      <c r="K2" s="205" t="s">
        <v>37</v>
      </c>
      <c r="L2" s="242"/>
    </row>
    <row r="3" spans="1:12" ht="12.75">
      <c r="A3" s="235" t="s">
        <v>119</v>
      </c>
      <c r="B3" s="243"/>
      <c r="C3" s="244"/>
      <c r="D3" s="238"/>
      <c r="E3" s="238"/>
      <c r="F3" s="238"/>
      <c r="G3" s="239"/>
      <c r="H3" s="239"/>
      <c r="I3" s="158" t="s">
        <v>34</v>
      </c>
      <c r="J3" s="245" t="s">
        <v>34</v>
      </c>
      <c r="K3" s="158"/>
      <c r="L3" s="242"/>
    </row>
    <row r="4" spans="1:12" ht="12.75">
      <c r="A4" s="246" t="s">
        <v>55</v>
      </c>
      <c r="B4" s="247"/>
      <c r="C4" s="244"/>
      <c r="D4" s="239"/>
      <c r="E4" s="239"/>
      <c r="F4" s="239"/>
      <c r="G4" s="239"/>
      <c r="H4" s="239"/>
      <c r="I4" s="158" t="s">
        <v>380</v>
      </c>
      <c r="J4" s="245" t="s">
        <v>35</v>
      </c>
      <c r="K4" s="158" t="s">
        <v>51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2004.1</v>
      </c>
      <c r="L5" s="242"/>
    </row>
    <row r="6" spans="1:12" ht="13.5" thickBot="1">
      <c r="A6" s="235"/>
      <c r="B6" s="247"/>
      <c r="C6" s="244" t="s">
        <v>38</v>
      </c>
      <c r="D6" s="238"/>
      <c r="E6" s="238"/>
      <c r="F6" s="238"/>
      <c r="G6" s="239"/>
      <c r="H6" s="239"/>
      <c r="I6" s="244" t="s">
        <v>38</v>
      </c>
      <c r="J6" s="245"/>
      <c r="K6" s="244" t="s">
        <v>38</v>
      </c>
      <c r="L6" s="242"/>
    </row>
    <row r="7" spans="1:12" ht="13.5" thickTop="1">
      <c r="A7" s="235" t="str">
        <f>REGINFO!A3</f>
        <v>Utility Name:    Asphodel-Norwood Distribution Inc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162</v>
      </c>
      <c r="L8" s="242"/>
      <c r="N8" s="53" t="s">
        <v>216</v>
      </c>
      <c r="O8" s="53"/>
      <c r="P8" s="53"/>
    </row>
    <row r="9" spans="1:12" ht="12.75">
      <c r="A9" s="235" t="s">
        <v>213</v>
      </c>
      <c r="B9" s="503">
        <f>REGINFO!B6</f>
        <v>366</v>
      </c>
      <c r="C9" s="257" t="s">
        <v>214</v>
      </c>
      <c r="D9" s="238"/>
      <c r="E9" s="238"/>
      <c r="F9" s="238"/>
      <c r="G9" s="239"/>
      <c r="H9" s="239"/>
      <c r="I9" s="158"/>
      <c r="J9" s="245"/>
      <c r="K9" s="205" t="s">
        <v>165</v>
      </c>
      <c r="L9" s="242"/>
    </row>
    <row r="10" spans="1:12" ht="12.75">
      <c r="A10" s="235" t="s">
        <v>388</v>
      </c>
      <c r="B10" s="503">
        <f>REGINFO!B7</f>
        <v>366</v>
      </c>
      <c r="C10" s="257" t="s">
        <v>214</v>
      </c>
      <c r="D10" s="238"/>
      <c r="E10" s="238"/>
      <c r="F10" s="238"/>
      <c r="G10" s="239"/>
      <c r="H10" s="239"/>
      <c r="I10" s="258"/>
      <c r="J10" s="245"/>
      <c r="K10" s="259" t="s">
        <v>163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164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43</v>
      </c>
      <c r="B13" s="138" t="s">
        <v>180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510</v>
      </c>
      <c r="B15" s="143">
        <v>1</v>
      </c>
      <c r="C15" s="300">
        <v>32042</v>
      </c>
      <c r="D15" s="18"/>
      <c r="E15" s="18"/>
      <c r="F15" s="18"/>
      <c r="G15" s="22"/>
      <c r="H15" s="22"/>
      <c r="I15" s="308">
        <f>K15-C15</f>
        <v>-15292</v>
      </c>
      <c r="J15" s="3"/>
      <c r="K15" s="308">
        <f>TAXREC!E50</f>
        <v>16750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39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329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17</v>
      </c>
      <c r="B20" s="145">
        <v>2</v>
      </c>
      <c r="C20" s="302">
        <v>26015</v>
      </c>
      <c r="D20" s="20"/>
      <c r="E20" s="20"/>
      <c r="F20" s="20"/>
      <c r="G20" s="23"/>
      <c r="H20" s="23"/>
      <c r="I20" s="308">
        <f>K20-C20</f>
        <v>-1862</v>
      </c>
      <c r="J20" s="6"/>
      <c r="K20" s="308">
        <f>TAXREC!E61</f>
        <v>24153</v>
      </c>
      <c r="L20" s="172"/>
    </row>
    <row r="21" spans="1:12" ht="12.75">
      <c r="A21" s="179" t="s">
        <v>131</v>
      </c>
      <c r="B21" s="145">
        <v>3</v>
      </c>
      <c r="C21" s="302"/>
      <c r="D21" s="17"/>
      <c r="E21" s="17"/>
      <c r="F21" s="17"/>
      <c r="G21" s="23"/>
      <c r="H21" s="23"/>
      <c r="I21" s="308">
        <f>K21-C21</f>
        <v>0</v>
      </c>
      <c r="J21" s="6"/>
      <c r="K21" s="308">
        <f>TAXREC!E62</f>
        <v>0</v>
      </c>
      <c r="L21" s="172"/>
    </row>
    <row r="22" spans="1:12" ht="12.75">
      <c r="A22" s="179" t="s">
        <v>399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398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0</v>
      </c>
      <c r="J23" s="6"/>
      <c r="K23" s="308">
        <f>TAXREC!E64</f>
        <v>0</v>
      </c>
      <c r="L23" s="172"/>
    </row>
    <row r="24" spans="1:12" ht="12.75">
      <c r="A24" s="179" t="s">
        <v>400</v>
      </c>
      <c r="B24" s="145">
        <v>5</v>
      </c>
      <c r="C24" s="302"/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128</v>
      </c>
      <c r="B25" s="145"/>
      <c r="C25" s="121" t="s">
        <v>180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246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249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29</v>
      </c>
      <c r="J27" s="6"/>
      <c r="K27" s="308">
        <f>TAXREC!E92</f>
        <v>29</v>
      </c>
      <c r="L27" s="172"/>
    </row>
    <row r="28" spans="1:12" ht="12.75">
      <c r="A28" s="179" t="s">
        <v>248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247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0</v>
      </c>
      <c r="J29" s="6"/>
      <c r="K29" s="308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511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181</v>
      </c>
      <c r="B32" s="145">
        <v>7</v>
      </c>
      <c r="C32" s="302">
        <v>14256</v>
      </c>
      <c r="D32" s="20"/>
      <c r="E32" s="20"/>
      <c r="F32" s="20"/>
      <c r="G32" s="150"/>
      <c r="H32" s="150"/>
      <c r="I32" s="308">
        <f aca="true" t="shared" si="0" ref="I32:I41">K32-C32</f>
        <v>3714</v>
      </c>
      <c r="J32" s="6"/>
      <c r="K32" s="308">
        <f>TAXREC!E96+TAXREC!E97</f>
        <v>17970</v>
      </c>
      <c r="L32" s="172"/>
    </row>
    <row r="33" spans="1:12" ht="12.75">
      <c r="A33" s="179" t="s">
        <v>132</v>
      </c>
      <c r="B33" s="145">
        <v>8</v>
      </c>
      <c r="C33" s="302"/>
      <c r="D33" s="20"/>
      <c r="E33" s="20"/>
      <c r="F33" s="20"/>
      <c r="G33" s="150"/>
      <c r="H33" s="150"/>
      <c r="I33" s="308">
        <f t="shared" si="0"/>
        <v>0</v>
      </c>
      <c r="J33" s="6"/>
      <c r="K33" s="308">
        <f>TAXREC!E98</f>
        <v>0</v>
      </c>
      <c r="L33" s="172"/>
    </row>
    <row r="34" spans="1:12" ht="12.75">
      <c r="A34" s="179" t="s">
        <v>59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401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161</v>
      </c>
      <c r="B36" s="143">
        <v>11</v>
      </c>
      <c r="C36" s="301">
        <v>13561</v>
      </c>
      <c r="D36" s="20"/>
      <c r="E36" s="20"/>
      <c r="F36" s="20"/>
      <c r="G36" s="150"/>
      <c r="H36" s="150"/>
      <c r="I36" s="308">
        <f t="shared" si="0"/>
        <v>-12705</v>
      </c>
      <c r="J36" s="6"/>
      <c r="K36" s="308">
        <f>TAXREC!E51</f>
        <v>856</v>
      </c>
      <c r="L36" s="172"/>
    </row>
    <row r="37" spans="1:12" ht="12.75">
      <c r="A37" s="176" t="s">
        <v>397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396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0</v>
      </c>
      <c r="J38" s="6"/>
      <c r="K38" s="308">
        <f>TAXREC!E104</f>
        <v>0</v>
      </c>
      <c r="L38" s="172"/>
    </row>
    <row r="39" spans="1:12" ht="12.75">
      <c r="A39" s="176" t="s">
        <v>25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26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274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129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246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243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245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5252</v>
      </c>
      <c r="J45" s="6"/>
      <c r="K45" s="291">
        <f>TAXREC!E108</f>
        <v>5252</v>
      </c>
      <c r="L45" s="172"/>
    </row>
    <row r="46" spans="1:12" ht="12.75">
      <c r="A46" s="179" t="s">
        <v>244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489</v>
      </c>
      <c r="B48" s="143"/>
      <c r="C48" s="304">
        <v>30243</v>
      </c>
      <c r="D48" s="24"/>
      <c r="E48" s="24"/>
      <c r="F48" s="24"/>
      <c r="G48" s="117"/>
      <c r="H48" s="117"/>
      <c r="I48" s="304">
        <f>SUM(I15:I47)</f>
        <v>-20864</v>
      </c>
      <c r="J48" s="505" t="s">
        <v>562</v>
      </c>
      <c r="K48" s="304">
        <f>K15+SUM(K20:K29)-SUM(K32:K46)</f>
        <v>16854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505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509</v>
      </c>
      <c r="B51" s="145">
        <v>13</v>
      </c>
      <c r="C51" s="303">
        <f>IF($C$48&gt;'Tax Rates'!$E$11,'Tax Rates'!$F$16,IF($C$48&gt;'Tax Rates'!$C$11,'Tax Rates'!$E$16,'Tax Rates'!$C$16))</f>
        <v>0.1912</v>
      </c>
      <c r="D51" s="116"/>
      <c r="E51" s="116"/>
      <c r="F51" s="116"/>
      <c r="G51" s="117"/>
      <c r="H51" s="117"/>
      <c r="I51" s="309">
        <f>+K51-C51</f>
        <v>0.17007922154978042</v>
      </c>
      <c r="J51" s="130"/>
      <c r="K51" s="303">
        <f>TAXREC!E149</f>
        <v>0.3612792215497804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41</v>
      </c>
      <c r="B53" s="145"/>
      <c r="C53" s="305">
        <f>IF(C48&gt;0,C48*C51,0)</f>
        <v>5782.4616000000005</v>
      </c>
      <c r="D53" s="24"/>
      <c r="E53" s="24"/>
      <c r="F53" s="24"/>
      <c r="G53" s="117"/>
      <c r="H53" s="117"/>
      <c r="I53" s="308">
        <f>K53-C53</f>
        <v>306.53839999999946</v>
      </c>
      <c r="J53" s="505" t="s">
        <v>563</v>
      </c>
      <c r="K53" s="305">
        <f>TAXREC!E142</f>
        <v>6089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49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5" t="s">
        <v>563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50</v>
      </c>
      <c r="B58" s="153"/>
      <c r="C58" s="307">
        <f>+C53-C56</f>
        <v>5782.4616000000005</v>
      </c>
      <c r="D58" s="151"/>
      <c r="E58" s="151"/>
      <c r="F58" s="151"/>
      <c r="G58" s="152"/>
      <c r="H58" s="152"/>
      <c r="I58" s="310">
        <f>+I53-I56</f>
        <v>306.53839999999946</v>
      </c>
      <c r="J58" s="505" t="s">
        <v>563</v>
      </c>
      <c r="K58" s="310">
        <f>+K53-K56</f>
        <v>6089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44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42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30</v>
      </c>
      <c r="B64" s="143">
        <v>15</v>
      </c>
      <c r="C64" s="305">
        <f>Ratebase</f>
        <v>502176</v>
      </c>
      <c r="D64" s="116"/>
      <c r="E64" s="116"/>
      <c r="F64" s="116"/>
      <c r="G64" s="117"/>
      <c r="H64" s="117"/>
      <c r="I64" s="308">
        <f>K64-C64</f>
        <v>182818.3960625208</v>
      </c>
      <c r="J64" s="6"/>
      <c r="K64" s="308">
        <f>TAXREC!E217</f>
        <v>684994.3960625208</v>
      </c>
      <c r="L64" s="172"/>
    </row>
    <row r="65" spans="1:12" ht="12.75">
      <c r="A65" s="173" t="s">
        <v>554</v>
      </c>
      <c r="B65" s="143">
        <v>16</v>
      </c>
      <c r="C65" s="301">
        <v>53500</v>
      </c>
      <c r="D65" s="116"/>
      <c r="E65" s="116"/>
      <c r="F65" s="116"/>
      <c r="G65" s="117"/>
      <c r="H65" s="117"/>
      <c r="I65" s="308">
        <f>K65-C65</f>
        <v>-53500</v>
      </c>
      <c r="J65" s="6"/>
      <c r="K65" s="308">
        <f>TAXREC!E220</f>
        <v>0</v>
      </c>
      <c r="L65" s="172"/>
    </row>
    <row r="66" spans="1:12" ht="12.75">
      <c r="A66" s="173" t="s">
        <v>56</v>
      </c>
      <c r="B66" s="143"/>
      <c r="C66" s="305">
        <f>IF((C64-C65)&gt;0,C64-C65,0)</f>
        <v>448676</v>
      </c>
      <c r="D66" s="116"/>
      <c r="E66" s="116"/>
      <c r="F66" s="116"/>
      <c r="G66" s="117"/>
      <c r="H66" s="117"/>
      <c r="I66" s="308">
        <f>SUM(I64:I65)</f>
        <v>129318.3960625208</v>
      </c>
      <c r="J66" s="130"/>
      <c r="K66" s="305">
        <f>IF((K64-K65)&gt;0,K64-K65,0)</f>
        <v>684994.3960625208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555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472</v>
      </c>
      <c r="B70" s="143"/>
      <c r="C70" s="305">
        <f>IF(C66&gt;0,C66*C68,0)*REGINFO!$B$6/REGINFO!$B$7</f>
        <v>1346.028</v>
      </c>
      <c r="D70" s="114"/>
      <c r="E70" s="114"/>
      <c r="F70" s="114"/>
      <c r="G70" s="115"/>
      <c r="H70" s="115"/>
      <c r="I70" s="308">
        <f>+K70-C70</f>
        <v>708.9551881875625</v>
      </c>
      <c r="J70" s="130"/>
      <c r="K70" s="305">
        <f>TAXREC!E229</f>
        <v>2054.9831881875625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339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30</v>
      </c>
      <c r="B73" s="143">
        <v>18</v>
      </c>
      <c r="C73" s="305">
        <f>Ratebase</f>
        <v>502176</v>
      </c>
      <c r="D73" s="116"/>
      <c r="E73" s="116"/>
      <c r="F73" s="116"/>
      <c r="G73" s="117"/>
      <c r="H73" s="117"/>
      <c r="I73" s="308">
        <f>+K73-C73</f>
        <v>168338</v>
      </c>
      <c r="J73" s="6"/>
      <c r="K73" s="308">
        <f>TAXREC!E280</f>
        <v>670514</v>
      </c>
      <c r="L73" s="172"/>
    </row>
    <row r="74" spans="1:12" ht="12.75">
      <c r="A74" s="173" t="s">
        <v>554</v>
      </c>
      <c r="B74" s="143">
        <v>19</v>
      </c>
      <c r="C74" s="301">
        <v>107000</v>
      </c>
      <c r="D74" s="20"/>
      <c r="E74" s="20"/>
      <c r="F74" s="20"/>
      <c r="G74" s="23"/>
      <c r="H74" s="23"/>
      <c r="I74" s="308">
        <f>+K74-C74</f>
        <v>468800</v>
      </c>
      <c r="J74" s="6"/>
      <c r="K74" s="308">
        <f>TAXREC!E282</f>
        <v>575800</v>
      </c>
      <c r="L74" s="172"/>
    </row>
    <row r="75" spans="1:12" ht="12.75">
      <c r="A75" s="173" t="s">
        <v>56</v>
      </c>
      <c r="B75" s="143"/>
      <c r="C75" s="305">
        <f>IF((C73-C74)&gt;0,C73-C74,0)</f>
        <v>395176</v>
      </c>
      <c r="D75" s="24"/>
      <c r="E75" s="24"/>
      <c r="F75" s="24"/>
      <c r="G75" s="25"/>
      <c r="H75" s="25"/>
      <c r="I75" s="308">
        <f>SUM(I73:I74)</f>
        <v>637138</v>
      </c>
      <c r="J75" s="130"/>
      <c r="K75" s="305">
        <f>IF((K73-K74)&gt;0,K73-K74,0)</f>
        <v>94714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555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-0.0002499999999999998</v>
      </c>
      <c r="J77" s="6"/>
      <c r="K77" s="309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473</v>
      </c>
      <c r="B79" s="143"/>
      <c r="C79" s="305">
        <f>IF(C75&gt;0,C75*C77,0)*REGINFO!$B$6/REGINFO!$B$7</f>
        <v>889.146</v>
      </c>
      <c r="D79" s="116"/>
      <c r="E79" s="116"/>
      <c r="F79" s="116"/>
      <c r="G79" s="117"/>
      <c r="H79" s="117"/>
      <c r="I79" s="308">
        <f>+K79-C79</f>
        <v>-699.718</v>
      </c>
      <c r="J79" s="6"/>
      <c r="K79" s="305">
        <f>TAXREC!E291</f>
        <v>189.428</v>
      </c>
      <c r="L79" s="172"/>
    </row>
    <row r="80" spans="1:12" ht="12.75">
      <c r="A80" s="173" t="s">
        <v>474</v>
      </c>
      <c r="B80" s="143">
        <v>21</v>
      </c>
      <c r="C80" s="355">
        <f>IF(C75&gt;0,IF(C58&gt;0,C48*'Tax Rates'!C20,0),0)</f>
        <v>338.7216</v>
      </c>
      <c r="D80" s="116"/>
      <c r="E80" s="116"/>
      <c r="F80" s="116"/>
      <c r="G80" s="117"/>
      <c r="H80" s="117"/>
      <c r="I80" s="308">
        <f>+K80-C80</f>
        <v>-338.7216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45</v>
      </c>
      <c r="B82" s="143"/>
      <c r="C82" s="305">
        <f>C79-C80</f>
        <v>550.4243999999999</v>
      </c>
      <c r="D82" s="21"/>
      <c r="E82" s="114"/>
      <c r="F82" s="21"/>
      <c r="G82" s="16"/>
      <c r="H82" s="16"/>
      <c r="I82" s="308">
        <f>SUM(I79:I81)</f>
        <v>-1038.4396</v>
      </c>
      <c r="J82" s="118"/>
      <c r="K82" s="305">
        <f>K79-K80</f>
        <v>189.428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202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356</v>
      </c>
      <c r="B86" s="143"/>
      <c r="C86" s="303">
        <f>IF($C$48&gt;'Tax Rates'!$E$11,'Tax Rates'!$F$16,IF(AND($C$48&gt;='Tax Rates'!$C$11,$C$48&lt;='Tax Rates'!E11),'Tax Rates'!$E$16,'Tax Rates'!$C$16))-1.12%</f>
        <v>0.18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564</v>
      </c>
      <c r="B88" s="145">
        <v>22</v>
      </c>
      <c r="C88" s="305">
        <f>C58/(1-C86)</f>
        <v>7051.78243902439</v>
      </c>
      <c r="D88" s="113"/>
      <c r="E88" s="113"/>
      <c r="F88" s="113"/>
      <c r="G88" s="26"/>
      <c r="H88" s="26"/>
      <c r="I88" s="160"/>
      <c r="J88" s="504" t="s">
        <v>556</v>
      </c>
      <c r="K88" s="311">
        <f>TAXREC!E303</f>
        <v>6089</v>
      </c>
      <c r="L88" s="172"/>
    </row>
    <row r="89" spans="1:12" ht="12.75">
      <c r="A89" s="179" t="s">
        <v>565</v>
      </c>
      <c r="B89" s="145">
        <v>23</v>
      </c>
      <c r="C89" s="305">
        <f>C82/(1-C86)</f>
        <v>671.2492682926827</v>
      </c>
      <c r="D89" s="113"/>
      <c r="E89" s="113"/>
      <c r="F89" s="113"/>
      <c r="G89" s="26"/>
      <c r="H89" s="26"/>
      <c r="I89" s="160"/>
      <c r="J89" s="504" t="s">
        <v>556</v>
      </c>
      <c r="K89" s="311">
        <f>TAXREC!E305</f>
        <v>189.428</v>
      </c>
      <c r="L89" s="172"/>
    </row>
    <row r="90" spans="1:12" ht="12.75">
      <c r="A90" s="179" t="s">
        <v>520</v>
      </c>
      <c r="B90" s="145">
        <v>24</v>
      </c>
      <c r="C90" s="305">
        <f>C70</f>
        <v>1346.028</v>
      </c>
      <c r="D90" s="113"/>
      <c r="E90" s="113"/>
      <c r="F90" s="113"/>
      <c r="G90" s="26"/>
      <c r="H90" s="26"/>
      <c r="I90" s="160"/>
      <c r="J90" s="504" t="s">
        <v>556</v>
      </c>
      <c r="K90" s="311">
        <f>TAXREC!E304</f>
        <v>2054.9831881875625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488</v>
      </c>
      <c r="B93" s="143">
        <v>25</v>
      </c>
      <c r="C93" s="310">
        <f>SUM(C88:C91)</f>
        <v>9069.059707317074</v>
      </c>
      <c r="D93" s="99"/>
      <c r="E93" s="99"/>
      <c r="F93" s="99"/>
      <c r="G93" s="6"/>
      <c r="H93" s="6"/>
      <c r="I93" s="160"/>
      <c r="J93" s="504" t="s">
        <v>556</v>
      </c>
      <c r="K93" s="484">
        <f>SUM(K88:K92)</f>
        <v>8333.411188187561</v>
      </c>
      <c r="L93" s="185"/>
    </row>
    <row r="94" spans="1:12" ht="12.75">
      <c r="A94" s="473" t="s">
        <v>458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446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377</v>
      </c>
      <c r="B98" s="140"/>
      <c r="C98" s="128"/>
      <c r="D98" s="3"/>
      <c r="E98" s="3"/>
      <c r="F98" s="3"/>
      <c r="G98" s="3"/>
      <c r="H98" s="3"/>
      <c r="I98" s="164" t="s">
        <v>379</v>
      </c>
      <c r="J98" s="43"/>
      <c r="K98" s="223"/>
      <c r="L98" s="185"/>
    </row>
    <row r="99" spans="1:12" ht="12.75">
      <c r="A99" s="177" t="s">
        <v>518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131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0</v>
      </c>
      <c r="J100" s="43"/>
      <c r="K100" s="224"/>
      <c r="L100" s="185"/>
    </row>
    <row r="101" spans="1:12" ht="12.75">
      <c r="A101" s="179" t="s">
        <v>23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178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0</v>
      </c>
      <c r="J102" s="43"/>
      <c r="K102" s="224"/>
      <c r="L102" s="185"/>
    </row>
    <row r="103" spans="1:12" ht="12.75">
      <c r="A103" s="179" t="s">
        <v>58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558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559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557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132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0</v>
      </c>
      <c r="J107" s="43"/>
      <c r="K107" s="224"/>
      <c r="L107" s="185"/>
    </row>
    <row r="108" spans="1:12" ht="12.75">
      <c r="A108" s="179" t="s">
        <v>59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58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477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28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179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0</v>
      </c>
      <c r="J112" s="43"/>
      <c r="K112" s="224"/>
      <c r="L112" s="185"/>
    </row>
    <row r="113" spans="1:12" ht="12.75">
      <c r="A113" s="176" t="s">
        <v>25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26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560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561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5252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341</v>
      </c>
      <c r="B118" s="145">
        <v>26</v>
      </c>
      <c r="C118" s="128"/>
      <c r="D118" s="3"/>
      <c r="E118" s="3"/>
      <c r="F118" s="3"/>
      <c r="G118" s="133"/>
      <c r="H118" s="133" t="s">
        <v>284</v>
      </c>
      <c r="I118" s="305">
        <f>SUM(I100:I105)-SUM(I107:I116)</f>
        <v>-5252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459</v>
      </c>
      <c r="B120" s="145"/>
      <c r="C120" s="128"/>
      <c r="D120" s="3"/>
      <c r="E120" s="3"/>
      <c r="F120" s="3"/>
      <c r="G120" s="3"/>
      <c r="H120" s="3" t="s">
        <v>361</v>
      </c>
      <c r="I120" s="367">
        <f>IF((I118+K48)&gt;'Tax Rates'!$E$47,'Tax Rates'!$F$52-1.12%,IF((I118+K48)&gt;'Tax Rates'!$D$47,'Tax Rates'!$E$52-1.12%,IF((I118+K48)&gt;'Tax Rates'!$C$47,'Tax Rates'!$D$52-1.12%,'Tax Rates'!$C$52-1.12%)))</f>
        <v>0.175</v>
      </c>
      <c r="J120" s="134"/>
      <c r="K120" s="224" t="s">
        <v>180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180</v>
      </c>
      <c r="L121" s="185"/>
    </row>
    <row r="122" spans="1:12" ht="12.75">
      <c r="A122" s="179" t="s">
        <v>376</v>
      </c>
      <c r="B122" s="145"/>
      <c r="C122" s="128"/>
      <c r="D122" s="3"/>
      <c r="E122" s="3"/>
      <c r="F122" s="3"/>
      <c r="G122" s="3"/>
      <c r="H122" s="3" t="s">
        <v>284</v>
      </c>
      <c r="I122" s="305">
        <f>I118*I120</f>
        <v>-919.0999999999999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196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201</v>
      </c>
      <c r="B126" s="145"/>
      <c r="C126" s="128"/>
      <c r="D126" s="3"/>
      <c r="E126" s="3"/>
      <c r="F126" s="3"/>
      <c r="G126" s="3"/>
      <c r="H126" s="3"/>
      <c r="I126" s="305">
        <f>I122-I124</f>
        <v>-919.0999999999999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305</v>
      </c>
      <c r="B128" s="145"/>
      <c r="C128" s="128"/>
      <c r="D128" s="3"/>
      <c r="E128" s="3"/>
      <c r="F128" s="3"/>
      <c r="G128" s="3"/>
      <c r="H128" s="3"/>
      <c r="I128" s="367">
        <f>IF((I118+C48)&gt;'Tax Rates'!$E$47,'Tax Rates'!$F$52-1.12%,IF((I118+C48)&gt;'Tax Rates'!$D$47,'Tax Rates'!$E$52-1.12%,IF((I118+C48)&gt;'Tax Rates'!$C$47,'Tax Rates'!$D$52-1.12%,'Tax Rates'!$C$52-1.12%)))</f>
        <v>0.175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543</v>
      </c>
      <c r="B130" s="148"/>
      <c r="C130" s="128"/>
      <c r="D130" s="3"/>
      <c r="E130" s="3"/>
      <c r="F130" s="3"/>
      <c r="G130" s="3"/>
      <c r="H130" s="3"/>
      <c r="I130" s="304">
        <f>I126/(1-I128)</f>
        <v>-1114.060606060606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546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365</v>
      </c>
      <c r="B134" s="148"/>
      <c r="C134" s="128"/>
      <c r="D134" s="3"/>
      <c r="E134" s="3"/>
      <c r="F134" s="3"/>
      <c r="G134" s="135"/>
      <c r="H134" s="135" t="s">
        <v>284</v>
      </c>
      <c r="I134" s="357">
        <f>C48</f>
        <v>30243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367</v>
      </c>
      <c r="B136" s="148"/>
      <c r="C136" s="128"/>
      <c r="D136" s="3"/>
      <c r="E136" s="3"/>
      <c r="F136" s="3"/>
      <c r="G136" s="136"/>
      <c r="H136" s="136" t="s">
        <v>361</v>
      </c>
      <c r="I136" s="367">
        <f>IF((I118+I134)&gt;'Tax Rates'!E47,'Tax Rates'!F52,IF((I118+I134)&gt;'Tax Rates'!D47,'Tax Rates'!E52,IF((I118+I134)&gt;'Tax Rates'!C47,'Tax Rates'!D52,'Tax Rates'!C52)))</f>
        <v>0.1862</v>
      </c>
      <c r="J136" s="220" t="s">
        <v>180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359</v>
      </c>
      <c r="B138" s="148"/>
      <c r="C138" s="128"/>
      <c r="D138" s="3"/>
      <c r="E138" s="3"/>
      <c r="F138" s="3"/>
      <c r="G138" s="135"/>
      <c r="H138" s="135" t="s">
        <v>284</v>
      </c>
      <c r="I138" s="358">
        <f>IF(I134&gt;0,I134*I136,0)</f>
        <v>5631.2466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368</v>
      </c>
      <c r="B140" s="148"/>
      <c r="C140" s="128"/>
      <c r="D140" s="3"/>
      <c r="E140" s="3"/>
      <c r="F140" s="3"/>
      <c r="G140" s="135"/>
      <c r="H140" s="135" t="s">
        <v>282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360</v>
      </c>
      <c r="B142" s="148"/>
      <c r="C142" s="128"/>
      <c r="D142" s="3"/>
      <c r="E142" s="3"/>
      <c r="F142" s="3"/>
      <c r="G142" s="136"/>
      <c r="H142" s="136" t="s">
        <v>284</v>
      </c>
      <c r="I142" s="357">
        <f>I138-I140</f>
        <v>5631.2466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369</v>
      </c>
      <c r="B144" s="148"/>
      <c r="C144" s="128"/>
      <c r="D144" s="3"/>
      <c r="E144" s="3"/>
      <c r="F144" s="3"/>
      <c r="G144" s="135"/>
      <c r="H144" s="135" t="s">
        <v>282</v>
      </c>
      <c r="I144" s="357">
        <f>C58</f>
        <v>5782.4616000000005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362</v>
      </c>
      <c r="B146" s="148"/>
      <c r="C146" s="128"/>
      <c r="D146" s="3"/>
      <c r="E146" s="3"/>
      <c r="F146" s="3"/>
      <c r="G146" s="135"/>
      <c r="H146" s="135" t="s">
        <v>284</v>
      </c>
      <c r="I146" s="357">
        <f>I142-I144</f>
        <v>-151.21500000000015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33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30</v>
      </c>
      <c r="B149" s="148"/>
      <c r="C149" s="128"/>
      <c r="D149" s="3"/>
      <c r="E149" s="3"/>
      <c r="F149" s="3"/>
      <c r="G149" s="136"/>
      <c r="H149" s="136" t="s">
        <v>284</v>
      </c>
      <c r="I149" s="357">
        <f>C64</f>
        <v>502176</v>
      </c>
      <c r="J149" s="43"/>
      <c r="K149" s="224"/>
      <c r="L149" s="185"/>
    </row>
    <row r="150" spans="1:12" ht="12.75">
      <c r="A150" s="192" t="s">
        <v>552</v>
      </c>
      <c r="B150" s="148"/>
      <c r="C150" s="128"/>
      <c r="D150" s="3"/>
      <c r="E150" s="3"/>
      <c r="F150" s="3"/>
      <c r="G150" s="135"/>
      <c r="H150" s="135" t="s">
        <v>282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363</v>
      </c>
      <c r="B151" s="148"/>
      <c r="C151" s="128"/>
      <c r="D151" s="3"/>
      <c r="E151" s="3"/>
      <c r="F151" s="3"/>
      <c r="G151" s="135"/>
      <c r="H151" s="135" t="s">
        <v>284</v>
      </c>
      <c r="I151" s="357">
        <f>I149-I150</f>
        <v>-4497824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553</v>
      </c>
      <c r="B153" s="148"/>
      <c r="C153" s="128"/>
      <c r="D153" s="3"/>
      <c r="E153" s="3"/>
      <c r="F153" s="3"/>
      <c r="G153" s="136"/>
      <c r="H153" s="136" t="s">
        <v>361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364</v>
      </c>
      <c r="B155" s="148"/>
      <c r="C155" s="128"/>
      <c r="D155" s="3"/>
      <c r="E155" s="3"/>
      <c r="F155" s="3"/>
      <c r="G155" s="136"/>
      <c r="H155" s="136" t="s">
        <v>284</v>
      </c>
      <c r="I155" s="357">
        <f>IF(I151&gt;0,I151*I153,0)</f>
        <v>0</v>
      </c>
      <c r="J155" s="43"/>
      <c r="K155" s="224"/>
      <c r="L155" s="185"/>
    </row>
    <row r="156" spans="1:12" ht="25.5">
      <c r="A156" s="192" t="s">
        <v>460</v>
      </c>
      <c r="B156" s="148"/>
      <c r="C156" s="128"/>
      <c r="D156" s="3"/>
      <c r="E156" s="3"/>
      <c r="F156" s="3"/>
      <c r="G156" s="135"/>
      <c r="H156" s="135" t="s">
        <v>282</v>
      </c>
      <c r="I156" s="360">
        <f>C70</f>
        <v>1346.028</v>
      </c>
      <c r="J156" s="43"/>
      <c r="K156" s="224"/>
      <c r="L156" s="185"/>
    </row>
    <row r="157" spans="1:12" ht="12.75" customHeight="1">
      <c r="A157" s="193" t="s">
        <v>374</v>
      </c>
      <c r="B157" s="148"/>
      <c r="C157" s="128"/>
      <c r="D157" s="3"/>
      <c r="E157" s="3"/>
      <c r="F157" s="3"/>
      <c r="G157" s="135"/>
      <c r="H157" s="135" t="s">
        <v>284</v>
      </c>
      <c r="I157" s="357">
        <f>I155-I156</f>
        <v>-1346.028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366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30</v>
      </c>
      <c r="B160" s="148"/>
      <c r="C160" s="128"/>
      <c r="D160" s="3"/>
      <c r="E160" s="3"/>
      <c r="F160" s="3"/>
      <c r="G160" s="136"/>
      <c r="H160" s="136"/>
      <c r="I160" s="357">
        <f>C73</f>
        <v>502176</v>
      </c>
      <c r="J160" s="43"/>
      <c r="K160" s="224"/>
      <c r="L160" s="185"/>
    </row>
    <row r="161" spans="1:12" ht="12.75">
      <c r="A161" s="192" t="s">
        <v>551</v>
      </c>
      <c r="B161" s="148"/>
      <c r="C161" s="128"/>
      <c r="D161" s="3"/>
      <c r="E161" s="3"/>
      <c r="F161" s="3"/>
      <c r="G161" s="135"/>
      <c r="H161" s="135" t="s">
        <v>282</v>
      </c>
      <c r="I161" s="360">
        <f>IF(I160&gt;0,'Tax Rates'!C40,0)</f>
        <v>50000000</v>
      </c>
      <c r="J161" s="43"/>
      <c r="K161" s="224"/>
      <c r="L161" s="185"/>
    </row>
    <row r="162" spans="1:12" ht="12.75">
      <c r="A162" s="192" t="s">
        <v>370</v>
      </c>
      <c r="B162" s="148"/>
      <c r="C162" s="128"/>
      <c r="D162" s="3"/>
      <c r="E162" s="3"/>
      <c r="F162" s="3"/>
      <c r="G162" s="136"/>
      <c r="H162" s="136" t="s">
        <v>284</v>
      </c>
      <c r="I162" s="357">
        <f>I160-I161</f>
        <v>-49497824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461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371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0</v>
      </c>
      <c r="J166" s="43"/>
      <c r="K166" s="224"/>
      <c r="L166" s="185"/>
    </row>
    <row r="167" spans="1:12" ht="12.75">
      <c r="A167" s="192" t="s">
        <v>475</v>
      </c>
      <c r="B167" s="148"/>
      <c r="C167" s="128"/>
      <c r="D167" s="3"/>
      <c r="E167" s="3"/>
      <c r="F167" s="3"/>
      <c r="G167" s="135"/>
      <c r="H167" s="135" t="s">
        <v>282</v>
      </c>
      <c r="I167" s="362">
        <f>IF(I162&gt;0,IF(I142&gt;0,I134*'Tax Rates'!C56,0),0)</f>
        <v>0</v>
      </c>
      <c r="J167" s="43"/>
      <c r="K167" s="224"/>
      <c r="L167" s="185"/>
    </row>
    <row r="168" spans="1:12" ht="12.75">
      <c r="A168" s="192" t="s">
        <v>372</v>
      </c>
      <c r="B168" s="148"/>
      <c r="C168" s="128"/>
      <c r="D168" s="3"/>
      <c r="E168" s="3"/>
      <c r="F168" s="3"/>
      <c r="G168" s="136"/>
      <c r="H168" s="136" t="s">
        <v>284</v>
      </c>
      <c r="I168" s="357">
        <f>I166-I167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519</v>
      </c>
      <c r="B170" s="148"/>
      <c r="C170" s="128"/>
      <c r="D170" s="3"/>
      <c r="E170" s="3"/>
      <c r="F170" s="3"/>
      <c r="G170" s="135"/>
      <c r="H170" s="135" t="s">
        <v>282</v>
      </c>
      <c r="I170" s="360">
        <f>C82</f>
        <v>550.4243999999999</v>
      </c>
      <c r="J170" s="43"/>
      <c r="K170" s="224"/>
      <c r="L170" s="185"/>
    </row>
    <row r="171" spans="1:12" ht="12.75">
      <c r="A171" s="176" t="s">
        <v>375</v>
      </c>
      <c r="B171" s="148"/>
      <c r="C171" s="128"/>
      <c r="D171" s="3"/>
      <c r="E171" s="3"/>
      <c r="F171" s="3"/>
      <c r="G171" s="136"/>
      <c r="H171" s="136" t="s">
        <v>284</v>
      </c>
      <c r="I171" s="357">
        <f>I168-I170</f>
        <v>-550.4243999999999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516</v>
      </c>
      <c r="B173" s="148"/>
      <c r="C173" s="128"/>
      <c r="D173" s="3"/>
      <c r="E173" s="3"/>
      <c r="F173" s="3"/>
      <c r="G173" s="136"/>
      <c r="H173" s="136"/>
      <c r="I173" s="367">
        <f>IF((I118+K48)&gt;'Tax Rates'!E47,'Tax Rates'!F52-1.12%,IF((I118+K48)&gt;'Tax Rates'!D47,'Tax Rates'!E52-1.12%,IF((I118+K48)&gt;'Tax Rates'!C47,'Tax Rates'!D52,'Tax Rates'!C52-1.12%)))</f>
        <v>0.175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373</v>
      </c>
      <c r="B175" s="148"/>
      <c r="C175" s="128"/>
      <c r="D175" s="3"/>
      <c r="E175" s="3"/>
      <c r="F175" s="3"/>
      <c r="G175" s="136"/>
      <c r="H175" s="136" t="s">
        <v>281</v>
      </c>
      <c r="I175" s="357">
        <f>I146/(1-I173)</f>
        <v>-183.29090909090928</v>
      </c>
      <c r="J175" s="43"/>
      <c r="K175" s="224"/>
      <c r="L175" s="185"/>
    </row>
    <row r="176" spans="1:12" ht="12.75">
      <c r="A176" s="176" t="s">
        <v>46</v>
      </c>
      <c r="B176" s="148"/>
      <c r="C176" s="128"/>
      <c r="D176" s="3"/>
      <c r="E176" s="3"/>
      <c r="F176" s="3"/>
      <c r="G176" s="136"/>
      <c r="H176" s="136" t="s">
        <v>281</v>
      </c>
      <c r="I176" s="357">
        <f>I171/(1-I173)</f>
        <v>-667.1810909090908</v>
      </c>
      <c r="J176" s="43"/>
      <c r="K176" s="224"/>
      <c r="L176" s="185"/>
    </row>
    <row r="177" spans="1:12" ht="12.75">
      <c r="A177" s="176" t="s">
        <v>33</v>
      </c>
      <c r="B177" s="148"/>
      <c r="C177" s="128"/>
      <c r="D177" s="3"/>
      <c r="E177" s="3"/>
      <c r="F177" s="3"/>
      <c r="G177" s="136"/>
      <c r="H177" s="136" t="s">
        <v>281</v>
      </c>
      <c r="I177" s="357">
        <f>I157</f>
        <v>-1346.028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544</v>
      </c>
      <c r="B179" s="148"/>
      <c r="C179" s="128"/>
      <c r="D179" s="3"/>
      <c r="E179" s="3"/>
      <c r="F179" s="3"/>
      <c r="G179" s="136"/>
      <c r="H179" s="136" t="s">
        <v>284</v>
      </c>
      <c r="I179" s="357">
        <f>SUM(I175:I177)</f>
        <v>-2196.5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517</v>
      </c>
      <c r="B181" s="148"/>
      <c r="C181" s="128"/>
      <c r="D181" s="3"/>
      <c r="E181" s="3"/>
      <c r="F181" s="3"/>
      <c r="G181" s="136"/>
      <c r="H181" s="136" t="s">
        <v>281</v>
      </c>
      <c r="I181" s="357">
        <f>I130</f>
        <v>-1114.060606060606</v>
      </c>
      <c r="J181" s="43" t="s">
        <v>180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545</v>
      </c>
      <c r="B183" s="148"/>
      <c r="C183" s="128"/>
      <c r="D183" s="3"/>
      <c r="E183" s="3"/>
      <c r="F183" s="3"/>
      <c r="G183" s="136"/>
      <c r="H183" s="136" t="s">
        <v>284</v>
      </c>
      <c r="I183" s="357">
        <f>I179+I181</f>
        <v>-3310.560606060606</v>
      </c>
      <c r="J183" s="43"/>
      <c r="K183" s="224"/>
      <c r="L183" s="185"/>
    </row>
    <row r="184" spans="1:12" ht="12.75">
      <c r="A184" s="183" t="s">
        <v>378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133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158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350</v>
      </c>
      <c r="B191" s="145"/>
      <c r="C191" s="128"/>
      <c r="D191" s="118"/>
      <c r="E191" s="118"/>
      <c r="F191" s="118"/>
      <c r="G191" s="137"/>
      <c r="H191" s="137"/>
      <c r="I191" s="363">
        <f>REGINFO!D61</f>
        <v>18203.879999999997</v>
      </c>
      <c r="J191" s="3"/>
      <c r="K191" s="140"/>
      <c r="L191" s="185"/>
    </row>
    <row r="192" spans="1:12" ht="12.75">
      <c r="A192" s="176" t="s">
        <v>381</v>
      </c>
      <c r="B192" s="145"/>
      <c r="C192" s="128"/>
      <c r="D192" s="118"/>
      <c r="E192" s="118"/>
      <c r="F192" s="118"/>
      <c r="G192" s="137"/>
      <c r="H192" s="137"/>
      <c r="I192" s="363">
        <f>C36</f>
        <v>13561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513</v>
      </c>
      <c r="B194" s="145"/>
      <c r="C194" s="128"/>
      <c r="D194" s="118"/>
      <c r="E194" s="118"/>
      <c r="F194" s="118"/>
      <c r="G194" s="137"/>
      <c r="H194" s="137"/>
      <c r="I194" s="363">
        <f>I191-I192</f>
        <v>4642.879999999997</v>
      </c>
      <c r="J194" s="3"/>
      <c r="K194" s="140"/>
      <c r="L194" s="185"/>
    </row>
    <row r="195" spans="1:12" ht="12.75">
      <c r="A195" s="176" t="s">
        <v>514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389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160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382</v>
      </c>
      <c r="B199" s="145"/>
      <c r="C199" s="128"/>
      <c r="D199" s="118"/>
      <c r="E199" s="118"/>
      <c r="F199" s="118"/>
      <c r="G199" s="137"/>
      <c r="H199" s="137"/>
      <c r="I199" s="363">
        <f>K36+K41</f>
        <v>856</v>
      </c>
      <c r="J199" s="3"/>
      <c r="K199" s="140"/>
      <c r="L199" s="185"/>
    </row>
    <row r="200" spans="1:12" ht="12.75">
      <c r="A200" s="176" t="s">
        <v>515</v>
      </c>
      <c r="B200" s="145"/>
      <c r="C200" s="128"/>
      <c r="D200" s="118"/>
      <c r="E200" s="118"/>
      <c r="F200" s="118"/>
      <c r="G200" s="137"/>
      <c r="H200" s="137"/>
      <c r="I200" s="363">
        <f>REGINFO!D61</f>
        <v>18203.879999999997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159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476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351</v>
      </c>
      <c r="B206" s="199"/>
      <c r="C206" s="200"/>
      <c r="D206" s="201"/>
      <c r="E206" s="201"/>
      <c r="F206" s="201"/>
      <c r="G206" s="202"/>
      <c r="H206" s="202"/>
      <c r="I206" s="364">
        <f>+I194-I202</f>
        <v>4642.879999999997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180</v>
      </c>
      <c r="G219" s="96"/>
      <c r="H219" s="96"/>
      <c r="I219" s="83"/>
    </row>
    <row r="220" spans="3:9" ht="12.75">
      <c r="C220" t="s">
        <v>180</v>
      </c>
      <c r="G220" s="96"/>
      <c r="H220" s="96"/>
      <c r="I220" s="83"/>
    </row>
    <row r="221" spans="3:9" ht="12.75">
      <c r="C221" t="s">
        <v>180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1">
      <selection activeCell="C140" sqref="C140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168</v>
      </c>
      <c r="B1" s="8" t="s">
        <v>57</v>
      </c>
      <c r="C1" s="8" t="s">
        <v>36</v>
      </c>
      <c r="D1" s="8" t="s">
        <v>13</v>
      </c>
      <c r="E1" s="27" t="s">
        <v>14</v>
      </c>
      <c r="F1" s="8"/>
      <c r="G1" s="8"/>
      <c r="H1" s="27"/>
      <c r="I1" s="27"/>
      <c r="J1" s="8"/>
      <c r="K1" s="8"/>
    </row>
    <row r="2" spans="1:11" ht="12.75">
      <c r="A2" s="2" t="s">
        <v>118</v>
      </c>
      <c r="B2" s="8"/>
      <c r="C2" s="8" t="s">
        <v>116</v>
      </c>
      <c r="D2" s="8" t="s">
        <v>53</v>
      </c>
      <c r="E2" s="27" t="s">
        <v>16</v>
      </c>
      <c r="F2" s="8"/>
      <c r="G2" s="8"/>
      <c r="H2" s="27"/>
      <c r="I2" s="27"/>
      <c r="J2" s="8"/>
      <c r="K2" s="8"/>
    </row>
    <row r="3" spans="1:11" ht="12.75">
      <c r="A3" s="4" t="s">
        <v>54</v>
      </c>
      <c r="B3" s="8"/>
      <c r="C3" s="8" t="s">
        <v>16</v>
      </c>
      <c r="D3" s="8"/>
      <c r="E3" s="27" t="s">
        <v>15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15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2004.1</v>
      </c>
      <c r="F5" s="26"/>
      <c r="G5" s="8"/>
      <c r="H5" s="8"/>
      <c r="I5" s="8"/>
      <c r="J5" s="8"/>
      <c r="K5" s="8"/>
    </row>
    <row r="6" spans="1:9" ht="13.5" thickTop="1">
      <c r="A6" s="14" t="s">
        <v>268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Asphodel-Norwood Distribution Inc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336</v>
      </c>
      <c r="B9" s="26"/>
      <c r="C9" s="522">
        <v>37987</v>
      </c>
      <c r="D9" s="31"/>
      <c r="E9" s="31"/>
      <c r="F9" s="26"/>
      <c r="G9" s="3"/>
      <c r="H9" s="3"/>
      <c r="I9" s="3"/>
    </row>
    <row r="10" spans="1:9" ht="12.75">
      <c r="A10" s="2" t="s">
        <v>337</v>
      </c>
      <c r="B10" s="26"/>
      <c r="C10" s="522">
        <v>38352</v>
      </c>
      <c r="D10" s="31"/>
      <c r="E10" s="31"/>
      <c r="F10" s="26"/>
      <c r="G10" s="3"/>
      <c r="H10" s="3"/>
      <c r="I10" s="3"/>
    </row>
    <row r="11" spans="1:9" ht="13.5" thickBot="1">
      <c r="A11" s="2" t="s">
        <v>209</v>
      </c>
      <c r="B11" s="26"/>
      <c r="C11" s="521">
        <v>366</v>
      </c>
      <c r="D11" s="43" t="s">
        <v>214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338</v>
      </c>
      <c r="C13" s="299">
        <f>Ratebase*REGINFO!D33*0.25%</f>
        <v>627.72</v>
      </c>
      <c r="D13" s="94" t="s">
        <v>276</v>
      </c>
      <c r="E13" s="31"/>
      <c r="F13" s="26"/>
      <c r="G13" s="3"/>
      <c r="H13" s="3"/>
      <c r="I13" s="3"/>
    </row>
    <row r="14" spans="1:9" ht="12.75">
      <c r="A14" s="2" t="s">
        <v>204</v>
      </c>
      <c r="B14" s="26" t="s">
        <v>139</v>
      </c>
      <c r="C14" s="8" t="s">
        <v>593</v>
      </c>
      <c r="D14" s="31"/>
      <c r="E14" s="31"/>
      <c r="F14" s="26"/>
      <c r="G14" s="3"/>
      <c r="H14" s="3"/>
      <c r="I14" s="3"/>
    </row>
    <row r="15" spans="1:9" ht="12.75">
      <c r="A15" s="2" t="s">
        <v>205</v>
      </c>
      <c r="B15" s="26" t="s">
        <v>139</v>
      </c>
      <c r="C15" s="8" t="s">
        <v>592</v>
      </c>
      <c r="D15" s="31"/>
      <c r="E15" s="31"/>
      <c r="F15" s="26"/>
      <c r="G15" s="3"/>
      <c r="H15" s="3"/>
      <c r="I15" s="3"/>
    </row>
    <row r="16" spans="1:9" ht="12.75">
      <c r="A16" s="354" t="s">
        <v>358</v>
      </c>
      <c r="B16" s="26" t="s">
        <v>139</v>
      </c>
      <c r="C16" s="8" t="s">
        <v>593</v>
      </c>
      <c r="D16" s="31"/>
      <c r="E16" s="31"/>
      <c r="F16" s="26"/>
      <c r="G16" s="3"/>
      <c r="H16" s="3"/>
      <c r="I16" s="3"/>
    </row>
    <row r="17" spans="1:6" ht="12.75">
      <c r="A17" s="2" t="s">
        <v>422</v>
      </c>
      <c r="B17" s="26" t="s">
        <v>139</v>
      </c>
      <c r="C17" s="8" t="s">
        <v>593</v>
      </c>
      <c r="E17" s="32"/>
      <c r="F17" s="8"/>
    </row>
    <row r="18" spans="1:6" ht="12.75">
      <c r="A18" s="61" t="s">
        <v>390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239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240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486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391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349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484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485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269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411</v>
      </c>
      <c r="B31" s="29" t="s">
        <v>281</v>
      </c>
      <c r="C31" s="327"/>
      <c r="D31" s="328"/>
      <c r="E31" s="326">
        <f>C31-D31</f>
        <v>0</v>
      </c>
      <c r="F31" s="11"/>
      <c r="G31" s="11"/>
      <c r="H31" s="6"/>
      <c r="I31" s="6"/>
    </row>
    <row r="32" spans="1:9" ht="12.75">
      <c r="A32" s="4" t="s">
        <v>347</v>
      </c>
      <c r="B32" s="29" t="s">
        <v>281</v>
      </c>
      <c r="C32" s="327">
        <v>159899</v>
      </c>
      <c r="D32" s="328"/>
      <c r="E32" s="326">
        <f>C32-D32</f>
        <v>159899</v>
      </c>
      <c r="F32" s="11"/>
      <c r="G32" s="11"/>
      <c r="H32" s="6"/>
      <c r="I32" s="6"/>
    </row>
    <row r="33" spans="1:9" ht="12.75">
      <c r="A33" s="4" t="s">
        <v>332</v>
      </c>
      <c r="B33" s="29" t="s">
        <v>281</v>
      </c>
      <c r="C33" s="327">
        <v>15901</v>
      </c>
      <c r="D33" s="328"/>
      <c r="E33" s="326">
        <f>C33-D33</f>
        <v>15901</v>
      </c>
      <c r="F33" s="11"/>
      <c r="G33" s="11"/>
      <c r="H33" s="6"/>
      <c r="I33" s="6"/>
    </row>
    <row r="34" spans="1:9" ht="12.75">
      <c r="A34" s="4" t="s">
        <v>352</v>
      </c>
      <c r="B34" s="29" t="s">
        <v>281</v>
      </c>
      <c r="C34" s="327">
        <v>16905</v>
      </c>
      <c r="D34" s="328"/>
      <c r="E34" s="326">
        <f>C34-D34</f>
        <v>16905</v>
      </c>
      <c r="F34" s="11"/>
      <c r="G34" s="11"/>
      <c r="H34" s="6"/>
      <c r="I34" s="6"/>
    </row>
    <row r="35" spans="1:9" ht="13.5" thickBot="1">
      <c r="A35" s="10"/>
      <c r="B35" s="29" t="s">
        <v>281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271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423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330</v>
      </c>
      <c r="B39" s="29" t="s">
        <v>282</v>
      </c>
      <c r="C39" s="327">
        <v>0</v>
      </c>
      <c r="D39" s="328"/>
      <c r="E39" s="326">
        <f>C39-D39</f>
        <v>0</v>
      </c>
      <c r="F39" s="11"/>
      <c r="G39" s="11"/>
      <c r="H39" s="6"/>
      <c r="I39" s="6"/>
    </row>
    <row r="40" spans="1:9" ht="12.75">
      <c r="A40" s="52" t="s">
        <v>331</v>
      </c>
      <c r="B40" s="29" t="s">
        <v>282</v>
      </c>
      <c r="C40" s="327">
        <v>18399</v>
      </c>
      <c r="D40" s="328"/>
      <c r="E40" s="326">
        <f aca="true" t="shared" si="0" ref="E40:E48">C40-D40</f>
        <v>18399</v>
      </c>
      <c r="F40" s="11"/>
      <c r="G40" s="11"/>
      <c r="H40" s="6"/>
      <c r="I40" s="6"/>
    </row>
    <row r="41" spans="1:9" ht="12.75">
      <c r="A41" s="4" t="s">
        <v>412</v>
      </c>
      <c r="B41" s="29" t="s">
        <v>282</v>
      </c>
      <c r="C41" s="327">
        <v>52685</v>
      </c>
      <c r="D41" s="328"/>
      <c r="E41" s="326">
        <f t="shared" si="0"/>
        <v>52685</v>
      </c>
      <c r="F41" s="11"/>
      <c r="G41" s="11"/>
      <c r="H41" s="6"/>
      <c r="I41" s="6"/>
    </row>
    <row r="42" spans="1:9" ht="12.75">
      <c r="A42" s="4" t="s">
        <v>413</v>
      </c>
      <c r="B42" s="29" t="s">
        <v>282</v>
      </c>
      <c r="C42" s="327">
        <v>78559</v>
      </c>
      <c r="D42" s="328"/>
      <c r="E42" s="326">
        <f t="shared" si="0"/>
        <v>78559</v>
      </c>
      <c r="F42" s="11"/>
      <c r="G42" s="11"/>
      <c r="H42" s="6"/>
      <c r="I42" s="6"/>
    </row>
    <row r="43" spans="1:9" ht="12.75">
      <c r="A43" s="4" t="s">
        <v>414</v>
      </c>
      <c r="B43" s="29" t="s">
        <v>282</v>
      </c>
      <c r="C43" s="327">
        <v>24153</v>
      </c>
      <c r="D43" s="328"/>
      <c r="E43" s="326">
        <f t="shared" si="0"/>
        <v>24153</v>
      </c>
      <c r="F43" s="11"/>
      <c r="G43" s="11"/>
      <c r="H43" s="6"/>
      <c r="I43" s="6"/>
    </row>
    <row r="44" spans="1:9" ht="12.75">
      <c r="A44" s="4" t="s">
        <v>415</v>
      </c>
      <c r="B44" s="29" t="s">
        <v>282</v>
      </c>
      <c r="C44" s="327">
        <v>2159</v>
      </c>
      <c r="D44" s="328"/>
      <c r="E44" s="326">
        <f t="shared" si="0"/>
        <v>2159</v>
      </c>
      <c r="F44" s="11"/>
      <c r="G44" s="11"/>
      <c r="H44" s="6"/>
      <c r="I44" s="6"/>
    </row>
    <row r="45" spans="2:11" ht="12.75">
      <c r="B45" s="29" t="s">
        <v>282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282</v>
      </c>
      <c r="C46" s="327"/>
      <c r="D46" s="328"/>
      <c r="E46" s="326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282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282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157</v>
      </c>
      <c r="B50" s="29" t="s">
        <v>284</v>
      </c>
      <c r="C50" s="323">
        <f>SUM(C31:C36)-SUM(C39:C49)</f>
        <v>16750</v>
      </c>
      <c r="D50" s="323">
        <f>SUM(D31:D36)-SUM(D39:D49)</f>
        <v>0</v>
      </c>
      <c r="E50" s="323">
        <f>SUM(E31:E35)-SUM(E39:E48)</f>
        <v>16750</v>
      </c>
      <c r="F50" s="11"/>
      <c r="G50" s="11"/>
      <c r="H50" s="6"/>
      <c r="I50" s="6"/>
    </row>
    <row r="51" spans="1:9" ht="12.75">
      <c r="A51" s="4" t="s">
        <v>169</v>
      </c>
      <c r="B51" s="29" t="s">
        <v>282</v>
      </c>
      <c r="C51" s="327">
        <v>856</v>
      </c>
      <c r="D51" s="327"/>
      <c r="E51" s="324">
        <f>+C51-D51</f>
        <v>856</v>
      </c>
      <c r="F51" s="11"/>
      <c r="G51" s="11"/>
      <c r="H51" s="6"/>
      <c r="I51" s="6"/>
    </row>
    <row r="52" spans="1:6" ht="12.75">
      <c r="A52" t="s">
        <v>272</v>
      </c>
      <c r="B52" s="8" t="s">
        <v>282</v>
      </c>
      <c r="C52" s="327">
        <v>6020</v>
      </c>
      <c r="D52" s="327"/>
      <c r="E52" s="325">
        <f>+C52-D52</f>
        <v>6020</v>
      </c>
      <c r="F52" s="8"/>
    </row>
    <row r="53" spans="1:6" ht="12.75">
      <c r="A53" s="2" t="s">
        <v>218</v>
      </c>
      <c r="B53" s="8" t="s">
        <v>284</v>
      </c>
      <c r="C53" s="323">
        <f>C50-C51-C52</f>
        <v>9874</v>
      </c>
      <c r="D53" s="323">
        <f>D50-D51-D52</f>
        <v>0</v>
      </c>
      <c r="E53" s="323">
        <f>E50-E51-E52</f>
        <v>9874</v>
      </c>
      <c r="F53" s="8"/>
    </row>
    <row r="54" spans="1:6" ht="36">
      <c r="A54" s="98" t="s">
        <v>335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267</v>
      </c>
      <c r="B56" s="8"/>
      <c r="C56" s="35"/>
      <c r="D56" s="35"/>
      <c r="E56" s="35"/>
      <c r="F56" s="8"/>
    </row>
    <row r="57" spans="1:6" ht="12.75">
      <c r="A57" s="15" t="s">
        <v>255</v>
      </c>
      <c r="B57" s="8"/>
      <c r="C57" s="35"/>
      <c r="D57" s="35"/>
      <c r="E57" s="35"/>
      <c r="F57" s="8"/>
    </row>
    <row r="58" spans="1:6" ht="12.75">
      <c r="A58" s="2" t="s">
        <v>256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281</v>
      </c>
      <c r="C59" s="329">
        <f>C52</f>
        <v>6020</v>
      </c>
      <c r="D59" s="329">
        <f>D52</f>
        <v>0</v>
      </c>
      <c r="E59" s="313">
        <f>+C59-D59</f>
        <v>6020</v>
      </c>
      <c r="F59" s="8"/>
    </row>
    <row r="60" spans="1:6" ht="12.75">
      <c r="A60" s="4" t="s">
        <v>487</v>
      </c>
      <c r="B60" s="8" t="s">
        <v>281</v>
      </c>
      <c r="C60" s="373"/>
      <c r="D60" s="373"/>
      <c r="E60" s="313">
        <f>+C60-D60</f>
        <v>0</v>
      </c>
      <c r="F60" s="8"/>
    </row>
    <row r="61" spans="1:6" ht="12.75">
      <c r="A61" t="s">
        <v>17</v>
      </c>
      <c r="B61" s="8" t="s">
        <v>281</v>
      </c>
      <c r="C61" s="329">
        <f>C43</f>
        <v>24153</v>
      </c>
      <c r="D61" s="329">
        <f>D43</f>
        <v>0</v>
      </c>
      <c r="E61" s="313">
        <f>+C61-D61</f>
        <v>24153</v>
      </c>
      <c r="F61" s="8"/>
    </row>
    <row r="62" spans="1:6" ht="12.75">
      <c r="A62" t="s">
        <v>19</v>
      </c>
      <c r="B62" s="8" t="s">
        <v>281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416</v>
      </c>
      <c r="B63" s="8" t="s">
        <v>281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125</v>
      </c>
      <c r="B64" s="8" t="s">
        <v>281</v>
      </c>
      <c r="C64" s="371">
        <f>'Tax Reserves'!C63</f>
        <v>0</v>
      </c>
      <c r="D64" s="372">
        <f>'Tax Reserves'!D63</f>
        <v>0</v>
      </c>
      <c r="E64" s="313">
        <f>+C64-D64</f>
        <v>0</v>
      </c>
      <c r="F64" s="8"/>
    </row>
    <row r="65" spans="1:6" ht="12.75">
      <c r="A65" t="s">
        <v>393</v>
      </c>
      <c r="B65" s="8" t="s">
        <v>281</v>
      </c>
      <c r="C65" s="328"/>
      <c r="D65" s="328"/>
      <c r="E65" s="313">
        <f>+C65-D65</f>
        <v>0</v>
      </c>
      <c r="F65" s="8"/>
    </row>
    <row r="66" spans="1:6" ht="12.75">
      <c r="A66" t="s">
        <v>250</v>
      </c>
      <c r="B66" s="8" t="s">
        <v>281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251</v>
      </c>
      <c r="B67" s="8" t="s">
        <v>281</v>
      </c>
      <c r="C67" s="291">
        <f>'TAXREC 2'!C96</f>
        <v>0</v>
      </c>
      <c r="D67" s="291">
        <f>'TAXREC 2'!D96</f>
        <v>0</v>
      </c>
      <c r="E67" s="313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186</v>
      </c>
      <c r="B69" s="8"/>
      <c r="C69" s="313">
        <f>SUM(C59:C67)</f>
        <v>30173</v>
      </c>
      <c r="D69" s="313">
        <f>SUM(D59:D67)</f>
        <v>0</v>
      </c>
      <c r="E69" s="313">
        <f>SUM(E59:E67)</f>
        <v>30173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318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18</v>
      </c>
      <c r="B72" s="8" t="s">
        <v>281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238</v>
      </c>
      <c r="B73" s="8" t="s">
        <v>281</v>
      </c>
      <c r="C73" s="338">
        <v>29</v>
      </c>
      <c r="D73" s="338"/>
      <c r="E73" s="313">
        <f t="shared" si="1"/>
        <v>29</v>
      </c>
      <c r="F73" s="8"/>
      <c r="G73" s="87"/>
      <c r="H73" s="88"/>
      <c r="I73" s="89"/>
      <c r="J73" s="88"/>
      <c r="K73" s="88"/>
    </row>
    <row r="74" spans="1:11" ht="12.75">
      <c r="A74" t="s">
        <v>20</v>
      </c>
      <c r="B74" s="8" t="s">
        <v>281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281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281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281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281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121</v>
      </c>
      <c r="B79" s="8" t="s">
        <v>284</v>
      </c>
      <c r="C79" s="291">
        <f>SUM(C72:C78)</f>
        <v>29</v>
      </c>
      <c r="D79" s="291">
        <f>SUM(D72:D78)</f>
        <v>0</v>
      </c>
      <c r="E79" s="291">
        <f>SUM(E72:E78)</f>
        <v>29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31</v>
      </c>
      <c r="B81" s="8" t="s">
        <v>284</v>
      </c>
      <c r="C81" s="291">
        <f>C69+C79</f>
        <v>30202</v>
      </c>
      <c r="D81" s="291">
        <f>D69+D79</f>
        <v>0</v>
      </c>
      <c r="E81" s="291">
        <f>E69+E79</f>
        <v>30202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265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241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306</v>
      </c>
      <c r="B92" s="314"/>
      <c r="C92" s="291">
        <f>C79-C91</f>
        <v>29</v>
      </c>
      <c r="D92" s="291">
        <f>D79-D91</f>
        <v>0</v>
      </c>
      <c r="E92" s="291">
        <f>E79-E91</f>
        <v>29</v>
      </c>
      <c r="F92" s="8"/>
      <c r="G92" s="51"/>
      <c r="H92" s="51"/>
      <c r="I92" s="51"/>
      <c r="J92" s="51"/>
      <c r="K92" s="51"/>
    </row>
    <row r="93" spans="1:11" ht="12.75">
      <c r="A93" s="314" t="s">
        <v>307</v>
      </c>
      <c r="B93" s="314"/>
      <c r="C93" s="291">
        <f>C91+C92</f>
        <v>29</v>
      </c>
      <c r="D93" s="291">
        <f>D91+D92</f>
        <v>0</v>
      </c>
      <c r="E93" s="291">
        <f>E91+E92</f>
        <v>29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130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40</v>
      </c>
      <c r="B96" s="8" t="s">
        <v>282</v>
      </c>
      <c r="C96" s="338">
        <v>17970</v>
      </c>
      <c r="D96" s="338"/>
      <c r="E96" s="313">
        <f>+C96-D96</f>
        <v>17970</v>
      </c>
      <c r="F96" s="8"/>
      <c r="G96" s="51"/>
      <c r="H96" s="51"/>
      <c r="I96" s="51"/>
      <c r="J96" s="51"/>
      <c r="K96" s="51"/>
    </row>
    <row r="97" spans="1:11" ht="12.75">
      <c r="A97" t="s">
        <v>27</v>
      </c>
      <c r="B97" s="8" t="s">
        <v>282</v>
      </c>
      <c r="C97" s="338"/>
      <c r="D97" s="338"/>
      <c r="E97" s="313">
        <f>+C97-D97</f>
        <v>0</v>
      </c>
      <c r="F97" s="8"/>
      <c r="G97" s="51"/>
      <c r="H97" s="51"/>
      <c r="I97" s="51"/>
      <c r="J97" s="51"/>
      <c r="K97" s="51"/>
    </row>
    <row r="98" spans="1:11" ht="12.75">
      <c r="A98" t="s">
        <v>24</v>
      </c>
      <c r="B98" s="8" t="s">
        <v>282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52</v>
      </c>
      <c r="B99" s="8" t="s">
        <v>282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170</v>
      </c>
      <c r="B100" s="8" t="s">
        <v>282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171</v>
      </c>
      <c r="B101" s="8" t="s">
        <v>282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172</v>
      </c>
      <c r="B102" s="8" t="s">
        <v>282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397</v>
      </c>
      <c r="B103" s="8" t="s">
        <v>282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417</v>
      </c>
      <c r="B104" s="8" t="s">
        <v>282</v>
      </c>
      <c r="C104" s="374">
        <f>'Tax Reserves'!C50</f>
        <v>0</v>
      </c>
      <c r="D104" s="374">
        <f>'Tax Reserves'!D50</f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25</v>
      </c>
      <c r="B105" s="8" t="s">
        <v>282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26</v>
      </c>
      <c r="B106" s="8" t="s">
        <v>282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273</v>
      </c>
      <c r="B107" s="8" t="s">
        <v>282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252</v>
      </c>
      <c r="B108" s="8" t="s">
        <v>282</v>
      </c>
      <c r="C108" s="291">
        <f>'TAXREC 2'!C146</f>
        <v>5252</v>
      </c>
      <c r="D108" s="291">
        <f>'TAXREC 2'!D146</f>
        <v>0</v>
      </c>
      <c r="E108" s="291">
        <f>'TAXREC 2'!E146</f>
        <v>5252</v>
      </c>
      <c r="F108" s="8"/>
      <c r="G108" s="51"/>
      <c r="H108" s="51"/>
      <c r="I108" s="51"/>
      <c r="J108" s="51"/>
      <c r="K108" s="51"/>
    </row>
    <row r="109" spans="1:11" ht="12.75">
      <c r="A109" t="s">
        <v>253</v>
      </c>
      <c r="B109" s="8" t="s">
        <v>282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254</v>
      </c>
      <c r="B111" s="8" t="s">
        <v>284</v>
      </c>
      <c r="C111" s="291">
        <f>SUM(C96:C109)</f>
        <v>23222</v>
      </c>
      <c r="D111" s="291">
        <f>SUM(D96:D109)</f>
        <v>0</v>
      </c>
      <c r="E111" s="291">
        <f>SUM(E96:E109)</f>
        <v>23222</v>
      </c>
      <c r="F111" s="8"/>
      <c r="G111" s="51"/>
      <c r="H111" s="51"/>
      <c r="I111" s="29"/>
      <c r="J111" s="51"/>
      <c r="K111" s="29"/>
    </row>
    <row r="112" spans="1:11" ht="12.75">
      <c r="A112" s="10" t="s">
        <v>317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29</v>
      </c>
      <c r="B113" s="8" t="s">
        <v>282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348</v>
      </c>
      <c r="B114" s="8" t="s">
        <v>282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/>
      <c r="B115" s="8" t="s">
        <v>282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282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122</v>
      </c>
      <c r="B118" s="8" t="s">
        <v>284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32</v>
      </c>
      <c r="B120" s="8" t="s">
        <v>284</v>
      </c>
      <c r="C120" s="291">
        <f>C111+C118</f>
        <v>23222</v>
      </c>
      <c r="D120" s="291">
        <f>D111+D118</f>
        <v>0</v>
      </c>
      <c r="E120" s="291">
        <f>+E111+E118</f>
        <v>23222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266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309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310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308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156</v>
      </c>
      <c r="B132" s="8" t="s">
        <v>284</v>
      </c>
      <c r="C132" s="291">
        <f>+C53+C81-C120</f>
        <v>16854</v>
      </c>
      <c r="D132" s="291">
        <f>D53+D81-D120</f>
        <v>0</v>
      </c>
      <c r="E132" s="291">
        <f>E53+E81-E120</f>
        <v>16854</v>
      </c>
      <c r="F132" s="8"/>
      <c r="G132" s="51"/>
      <c r="H132" s="51"/>
      <c r="I132" s="51"/>
      <c r="J132" s="51"/>
      <c r="K132" s="51"/>
    </row>
    <row r="133" spans="1:11" ht="12.75">
      <c r="A133" s="12" t="s">
        <v>104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585</v>
      </c>
      <c r="B134" s="8" t="s">
        <v>282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586</v>
      </c>
      <c r="B135" s="8" t="s">
        <v>282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175</v>
      </c>
      <c r="B137" s="8" t="s">
        <v>284</v>
      </c>
      <c r="C137" s="292">
        <f>C132-C134-C135-C136</f>
        <v>16854</v>
      </c>
      <c r="D137" s="292">
        <f>D132-D134-D135-D136</f>
        <v>0</v>
      </c>
      <c r="E137" s="292">
        <f>E132-E134-E135-E136</f>
        <v>16854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450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483</v>
      </c>
      <c r="B140" s="8" t="s">
        <v>281</v>
      </c>
      <c r="C140" s="349">
        <v>3729</v>
      </c>
      <c r="D140" s="349"/>
      <c r="E140" s="292">
        <f>C140-D140</f>
        <v>3729</v>
      </c>
      <c r="F140" s="8"/>
      <c r="G140" s="51"/>
      <c r="H140" s="51"/>
      <c r="I140" s="51"/>
      <c r="J140" s="51"/>
      <c r="K140" s="51"/>
    </row>
    <row r="141" spans="1:11" ht="12.75">
      <c r="A141" s="52" t="s">
        <v>482</v>
      </c>
      <c r="B141" s="8" t="s">
        <v>281</v>
      </c>
      <c r="C141" s="349">
        <v>2360</v>
      </c>
      <c r="D141" s="349"/>
      <c r="E141" s="334">
        <f>C141-D141</f>
        <v>2360</v>
      </c>
      <c r="F141" s="8"/>
      <c r="G141" s="51"/>
      <c r="H141" s="51"/>
      <c r="I141" s="51"/>
      <c r="J141" s="51"/>
      <c r="K141" s="51"/>
    </row>
    <row r="142" spans="1:11" ht="12.75">
      <c r="A142" s="52" t="s">
        <v>263</v>
      </c>
      <c r="B142" s="8" t="s">
        <v>284</v>
      </c>
      <c r="C142" s="292">
        <f>C140+C141</f>
        <v>6089</v>
      </c>
      <c r="D142" s="292">
        <f>D140+D141</f>
        <v>0</v>
      </c>
      <c r="E142" s="292">
        <f>E140+E141</f>
        <v>6089</v>
      </c>
      <c r="F142" s="8"/>
      <c r="G142" s="51"/>
      <c r="H142" s="51"/>
      <c r="I142" s="51"/>
      <c r="J142" s="51"/>
      <c r="K142" s="51"/>
    </row>
    <row r="143" spans="1:11" ht="12.75">
      <c r="A143" s="52" t="s">
        <v>499</v>
      </c>
      <c r="B143" s="8" t="s">
        <v>282</v>
      </c>
      <c r="C143" s="349"/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177</v>
      </c>
      <c r="B144" s="8" t="s">
        <v>284</v>
      </c>
      <c r="C144" s="292">
        <f>C142-C143</f>
        <v>6089</v>
      </c>
      <c r="D144" s="292">
        <f>D142-D143</f>
        <v>0</v>
      </c>
      <c r="E144" s="292">
        <f>E142-E143</f>
        <v>6089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450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490</v>
      </c>
      <c r="B147" s="8"/>
      <c r="C147" s="474">
        <f>+C140/C137</f>
        <v>0.22125311498754005</v>
      </c>
      <c r="D147" s="5"/>
      <c r="E147" s="475">
        <f>C147</f>
        <v>0.22125311498754005</v>
      </c>
      <c r="F147" s="8"/>
      <c r="G147" s="51"/>
      <c r="H147" s="51"/>
      <c r="I147" s="51"/>
      <c r="J147" s="51"/>
      <c r="K147" s="51"/>
    </row>
    <row r="148" spans="1:11" ht="12.75">
      <c r="A148" s="52" t="s">
        <v>491</v>
      </c>
      <c r="B148" s="8"/>
      <c r="C148" s="474">
        <f>+C141/C137</f>
        <v>0.1400261065622404</v>
      </c>
      <c r="D148" s="5"/>
      <c r="E148" s="475">
        <f>C148</f>
        <v>0.1400261065622404</v>
      </c>
      <c r="F148" s="8"/>
      <c r="G148" s="51"/>
      <c r="H148" s="51"/>
      <c r="I148" s="51"/>
      <c r="J148" s="51"/>
      <c r="K148" s="51"/>
    </row>
    <row r="149" spans="1:11" ht="12.75">
      <c r="A149" t="s">
        <v>492</v>
      </c>
      <c r="B149" s="8"/>
      <c r="C149" s="475">
        <f>SUM(C147:C148)</f>
        <v>0.3612792215497804</v>
      </c>
      <c r="D149" s="5"/>
      <c r="E149" s="475">
        <f>SUM(E147:E148)</f>
        <v>0.3612792215497804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549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345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346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60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61</v>
      </c>
      <c r="B157" s="75" t="s">
        <v>281</v>
      </c>
      <c r="C157" s="338">
        <v>645492</v>
      </c>
      <c r="D157" s="338"/>
      <c r="E157" s="313">
        <f>C157-D157</f>
        <v>645492</v>
      </c>
      <c r="F157" s="8"/>
      <c r="G157" s="51"/>
      <c r="H157" s="51"/>
      <c r="I157" s="51"/>
      <c r="J157" s="51"/>
      <c r="K157" s="51"/>
    </row>
    <row r="158" spans="1:11" ht="12.75">
      <c r="A158" t="s">
        <v>62</v>
      </c>
      <c r="B158" s="75" t="s">
        <v>287</v>
      </c>
      <c r="C158" s="338">
        <v>-1366</v>
      </c>
      <c r="D158" s="338"/>
      <c r="E158" s="313">
        <f aca="true" t="shared" si="7" ref="E158:E170">C158-D158</f>
        <v>-1366</v>
      </c>
      <c r="F158" s="8"/>
      <c r="G158" s="51"/>
      <c r="H158" s="51"/>
      <c r="I158" s="51"/>
      <c r="J158" s="51"/>
      <c r="K158" s="51"/>
    </row>
    <row r="159" spans="1:11" ht="12.75">
      <c r="A159" t="s">
        <v>63</v>
      </c>
      <c r="B159" s="75" t="s">
        <v>281</v>
      </c>
      <c r="C159" s="338">
        <v>111265</v>
      </c>
      <c r="D159" s="338"/>
      <c r="E159" s="313">
        <f t="shared" si="7"/>
        <v>111265</v>
      </c>
      <c r="F159" s="8"/>
      <c r="G159" s="51"/>
      <c r="H159" s="51"/>
      <c r="I159" s="51"/>
      <c r="J159" s="51"/>
      <c r="K159" s="51"/>
    </row>
    <row r="160" spans="1:11" ht="12.75">
      <c r="A160" t="s">
        <v>64</v>
      </c>
      <c r="B160" s="75" t="s">
        <v>281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65</v>
      </c>
      <c r="B161" s="75" t="s">
        <v>281</v>
      </c>
      <c r="C161" s="338"/>
      <c r="D161" s="338"/>
      <c r="E161" s="313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66</v>
      </c>
      <c r="B162" s="75" t="s">
        <v>281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67</v>
      </c>
      <c r="B163" s="75" t="s">
        <v>281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68</v>
      </c>
      <c r="B164" s="75" t="s">
        <v>281</v>
      </c>
      <c r="C164" s="338"/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392</v>
      </c>
      <c r="B165" s="75" t="s">
        <v>281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69</v>
      </c>
      <c r="B166" s="75" t="s">
        <v>281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70</v>
      </c>
      <c r="B167" s="75" t="s">
        <v>281</v>
      </c>
      <c r="C167" s="338">
        <v>12335</v>
      </c>
      <c r="D167" s="338"/>
      <c r="E167" s="313">
        <f t="shared" si="7"/>
        <v>12335</v>
      </c>
      <c r="F167" s="8"/>
      <c r="G167" s="51"/>
      <c r="H167" s="51"/>
      <c r="I167" s="51"/>
      <c r="J167" s="51"/>
      <c r="K167" s="51"/>
    </row>
    <row r="168" spans="1:11" ht="12.75">
      <c r="A168" t="s">
        <v>290</v>
      </c>
      <c r="B168" s="75" t="s">
        <v>281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71</v>
      </c>
      <c r="B169" s="75" t="s">
        <v>281</v>
      </c>
      <c r="C169" s="338"/>
      <c r="D169" s="338"/>
      <c r="E169" s="313">
        <f t="shared" si="7"/>
        <v>0</v>
      </c>
      <c r="F169" s="8"/>
      <c r="G169" s="51"/>
      <c r="H169" s="51"/>
      <c r="I169" s="51"/>
      <c r="J169" s="51"/>
      <c r="K169" s="51"/>
    </row>
    <row r="170" spans="1:6" ht="12.75">
      <c r="A170" t="s">
        <v>286</v>
      </c>
      <c r="B170" s="75" t="s">
        <v>281</v>
      </c>
      <c r="C170" s="338"/>
      <c r="D170" s="338"/>
      <c r="E170" s="313">
        <f t="shared" si="7"/>
        <v>0</v>
      </c>
      <c r="F170" s="8"/>
    </row>
    <row r="171" spans="1:6" ht="12.75">
      <c r="A171" t="s">
        <v>72</v>
      </c>
      <c r="B171" s="75" t="s">
        <v>284</v>
      </c>
      <c r="C171" s="291">
        <f>SUM(C157:C170)</f>
        <v>767726</v>
      </c>
      <c r="D171" s="291">
        <f>SUM(D157:D170)</f>
        <v>0</v>
      </c>
      <c r="E171" s="291">
        <f>SUM(E157:E170)</f>
        <v>767726</v>
      </c>
      <c r="F171" s="8"/>
    </row>
    <row r="172" spans="1:6" ht="12.75">
      <c r="A172" t="s">
        <v>73</v>
      </c>
      <c r="B172" s="8"/>
      <c r="C172" s="28"/>
      <c r="D172" s="28"/>
      <c r="E172" s="28"/>
      <c r="F172" s="8"/>
    </row>
    <row r="173" spans="1:6" ht="25.5">
      <c r="A173" s="74" t="s">
        <v>289</v>
      </c>
      <c r="B173" s="75" t="s">
        <v>282</v>
      </c>
      <c r="C173" s="339"/>
      <c r="D173" s="339"/>
      <c r="E173" s="336">
        <f>C173-D173</f>
        <v>0</v>
      </c>
      <c r="F173" s="8"/>
    </row>
    <row r="174" spans="1:6" ht="25.5">
      <c r="A174" s="91" t="s">
        <v>277</v>
      </c>
      <c r="B174" s="75" t="s">
        <v>282</v>
      </c>
      <c r="C174" s="339"/>
      <c r="D174" s="339"/>
      <c r="E174" s="336">
        <f>C174-D174</f>
        <v>0</v>
      </c>
      <c r="F174" s="8"/>
    </row>
    <row r="175" spans="1:6" ht="12.75">
      <c r="A175" s="2" t="s">
        <v>117</v>
      </c>
      <c r="B175" s="75" t="s">
        <v>284</v>
      </c>
      <c r="C175" s="337">
        <f>C171-C173-C174</f>
        <v>767726</v>
      </c>
      <c r="D175" s="337">
        <f>D171-D173-D174</f>
        <v>0</v>
      </c>
      <c r="E175" s="291">
        <f>E171-E173-E174</f>
        <v>767726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74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75</v>
      </c>
      <c r="B179" s="75" t="s">
        <v>281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76</v>
      </c>
      <c r="B180" s="75" t="s">
        <v>281</v>
      </c>
      <c r="C180" s="338"/>
      <c r="D180" s="338"/>
      <c r="E180" s="313">
        <f t="shared" si="8"/>
        <v>0</v>
      </c>
      <c r="F180" s="8"/>
    </row>
    <row r="181" spans="1:6" ht="12.75">
      <c r="A181" t="s">
        <v>77</v>
      </c>
      <c r="B181" s="75" t="s">
        <v>281</v>
      </c>
      <c r="C181" s="338"/>
      <c r="D181" s="338"/>
      <c r="E181" s="313">
        <f t="shared" si="8"/>
        <v>0</v>
      </c>
      <c r="F181" s="8"/>
    </row>
    <row r="182" spans="1:6" ht="12.75">
      <c r="A182" t="s">
        <v>78</v>
      </c>
      <c r="B182" s="75" t="s">
        <v>281</v>
      </c>
      <c r="C182" s="338"/>
      <c r="D182" s="338"/>
      <c r="E182" s="313">
        <f t="shared" si="8"/>
        <v>0</v>
      </c>
      <c r="F182" s="8"/>
    </row>
    <row r="183" spans="1:6" ht="12.75">
      <c r="A183" t="s">
        <v>285</v>
      </c>
      <c r="B183" s="75" t="s">
        <v>281</v>
      </c>
      <c r="C183" s="338">
        <v>97212</v>
      </c>
      <c r="D183" s="338"/>
      <c r="E183" s="313">
        <f t="shared" si="8"/>
        <v>97212</v>
      </c>
      <c r="F183" s="8"/>
    </row>
    <row r="184" spans="1:6" ht="12.75">
      <c r="A184" t="s">
        <v>291</v>
      </c>
      <c r="B184" s="75" t="s">
        <v>281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79</v>
      </c>
      <c r="B186" s="75" t="s">
        <v>284</v>
      </c>
      <c r="C186" s="291">
        <f>SUM(C179:C184)</f>
        <v>97212</v>
      </c>
      <c r="D186" s="291">
        <f>SUM(D179:D185)</f>
        <v>0</v>
      </c>
      <c r="E186" s="291">
        <f>SUM(E179:E184)</f>
        <v>97212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80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81</v>
      </c>
      <c r="B191" s="75" t="s">
        <v>281</v>
      </c>
      <c r="C191" s="338">
        <v>902100</v>
      </c>
      <c r="D191" s="338"/>
      <c r="E191" s="313">
        <f>C191-D191</f>
        <v>902100</v>
      </c>
      <c r="F191" s="8"/>
    </row>
    <row r="192" spans="1:6" ht="12.75">
      <c r="A192" t="s">
        <v>278</v>
      </c>
      <c r="B192" s="75" t="s">
        <v>281</v>
      </c>
      <c r="C192" s="338"/>
      <c r="D192" s="338"/>
      <c r="E192" s="313">
        <f>C192-D192</f>
        <v>0</v>
      </c>
      <c r="F192" s="8"/>
    </row>
    <row r="193" spans="1:7" ht="12.75">
      <c r="A193" t="s">
        <v>279</v>
      </c>
      <c r="B193" s="75" t="s">
        <v>281</v>
      </c>
      <c r="C193" s="338"/>
      <c r="D193" s="338"/>
      <c r="E193" s="313">
        <f>C193-D193</f>
        <v>0</v>
      </c>
      <c r="F193" s="8"/>
      <c r="G193" s="28" t="s">
        <v>180</v>
      </c>
    </row>
    <row r="194" spans="1:6" ht="12.75">
      <c r="A194" t="s">
        <v>280</v>
      </c>
      <c r="B194" s="75" t="s">
        <v>282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82</v>
      </c>
      <c r="B196" s="75" t="s">
        <v>284</v>
      </c>
      <c r="C196" s="291">
        <f>C191+C192+C193-C194</f>
        <v>902100</v>
      </c>
      <c r="D196" s="291">
        <f>D191+D192+D193-D194</f>
        <v>0</v>
      </c>
      <c r="E196" s="291">
        <f>E191+E192+E193-E194</f>
        <v>902100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83</v>
      </c>
      <c r="B198" s="8"/>
      <c r="C198" s="5"/>
      <c r="D198" s="5"/>
      <c r="E198" s="5"/>
      <c r="F198" s="8"/>
    </row>
    <row r="199" spans="1:6" ht="12.75">
      <c r="A199" t="s">
        <v>283</v>
      </c>
      <c r="B199" s="75" t="s">
        <v>281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84</v>
      </c>
      <c r="B200" s="75" t="s">
        <v>281</v>
      </c>
      <c r="C200" s="338"/>
      <c r="D200" s="338"/>
      <c r="E200" s="313">
        <f t="shared" si="9"/>
        <v>0</v>
      </c>
      <c r="F200" s="8"/>
    </row>
    <row r="201" spans="1:6" ht="12.75">
      <c r="A201" t="s">
        <v>85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289</v>
      </c>
      <c r="B202" s="77" t="s">
        <v>282</v>
      </c>
      <c r="C202" s="339"/>
      <c r="D202" s="339"/>
      <c r="E202" s="336">
        <f t="shared" si="9"/>
        <v>0</v>
      </c>
      <c r="F202" s="8"/>
    </row>
    <row r="203" spans="1:6" ht="25.5">
      <c r="A203" s="74" t="s">
        <v>288</v>
      </c>
      <c r="B203" s="75" t="s">
        <v>282</v>
      </c>
      <c r="C203" s="338"/>
      <c r="D203" s="338"/>
      <c r="E203" s="313">
        <f t="shared" si="9"/>
        <v>0</v>
      </c>
      <c r="F203" s="8"/>
    </row>
    <row r="204" spans="1:5" ht="12.75">
      <c r="A204" t="s">
        <v>86</v>
      </c>
      <c r="B204" s="75" t="s">
        <v>282</v>
      </c>
      <c r="C204" s="338"/>
      <c r="D204" s="338"/>
      <c r="E204" s="313">
        <f t="shared" si="9"/>
        <v>0</v>
      </c>
    </row>
    <row r="205" spans="1:5" ht="12.75">
      <c r="A205" t="s">
        <v>87</v>
      </c>
      <c r="B205" s="75" t="s">
        <v>287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88</v>
      </c>
      <c r="B207" s="8" t="s">
        <v>284</v>
      </c>
      <c r="C207" s="337">
        <f>C196+C199+C200-C202-C203-C204+C205</f>
        <v>902100</v>
      </c>
      <c r="D207" s="337">
        <f>D196+D199+D200-D202-D203-D204+D205</f>
        <v>0</v>
      </c>
      <c r="E207" s="291">
        <f>E196+E199+E200-E202-E203-E204+E205</f>
        <v>902100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89</v>
      </c>
      <c r="B210" s="8"/>
      <c r="C210" s="291">
        <f>IF(C207=0,0,IF(((C186/C207)*C175)&lt;0,0,IF((C186/C207)*C175&gt;C186,C186,C186/C207*C175)))</f>
        <v>82731.60393747922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82731.60393747922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56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90</v>
      </c>
      <c r="B214" s="75" t="s">
        <v>281</v>
      </c>
      <c r="C214" s="321">
        <f>+C175</f>
        <v>767726</v>
      </c>
      <c r="D214" s="321">
        <f>+D175</f>
        <v>0</v>
      </c>
      <c r="E214" s="325">
        <f>+C214-D214</f>
        <v>767726</v>
      </c>
      <c r="F214" s="8"/>
    </row>
    <row r="215" spans="1:6" ht="12.75">
      <c r="A215" s="4" t="s">
        <v>91</v>
      </c>
      <c r="B215" s="75" t="s">
        <v>282</v>
      </c>
      <c r="C215" s="291">
        <f>C210</f>
        <v>82731.60393747922</v>
      </c>
      <c r="D215" s="291">
        <f>D210</f>
        <v>0</v>
      </c>
      <c r="E215" s="291">
        <f>C215-D215</f>
        <v>82731.60393747922</v>
      </c>
      <c r="F215" s="8"/>
    </row>
    <row r="216" spans="1:6" ht="12.75">
      <c r="A216" s="4"/>
      <c r="B216" s="26"/>
      <c r="C216" s="84"/>
      <c r="D216" s="84"/>
      <c r="E216" s="102" t="s">
        <v>180</v>
      </c>
      <c r="F216" s="8"/>
    </row>
    <row r="217" spans="1:6" ht="12.75">
      <c r="A217" s="4" t="s">
        <v>92</v>
      </c>
      <c r="B217" s="8" t="s">
        <v>284</v>
      </c>
      <c r="C217" s="291">
        <f>IF(C214&gt;C215,C214-C215,0)</f>
        <v>684994.3960625208</v>
      </c>
      <c r="D217" s="291">
        <f>IF(D214&gt;D215,D214-D215,0)</f>
        <v>0</v>
      </c>
      <c r="E217" s="291">
        <f>IF(E214&gt;E215,E214-E215,0)</f>
        <v>684994.3960625208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93</v>
      </c>
      <c r="B219" s="8"/>
      <c r="C219" s="5"/>
      <c r="D219" s="5"/>
      <c r="E219" s="5"/>
      <c r="F219" s="8"/>
    </row>
    <row r="220" spans="1:6" ht="12.75">
      <c r="A220" s="4" t="s">
        <v>455</v>
      </c>
      <c r="B220" s="8"/>
      <c r="C220" s="294">
        <f>'Tax Rates'!C57</f>
        <v>0</v>
      </c>
      <c r="D220" s="294">
        <v>0</v>
      </c>
      <c r="E220" s="313">
        <f>+C220-D220</f>
        <v>0</v>
      </c>
      <c r="F220" s="8"/>
    </row>
    <row r="221" spans="1:6" ht="12.75">
      <c r="A221" s="2" t="s">
        <v>494</v>
      </c>
      <c r="B221" s="8"/>
      <c r="C221" s="28"/>
      <c r="D221" s="28"/>
      <c r="E221" s="28"/>
      <c r="F221" s="8"/>
    </row>
    <row r="222" spans="1:6" ht="12.75">
      <c r="A222" s="4" t="s">
        <v>94</v>
      </c>
      <c r="B222" s="8"/>
      <c r="C222" s="291">
        <f>C217-C220</f>
        <v>684994.3960625208</v>
      </c>
      <c r="D222" s="291">
        <f>D217-D220</f>
        <v>0</v>
      </c>
      <c r="E222" s="291">
        <f>E217-E220</f>
        <v>684994.3960625208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479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123</v>
      </c>
      <c r="B226" s="8"/>
      <c r="C226" s="292">
        <f>C11</f>
        <v>366</v>
      </c>
      <c r="D226" s="292">
        <f>C226</f>
        <v>366</v>
      </c>
      <c r="E226" s="292">
        <f>C226</f>
        <v>366</v>
      </c>
      <c r="F226" s="8"/>
    </row>
    <row r="227" spans="1:6" ht="12.75">
      <c r="A227" s="4" t="s">
        <v>548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493</v>
      </c>
      <c r="B229" s="8"/>
      <c r="C229" s="291">
        <f>+C222*C224*C227</f>
        <v>2054.9831881875625</v>
      </c>
      <c r="D229" s="291">
        <f>+D222*D224*D227</f>
        <v>0</v>
      </c>
      <c r="E229" s="291">
        <f>+E222*E224*E227</f>
        <v>2054.9831881875625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547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343</v>
      </c>
      <c r="B233" s="8"/>
      <c r="C233" s="5"/>
      <c r="D233" s="5"/>
      <c r="E233" s="5"/>
      <c r="F233" s="8"/>
    </row>
    <row r="234" spans="1:6" ht="12.75">
      <c r="A234" s="101" t="s">
        <v>344</v>
      </c>
      <c r="B234" s="8"/>
      <c r="C234" s="5"/>
      <c r="D234" s="5"/>
      <c r="E234" s="5"/>
      <c r="F234" s="8"/>
    </row>
    <row r="235" spans="1:6" ht="12.75">
      <c r="A235" s="2" t="s">
        <v>95</v>
      </c>
      <c r="B235" s="8"/>
      <c r="C235" s="5"/>
      <c r="D235" s="5"/>
      <c r="E235" s="5"/>
      <c r="F235" s="8"/>
    </row>
    <row r="236" spans="1:6" ht="12.75">
      <c r="A236" t="s">
        <v>96</v>
      </c>
      <c r="B236" s="8"/>
      <c r="C236" s="5"/>
      <c r="D236" s="5"/>
      <c r="E236" s="5"/>
      <c r="F236" s="8"/>
    </row>
    <row r="237" spans="1:6" ht="25.5">
      <c r="A237" s="74" t="s">
        <v>292</v>
      </c>
      <c r="B237" s="77" t="s">
        <v>281</v>
      </c>
      <c r="C237" s="342"/>
      <c r="D237" s="342"/>
      <c r="E237" s="336">
        <f>+C237-D237</f>
        <v>0</v>
      </c>
      <c r="F237" s="8"/>
    </row>
    <row r="238" spans="1:6" ht="12.75">
      <c r="A238" s="74" t="s">
        <v>97</v>
      </c>
      <c r="B238" s="77" t="s">
        <v>281</v>
      </c>
      <c r="C238" s="346">
        <v>645492</v>
      </c>
      <c r="D238" s="346"/>
      <c r="E238" s="313">
        <f aca="true" t="shared" si="10" ref="E238:E246">+C238-D238</f>
        <v>645492</v>
      </c>
      <c r="F238" s="8"/>
    </row>
    <row r="239" spans="1:6" ht="12.75">
      <c r="A239" s="74" t="s">
        <v>98</v>
      </c>
      <c r="B239" s="77" t="s">
        <v>281</v>
      </c>
      <c r="C239" s="343"/>
      <c r="D239" s="343"/>
      <c r="E239" s="313">
        <f t="shared" si="10"/>
        <v>0</v>
      </c>
      <c r="F239" s="8"/>
    </row>
    <row r="240" spans="1:6" ht="12.75">
      <c r="A240" s="74" t="s">
        <v>99</v>
      </c>
      <c r="B240" s="77" t="s">
        <v>281</v>
      </c>
      <c r="C240" s="344">
        <v>111265</v>
      </c>
      <c r="D240" s="344"/>
      <c r="E240" s="313">
        <f t="shared" si="10"/>
        <v>111265</v>
      </c>
      <c r="F240" s="8"/>
    </row>
    <row r="241" spans="1:6" ht="12.75">
      <c r="A241" s="74" t="s">
        <v>100</v>
      </c>
      <c r="B241" s="77" t="s">
        <v>281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101</v>
      </c>
      <c r="B242" s="77" t="s">
        <v>281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102</v>
      </c>
      <c r="B243" s="77" t="s">
        <v>281</v>
      </c>
      <c r="C243" s="344"/>
      <c r="D243" s="344"/>
      <c r="E243" s="313">
        <f t="shared" si="10"/>
        <v>0</v>
      </c>
      <c r="F243" s="8"/>
    </row>
    <row r="244" spans="1:6" ht="25.5">
      <c r="A244" s="74" t="s">
        <v>295</v>
      </c>
      <c r="B244" s="77" t="s">
        <v>281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103</v>
      </c>
      <c r="B245" s="77" t="s">
        <v>281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296</v>
      </c>
      <c r="B246" s="77" t="s">
        <v>281</v>
      </c>
      <c r="C246" s="344">
        <v>12335</v>
      </c>
      <c r="D246" s="344"/>
      <c r="E246" s="313">
        <f t="shared" si="10"/>
        <v>12335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6</v>
      </c>
      <c r="B248" s="8" t="s">
        <v>284</v>
      </c>
      <c r="C248" s="291">
        <f>SUM(C237:C247)</f>
        <v>769092</v>
      </c>
      <c r="D248" s="291">
        <f>SUM(D237:D247)</f>
        <v>0</v>
      </c>
      <c r="E248" s="291">
        <f>SUM(E237:E247)</f>
        <v>769092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104</v>
      </c>
      <c r="B250" s="8"/>
      <c r="C250" s="28"/>
      <c r="D250" s="28"/>
      <c r="E250" s="28"/>
      <c r="F250" s="8"/>
    </row>
    <row r="251" spans="1:6" ht="12.75">
      <c r="A251" t="s">
        <v>105</v>
      </c>
      <c r="B251" s="75" t="s">
        <v>282</v>
      </c>
      <c r="C251" s="338"/>
      <c r="D251" s="338"/>
      <c r="E251" s="313">
        <f>+C251-D251</f>
        <v>0</v>
      </c>
      <c r="F251" s="8"/>
    </row>
    <row r="252" spans="1:6" ht="12.75">
      <c r="A252" t="s">
        <v>293</v>
      </c>
      <c r="B252" s="75" t="s">
        <v>282</v>
      </c>
      <c r="C252" s="338">
        <v>1366</v>
      </c>
      <c r="D252" s="338"/>
      <c r="E252" s="313">
        <f>+C252-D252</f>
        <v>1366</v>
      </c>
      <c r="F252" s="8"/>
    </row>
    <row r="253" spans="1:6" ht="25.5">
      <c r="A253" s="76" t="s">
        <v>294</v>
      </c>
      <c r="B253" s="75" t="s">
        <v>282</v>
      </c>
      <c r="C253" s="339"/>
      <c r="D253" s="339"/>
      <c r="E253" s="336">
        <f>+C253-D253</f>
        <v>0</v>
      </c>
      <c r="F253" s="8"/>
    </row>
    <row r="254" spans="1:6" ht="12.75">
      <c r="A254" t="s">
        <v>106</v>
      </c>
      <c r="B254" s="75" t="s">
        <v>282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6</v>
      </c>
      <c r="B256" s="8" t="s">
        <v>284</v>
      </c>
      <c r="C256" s="291">
        <f>SUM(C251:C255)</f>
        <v>1366</v>
      </c>
      <c r="D256" s="291">
        <f>SUM(D251:D255)</f>
        <v>0</v>
      </c>
      <c r="E256" s="291">
        <f>SUM(E251:E255)</f>
        <v>1366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8</v>
      </c>
      <c r="B258" s="8"/>
      <c r="C258" s="291">
        <f>+C248-C256</f>
        <v>767726</v>
      </c>
      <c r="D258" s="291">
        <f>+D248-D256</f>
        <v>0</v>
      </c>
      <c r="E258" s="291">
        <f>+E248-E256</f>
        <v>767726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107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108</v>
      </c>
      <c r="B262" s="75" t="s">
        <v>281</v>
      </c>
      <c r="C262" s="338"/>
      <c r="D262" s="338"/>
      <c r="E262" s="313">
        <f>C262-D262</f>
        <v>0</v>
      </c>
      <c r="F262" s="8"/>
    </row>
    <row r="263" spans="1:6" ht="12.75">
      <c r="A263" s="4" t="s">
        <v>109</v>
      </c>
      <c r="B263" s="75" t="s">
        <v>281</v>
      </c>
      <c r="C263" s="338">
        <v>97212</v>
      </c>
      <c r="D263" s="338"/>
      <c r="E263" s="313">
        <f aca="true" t="shared" si="11" ref="E263:E269">C263-D263</f>
        <v>97212</v>
      </c>
      <c r="F263" s="8"/>
    </row>
    <row r="264" spans="1:6" ht="12.75">
      <c r="A264" s="4" t="s">
        <v>110</v>
      </c>
      <c r="B264" s="75" t="s">
        <v>281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111</v>
      </c>
      <c r="B265" s="75" t="s">
        <v>281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112</v>
      </c>
      <c r="B266" s="75" t="s">
        <v>281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113</v>
      </c>
      <c r="B267" s="75" t="s">
        <v>281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297</v>
      </c>
      <c r="B268" s="77" t="s">
        <v>281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114</v>
      </c>
      <c r="B269" s="75" t="s">
        <v>281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7</v>
      </c>
      <c r="B271" s="8" t="s">
        <v>284</v>
      </c>
      <c r="C271" s="337">
        <f>SUM(C262:C270)</f>
        <v>97212</v>
      </c>
      <c r="D271" s="345">
        <f>SUM(D262:D270)</f>
        <v>0</v>
      </c>
      <c r="E271" s="291">
        <f>SUM(E262:E270)</f>
        <v>97212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115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10</v>
      </c>
      <c r="B276" s="8" t="s">
        <v>284</v>
      </c>
      <c r="C276" s="291">
        <f>+C258</f>
        <v>767726</v>
      </c>
      <c r="D276" s="291">
        <f>+D258</f>
        <v>0</v>
      </c>
      <c r="E276" s="313">
        <f>+E258</f>
        <v>767726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11</v>
      </c>
      <c r="B278" s="8" t="s">
        <v>282</v>
      </c>
      <c r="C278" s="291">
        <f>+C271</f>
        <v>97212</v>
      </c>
      <c r="D278" s="291">
        <f>+D271</f>
        <v>0</v>
      </c>
      <c r="E278" s="313">
        <f>+C278-D278</f>
        <v>97212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12</v>
      </c>
      <c r="B280" s="75" t="s">
        <v>284</v>
      </c>
      <c r="C280" s="291">
        <f>IF(C276&gt;C278,C276-C278,0)</f>
        <v>670514</v>
      </c>
      <c r="D280" s="291">
        <f>IF(D276&gt;D278,D276-D278,0)</f>
        <v>0</v>
      </c>
      <c r="E280" s="291">
        <f>IF(E276&gt;E278,E276-E278,0)</f>
        <v>670514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456</v>
      </c>
      <c r="B282" s="75" t="s">
        <v>282</v>
      </c>
      <c r="C282" s="445">
        <f>'Tax Rates'!C58</f>
        <v>575800</v>
      </c>
      <c r="D282" s="291">
        <v>0</v>
      </c>
      <c r="E282" s="313">
        <f>+C282-D282</f>
        <v>575800</v>
      </c>
      <c r="F282" s="8"/>
    </row>
    <row r="283" spans="1:6" ht="12.75">
      <c r="A283" s="4" t="s">
        <v>457</v>
      </c>
      <c r="B283" s="8"/>
      <c r="C283" s="71"/>
      <c r="D283" s="71"/>
      <c r="E283" s="71"/>
      <c r="F283" s="8"/>
    </row>
    <row r="284" spans="1:6" ht="12.75">
      <c r="A284" s="2" t="s">
        <v>9</v>
      </c>
      <c r="B284" s="8" t="s">
        <v>284</v>
      </c>
      <c r="C284" s="291">
        <f>IF(C280&gt;C282,C280-C282,0)</f>
        <v>94714</v>
      </c>
      <c r="D284" s="291">
        <f>IF(D280&gt;D282,D280-D282,0)</f>
        <v>0</v>
      </c>
      <c r="E284" s="291">
        <f>IF(E280&gt;E282,E280-E282,0)</f>
        <v>94714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451</v>
      </c>
      <c r="B286" s="8"/>
      <c r="C286" s="351">
        <f>'Tax Rates'!C55</f>
        <v>0.002</v>
      </c>
      <c r="D286" s="351">
        <f>C286</f>
        <v>0.002</v>
      </c>
      <c r="E286" s="352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124</v>
      </c>
      <c r="B288" s="8"/>
      <c r="C288" s="292">
        <f>C11</f>
        <v>366</v>
      </c>
      <c r="D288" s="292">
        <f>C11</f>
        <v>366</v>
      </c>
      <c r="E288" s="292">
        <f>C11</f>
        <v>366</v>
      </c>
      <c r="F288" s="8"/>
    </row>
    <row r="289" spans="1:6" ht="12.75">
      <c r="A289" s="4" t="s">
        <v>548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480</v>
      </c>
      <c r="B291" s="8" t="s">
        <v>284</v>
      </c>
      <c r="C291" s="291">
        <f>C284*C286*C289</f>
        <v>189.428</v>
      </c>
      <c r="D291" s="291">
        <f>D284*D286*D289</f>
        <v>0</v>
      </c>
      <c r="E291" s="291">
        <f>E284*E286*E289</f>
        <v>189.428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126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512</v>
      </c>
      <c r="B295" s="75" t="s">
        <v>282</v>
      </c>
      <c r="C295" s="346">
        <v>0</v>
      </c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481</v>
      </c>
      <c r="B297" s="8" t="s">
        <v>284</v>
      </c>
      <c r="C297" s="291">
        <f>IF(C291&gt;C295,C291-C295,0)</f>
        <v>189.428</v>
      </c>
      <c r="D297" s="291">
        <f>IF(D291&gt;D295,D291-D295,0)</f>
        <v>0</v>
      </c>
      <c r="E297" s="291">
        <f>IF(E291&gt;E295,E291-E295,0)</f>
        <v>189.428</v>
      </c>
      <c r="F297" s="8"/>
    </row>
    <row r="298" spans="1:6" ht="12.75">
      <c r="A298" t="s">
        <v>127</v>
      </c>
      <c r="B298" s="8"/>
      <c r="F298" s="8"/>
    </row>
    <row r="299" spans="2:6" ht="12.75">
      <c r="B299" s="8"/>
      <c r="F299" s="8"/>
    </row>
    <row r="300" spans="1:2" ht="12.75">
      <c r="A300" s="14" t="s">
        <v>550</v>
      </c>
      <c r="B300" s="8"/>
    </row>
    <row r="301" spans="1:2" ht="12.75">
      <c r="A301" s="14"/>
      <c r="B301" s="8"/>
    </row>
    <row r="302" spans="1:2" ht="12.75">
      <c r="A302" s="2" t="s">
        <v>500</v>
      </c>
      <c r="B302" s="8"/>
    </row>
    <row r="303" spans="1:5" ht="12.75">
      <c r="A303" t="s">
        <v>340</v>
      </c>
      <c r="B303" s="97" t="s">
        <v>281</v>
      </c>
      <c r="C303" s="291">
        <f>C144</f>
        <v>6089</v>
      </c>
      <c r="D303" s="291">
        <f>D144</f>
        <v>0</v>
      </c>
      <c r="E303" s="291">
        <f>E144</f>
        <v>6089</v>
      </c>
    </row>
    <row r="304" spans="1:5" ht="12.75">
      <c r="A304" t="s">
        <v>33</v>
      </c>
      <c r="B304" s="97" t="s">
        <v>281</v>
      </c>
      <c r="C304" s="291">
        <f>C229</f>
        <v>2054.9831881875625</v>
      </c>
      <c r="D304" s="291">
        <f>D229</f>
        <v>0</v>
      </c>
      <c r="E304" s="291">
        <f>E229</f>
        <v>2054.9831881875625</v>
      </c>
    </row>
    <row r="305" spans="1:5" ht="12.75">
      <c r="A305" t="s">
        <v>339</v>
      </c>
      <c r="B305" s="97" t="s">
        <v>281</v>
      </c>
      <c r="C305" s="291">
        <f>C297</f>
        <v>189.428</v>
      </c>
      <c r="D305" s="291">
        <f>D297</f>
        <v>0</v>
      </c>
      <c r="E305" s="291">
        <f>E297</f>
        <v>189.428</v>
      </c>
    </row>
    <row r="306" ht="12.75">
      <c r="B306" s="8"/>
    </row>
    <row r="307" spans="1:5" ht="12.75">
      <c r="A307" s="2" t="s">
        <v>443</v>
      </c>
      <c r="B307" s="75" t="s">
        <v>284</v>
      </c>
      <c r="C307" s="291">
        <f>C303+C304+C305</f>
        <v>8333.411188187563</v>
      </c>
      <c r="D307" s="291">
        <f>D303+D304+D305</f>
        <v>0</v>
      </c>
      <c r="E307" s="291">
        <f>E303+E304+E305</f>
        <v>8333.411188187563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168</v>
      </c>
      <c r="B1" s="8" t="s">
        <v>57</v>
      </c>
      <c r="C1" s="8" t="s">
        <v>36</v>
      </c>
      <c r="D1" s="8" t="s">
        <v>13</v>
      </c>
      <c r="E1" s="27" t="s">
        <v>14</v>
      </c>
      <c r="F1" s="8"/>
    </row>
    <row r="2" spans="1:6" ht="12.75">
      <c r="A2" s="2" t="s">
        <v>441</v>
      </c>
      <c r="C2" s="8" t="s">
        <v>116</v>
      </c>
      <c r="D2" s="8" t="s">
        <v>53</v>
      </c>
      <c r="E2" s="27" t="s">
        <v>16</v>
      </c>
      <c r="F2" s="8"/>
    </row>
    <row r="3" spans="1:6" ht="12.75">
      <c r="A3" t="s">
        <v>442</v>
      </c>
      <c r="C3" s="8" t="s">
        <v>16</v>
      </c>
      <c r="E3" s="27" t="s">
        <v>15</v>
      </c>
      <c r="F3" s="8"/>
    </row>
    <row r="4" spans="1:6" ht="12.75">
      <c r="A4" s="4" t="s">
        <v>54</v>
      </c>
      <c r="B4" s="8"/>
      <c r="C4" s="8" t="s">
        <v>15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Asphodel-Norwood Distribution Inc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217</v>
      </c>
    </row>
    <row r="11" ht="12.75">
      <c r="A11" s="2"/>
    </row>
    <row r="12" spans="1:5" ht="12.75">
      <c r="A12" s="287" t="s">
        <v>410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418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419</v>
      </c>
      <c r="B15" s="67"/>
      <c r="C15" s="338"/>
      <c r="D15" s="338"/>
      <c r="E15" s="291">
        <f t="shared" si="0"/>
        <v>0</v>
      </c>
    </row>
    <row r="16" spans="1:5" ht="12.75">
      <c r="A16" s="67" t="s">
        <v>420</v>
      </c>
      <c r="B16" s="67"/>
      <c r="C16" s="338"/>
      <c r="D16" s="338"/>
      <c r="E16" s="291">
        <f t="shared" si="0"/>
        <v>0</v>
      </c>
    </row>
    <row r="17" spans="1:5" ht="12.75">
      <c r="A17" s="67" t="s">
        <v>421</v>
      </c>
      <c r="B17" s="67"/>
      <c r="C17" s="338"/>
      <c r="D17" s="338"/>
      <c r="E17" s="291">
        <f t="shared" si="0"/>
        <v>0</v>
      </c>
    </row>
    <row r="18" spans="1:5" ht="12.75">
      <c r="A18" s="67" t="s">
        <v>407</v>
      </c>
      <c r="B18" s="67"/>
      <c r="C18" s="338"/>
      <c r="D18" s="338"/>
      <c r="E18" s="291">
        <f t="shared" si="0"/>
        <v>0</v>
      </c>
    </row>
    <row r="19" spans="1:5" ht="12.75">
      <c r="A19" s="67" t="s">
        <v>407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270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409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418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419</v>
      </c>
      <c r="B27" s="67"/>
      <c r="C27" s="338"/>
      <c r="D27" s="338"/>
      <c r="E27" s="291">
        <f t="shared" si="1"/>
        <v>0</v>
      </c>
    </row>
    <row r="28" spans="1:5" ht="12.75">
      <c r="A28" s="67" t="s">
        <v>420</v>
      </c>
      <c r="B28" s="67"/>
      <c r="C28" s="338"/>
      <c r="D28" s="338"/>
      <c r="E28" s="291">
        <f t="shared" si="1"/>
        <v>0</v>
      </c>
    </row>
    <row r="29" spans="1:5" ht="12.75">
      <c r="A29" s="67" t="s">
        <v>421</v>
      </c>
      <c r="B29" s="67"/>
      <c r="C29" s="338"/>
      <c r="D29" s="338"/>
      <c r="E29" s="291">
        <f t="shared" si="1"/>
        <v>0</v>
      </c>
    </row>
    <row r="30" spans="1:5" ht="12.75">
      <c r="A30" s="67" t="s">
        <v>407</v>
      </c>
      <c r="B30" s="67"/>
      <c r="C30" s="338"/>
      <c r="D30" s="338"/>
      <c r="E30" s="291">
        <f t="shared" si="1"/>
        <v>0</v>
      </c>
    </row>
    <row r="31" spans="1:5" ht="12.75">
      <c r="A31" s="67" t="s">
        <v>407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219</v>
      </c>
      <c r="C34" s="28"/>
      <c r="D34" s="28"/>
      <c r="E34" s="321"/>
    </row>
    <row r="35" spans="1:5" ht="12.75">
      <c r="A35" s="2" t="s">
        <v>270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408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410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403</v>
      </c>
      <c r="B43" s="67"/>
      <c r="C43" s="338"/>
      <c r="D43" s="338"/>
      <c r="E43" s="291">
        <f t="shared" si="2"/>
        <v>0</v>
      </c>
    </row>
    <row r="44" spans="1:5" ht="12.75">
      <c r="A44" s="67" t="s">
        <v>404</v>
      </c>
      <c r="B44" s="67"/>
      <c r="C44" s="338"/>
      <c r="D44" s="338"/>
      <c r="E44" s="291">
        <f t="shared" si="2"/>
        <v>0</v>
      </c>
    </row>
    <row r="45" spans="1:5" ht="12.75">
      <c r="A45" s="67" t="s">
        <v>405</v>
      </c>
      <c r="B45" s="67"/>
      <c r="C45" s="338"/>
      <c r="D45" s="338"/>
      <c r="E45" s="291">
        <f t="shared" si="2"/>
        <v>0</v>
      </c>
    </row>
    <row r="46" spans="1:5" ht="12.75">
      <c r="A46" s="67" t="s">
        <v>406</v>
      </c>
      <c r="B46" s="67"/>
      <c r="C46" s="338"/>
      <c r="D46" s="338"/>
      <c r="E46" s="291">
        <f t="shared" si="2"/>
        <v>0</v>
      </c>
    </row>
    <row r="47" spans="1:5" ht="12.75">
      <c r="A47" s="67" t="s">
        <v>407</v>
      </c>
      <c r="B47" s="67"/>
      <c r="C47" s="338"/>
      <c r="D47" s="338"/>
      <c r="E47" s="291">
        <f t="shared" si="2"/>
        <v>0</v>
      </c>
    </row>
    <row r="48" spans="1:5" ht="12.75">
      <c r="A48" s="67" t="s">
        <v>407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270</v>
      </c>
      <c r="C50" s="291">
        <f>SUM(C41:C49)</f>
        <v>0</v>
      </c>
      <c r="D50" s="291">
        <f>SUM(D41:D49)</f>
        <v>0</v>
      </c>
      <c r="E50" s="291">
        <f>SUM(E41:E49)</f>
        <v>0</v>
      </c>
    </row>
    <row r="51" spans="3:5" ht="12.75">
      <c r="C51" s="28"/>
      <c r="D51" s="28"/>
      <c r="E51" s="28"/>
    </row>
    <row r="52" spans="1:5" ht="12.75">
      <c r="A52" s="287" t="s">
        <v>409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403</v>
      </c>
      <c r="B55" s="67"/>
      <c r="C55" s="338"/>
      <c r="D55" s="338"/>
      <c r="E55" s="291">
        <f t="shared" si="3"/>
        <v>0</v>
      </c>
    </row>
    <row r="56" spans="1:5" ht="12.75">
      <c r="A56" s="286" t="s">
        <v>404</v>
      </c>
      <c r="B56" s="67"/>
      <c r="C56" s="338"/>
      <c r="D56" s="338"/>
      <c r="E56" s="291">
        <f t="shared" si="3"/>
        <v>0</v>
      </c>
    </row>
    <row r="57" spans="1:5" ht="12.75">
      <c r="A57" s="286" t="s">
        <v>405</v>
      </c>
      <c r="B57" s="67"/>
      <c r="C57" s="338"/>
      <c r="D57" s="338"/>
      <c r="E57" s="291">
        <f t="shared" si="3"/>
        <v>0</v>
      </c>
    </row>
    <row r="58" spans="1:5" ht="12.75">
      <c r="A58" s="286" t="s">
        <v>406</v>
      </c>
      <c r="B58" s="67"/>
      <c r="C58" s="338"/>
      <c r="D58" s="338"/>
      <c r="E58" s="291">
        <f t="shared" si="3"/>
        <v>0</v>
      </c>
    </row>
    <row r="59" spans="1:5" ht="12.75">
      <c r="A59" s="67" t="s">
        <v>407</v>
      </c>
      <c r="B59" s="67"/>
      <c r="C59" s="338"/>
      <c r="D59" s="338"/>
      <c r="E59" s="291">
        <f t="shared" si="3"/>
        <v>0</v>
      </c>
    </row>
    <row r="60" spans="1:5" ht="12.75">
      <c r="A60" s="67" t="s">
        <v>407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219</v>
      </c>
      <c r="C62" s="28"/>
      <c r="D62" s="28"/>
      <c r="E62" s="321"/>
    </row>
    <row r="63" spans="1:5" ht="12.75">
      <c r="A63" s="2" t="s">
        <v>270</v>
      </c>
      <c r="C63" s="291">
        <f>SUM(C53:C61)</f>
        <v>0</v>
      </c>
      <c r="D63" s="291">
        <f>SUM(D53:D61)</f>
        <v>0</v>
      </c>
      <c r="E63" s="291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3" sqref="C11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168</v>
      </c>
      <c r="B2" s="8" t="s">
        <v>57</v>
      </c>
      <c r="C2" s="8" t="s">
        <v>36</v>
      </c>
      <c r="D2" s="8" t="s">
        <v>13</v>
      </c>
      <c r="E2" s="27" t="s">
        <v>14</v>
      </c>
      <c r="F2" s="8"/>
    </row>
    <row r="3" spans="1:6" ht="12.75">
      <c r="A3" s="2" t="s">
        <v>383</v>
      </c>
      <c r="B3" s="8"/>
      <c r="C3" s="8" t="s">
        <v>116</v>
      </c>
      <c r="D3" s="8" t="s">
        <v>53</v>
      </c>
      <c r="E3" s="27" t="s">
        <v>16</v>
      </c>
      <c r="F3" s="8"/>
    </row>
    <row r="4" spans="1:6" ht="12.75">
      <c r="A4" s="4" t="s">
        <v>54</v>
      </c>
      <c r="B4" s="8"/>
      <c r="C4" s="8" t="s">
        <v>16</v>
      </c>
      <c r="D4" s="8"/>
      <c r="E4" s="27" t="s">
        <v>15</v>
      </c>
      <c r="F4" s="8"/>
    </row>
    <row r="5" spans="1:6" ht="12.75">
      <c r="A5" s="2" t="str">
        <f>REGINFO!E2</f>
        <v>RRR # 2.1.8</v>
      </c>
      <c r="B5" s="8"/>
      <c r="C5" s="8" t="s">
        <v>15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Asphodel-Norwood Distribution Inc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209</v>
      </c>
      <c r="B10" s="26"/>
      <c r="C10" s="312">
        <f>TAXREC!C11</f>
        <v>366</v>
      </c>
      <c r="D10" s="66"/>
      <c r="E10" s="31"/>
      <c r="F10" s="26"/>
    </row>
    <row r="11" spans="1:6" ht="12.75">
      <c r="A11" s="2" t="s">
        <v>203</v>
      </c>
      <c r="B11" s="26"/>
      <c r="C11" s="313">
        <f>TAXREC!C13</f>
        <v>627.72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267</v>
      </c>
      <c r="B13" s="26"/>
      <c r="C13" s="31"/>
      <c r="D13" s="31"/>
      <c r="E13" s="32"/>
      <c r="F13" s="8"/>
    </row>
    <row r="14" ht="12.75">
      <c r="A14" s="2" t="s">
        <v>210</v>
      </c>
    </row>
    <row r="15" spans="1:5" ht="12.75">
      <c r="A15" s="78" t="s">
        <v>220</v>
      </c>
      <c r="B15" t="s">
        <v>281</v>
      </c>
      <c r="C15" s="339"/>
      <c r="D15" s="339"/>
      <c r="E15" s="368">
        <f>C15-D15</f>
        <v>0</v>
      </c>
    </row>
    <row r="16" spans="1:5" ht="12.75">
      <c r="A16" s="78" t="s">
        <v>384</v>
      </c>
      <c r="B16" t="s">
        <v>281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298</v>
      </c>
      <c r="B17" t="s">
        <v>281</v>
      </c>
      <c r="C17" s="339"/>
      <c r="D17" s="339"/>
      <c r="E17" s="368">
        <f t="shared" si="0"/>
        <v>0</v>
      </c>
    </row>
    <row r="18" spans="1:5" ht="12.75">
      <c r="A18" s="78" t="s">
        <v>221</v>
      </c>
      <c r="B18" t="s">
        <v>281</v>
      </c>
      <c r="C18" s="339"/>
      <c r="D18" s="369"/>
      <c r="E18" s="368">
        <f t="shared" si="0"/>
        <v>0</v>
      </c>
    </row>
    <row r="19" spans="1:5" ht="12.75">
      <c r="A19" s="78" t="s">
        <v>222</v>
      </c>
      <c r="B19" t="s">
        <v>281</v>
      </c>
      <c r="C19" s="339"/>
      <c r="D19" s="339"/>
      <c r="E19" s="368">
        <f t="shared" si="0"/>
        <v>0</v>
      </c>
    </row>
    <row r="20" spans="1:5" ht="12.75">
      <c r="A20" s="78" t="s">
        <v>223</v>
      </c>
      <c r="B20" t="s">
        <v>281</v>
      </c>
      <c r="C20" s="339"/>
      <c r="D20" s="339"/>
      <c r="E20" s="368">
        <f t="shared" si="0"/>
        <v>0</v>
      </c>
    </row>
    <row r="21" spans="1:5" ht="12.75">
      <c r="A21" s="78" t="s">
        <v>21</v>
      </c>
      <c r="B21" t="s">
        <v>281</v>
      </c>
      <c r="C21" s="339"/>
      <c r="D21" s="339"/>
      <c r="E21" s="368">
        <f t="shared" si="0"/>
        <v>0</v>
      </c>
    </row>
    <row r="22" spans="1:5" ht="12.75">
      <c r="A22" s="78" t="s">
        <v>224</v>
      </c>
      <c r="B22" t="s">
        <v>281</v>
      </c>
      <c r="C22" s="339"/>
      <c r="D22" s="339"/>
      <c r="E22" s="368">
        <f t="shared" si="0"/>
        <v>0</v>
      </c>
    </row>
    <row r="23" spans="1:5" ht="12.75">
      <c r="A23" s="78" t="s">
        <v>225</v>
      </c>
      <c r="B23" t="s">
        <v>281</v>
      </c>
      <c r="C23" s="339"/>
      <c r="D23" s="339"/>
      <c r="E23" s="368">
        <f t="shared" si="0"/>
        <v>0</v>
      </c>
    </row>
    <row r="24" spans="1:5" ht="12.75">
      <c r="A24" s="78" t="s">
        <v>226</v>
      </c>
      <c r="B24" t="s">
        <v>281</v>
      </c>
      <c r="C24" s="339"/>
      <c r="D24" s="339"/>
      <c r="E24" s="368">
        <f t="shared" si="0"/>
        <v>0</v>
      </c>
    </row>
    <row r="25" spans="1:5" ht="12.75">
      <c r="A25" s="78" t="s">
        <v>22</v>
      </c>
      <c r="B25" t="s">
        <v>281</v>
      </c>
      <c r="C25" s="339"/>
      <c r="D25" s="339"/>
      <c r="E25" s="368">
        <f t="shared" si="0"/>
        <v>0</v>
      </c>
    </row>
    <row r="26" spans="1:5" ht="12.75">
      <c r="A26" s="78" t="s">
        <v>227</v>
      </c>
      <c r="B26" t="s">
        <v>281</v>
      </c>
      <c r="C26" s="339"/>
      <c r="D26" s="339"/>
      <c r="E26" s="368">
        <f t="shared" si="0"/>
        <v>0</v>
      </c>
    </row>
    <row r="27" spans="1:5" ht="12.75">
      <c r="A27" s="78" t="s">
        <v>228</v>
      </c>
      <c r="B27" t="s">
        <v>281</v>
      </c>
      <c r="C27" s="339"/>
      <c r="D27" s="339"/>
      <c r="E27" s="368">
        <f t="shared" si="0"/>
        <v>0</v>
      </c>
    </row>
    <row r="28" spans="1:5" ht="12.75">
      <c r="A28" s="78" t="s">
        <v>385</v>
      </c>
      <c r="B28" t="s">
        <v>281</v>
      </c>
      <c r="C28" s="339"/>
      <c r="D28" s="339"/>
      <c r="E28" s="368">
        <f t="shared" si="0"/>
        <v>0</v>
      </c>
    </row>
    <row r="29" spans="1:5" ht="12.75">
      <c r="A29" s="78" t="s">
        <v>299</v>
      </c>
      <c r="B29" t="s">
        <v>281</v>
      </c>
      <c r="C29" s="339"/>
      <c r="D29" s="339"/>
      <c r="E29" s="368">
        <f t="shared" si="0"/>
        <v>0</v>
      </c>
    </row>
    <row r="30" spans="1:5" ht="12.75">
      <c r="A30" s="78" t="s">
        <v>447</v>
      </c>
      <c r="C30" s="339"/>
      <c r="D30" s="339"/>
      <c r="E30" s="368">
        <f t="shared" si="0"/>
        <v>0</v>
      </c>
    </row>
    <row r="31" spans="1:5" ht="12.75">
      <c r="A31" s="78" t="s">
        <v>300</v>
      </c>
      <c r="B31" t="s">
        <v>281</v>
      </c>
      <c r="C31" s="339"/>
      <c r="D31" s="339"/>
      <c r="E31" s="368">
        <f t="shared" si="0"/>
        <v>0</v>
      </c>
    </row>
    <row r="32" spans="1:5" ht="12.75">
      <c r="A32" s="78" t="s">
        <v>20</v>
      </c>
      <c r="B32" t="s">
        <v>281</v>
      </c>
      <c r="C32" s="339"/>
      <c r="D32" s="339"/>
      <c r="E32" s="368">
        <f t="shared" si="0"/>
        <v>0</v>
      </c>
    </row>
    <row r="33" spans="1:5" ht="12.75">
      <c r="A33" s="78" t="s">
        <v>211</v>
      </c>
      <c r="B33" t="s">
        <v>281</v>
      </c>
      <c r="C33" s="339"/>
      <c r="D33" s="339"/>
      <c r="E33" s="368">
        <f t="shared" si="0"/>
        <v>0</v>
      </c>
    </row>
    <row r="34" spans="1:5" ht="12.75">
      <c r="A34" s="78" t="s">
        <v>212</v>
      </c>
      <c r="B34" t="s">
        <v>281</v>
      </c>
      <c r="C34" s="339"/>
      <c r="D34" s="339"/>
      <c r="E34" s="368">
        <f t="shared" si="0"/>
        <v>0</v>
      </c>
    </row>
    <row r="35" spans="1:5" ht="12.75">
      <c r="A35" s="78" t="s">
        <v>301</v>
      </c>
      <c r="B35" t="s">
        <v>281</v>
      </c>
      <c r="C35" s="339"/>
      <c r="D35" s="339"/>
      <c r="E35" s="368">
        <f t="shared" si="0"/>
        <v>0</v>
      </c>
    </row>
    <row r="36" spans="1:5" ht="12.75">
      <c r="A36" s="78" t="s">
        <v>229</v>
      </c>
      <c r="B36" t="s">
        <v>281</v>
      </c>
      <c r="C36" s="339"/>
      <c r="D36" s="339"/>
      <c r="E36" s="291">
        <f t="shared" si="0"/>
        <v>0</v>
      </c>
    </row>
    <row r="37" spans="1:5" ht="12.75">
      <c r="A37" s="78" t="s">
        <v>230</v>
      </c>
      <c r="B37" t="s">
        <v>281</v>
      </c>
      <c r="C37" s="339"/>
      <c r="D37" s="339"/>
      <c r="E37" s="291">
        <f t="shared" si="0"/>
        <v>0</v>
      </c>
    </row>
    <row r="38" spans="1:5" ht="12.75">
      <c r="A38" s="78" t="s">
        <v>386</v>
      </c>
      <c r="B38" t="s">
        <v>281</v>
      </c>
      <c r="C38" s="339"/>
      <c r="D38" s="339"/>
      <c r="E38" s="291">
        <f t="shared" si="0"/>
        <v>0</v>
      </c>
    </row>
    <row r="39" spans="1:5" ht="12.75">
      <c r="A39" s="78" t="s">
        <v>231</v>
      </c>
      <c r="B39" t="s">
        <v>281</v>
      </c>
      <c r="C39" s="339"/>
      <c r="D39" s="339"/>
      <c r="E39" s="291">
        <f t="shared" si="0"/>
        <v>0</v>
      </c>
    </row>
    <row r="40" spans="1:5" ht="12.75">
      <c r="A40" s="78" t="s">
        <v>232</v>
      </c>
      <c r="B40" t="s">
        <v>281</v>
      </c>
      <c r="C40" s="339"/>
      <c r="D40" s="339"/>
      <c r="E40" s="291">
        <f t="shared" si="0"/>
        <v>0</v>
      </c>
    </row>
    <row r="41" spans="1:5" ht="12.75">
      <c r="A41" s="78" t="s">
        <v>233</v>
      </c>
      <c r="B41" t="s">
        <v>281</v>
      </c>
      <c r="C41" s="338"/>
      <c r="D41" s="339"/>
      <c r="E41" s="291">
        <f t="shared" si="0"/>
        <v>0</v>
      </c>
    </row>
    <row r="42" spans="1:5" ht="12.75">
      <c r="A42" s="78" t="s">
        <v>302</v>
      </c>
      <c r="B42" t="s">
        <v>281</v>
      </c>
      <c r="C42" s="338"/>
      <c r="D42" s="339"/>
      <c r="E42" s="291">
        <f t="shared" si="0"/>
        <v>0</v>
      </c>
    </row>
    <row r="43" spans="1:5" ht="12.75">
      <c r="A43" s="79" t="s">
        <v>314</v>
      </c>
      <c r="B43" t="s">
        <v>281</v>
      </c>
      <c r="C43" s="338"/>
      <c r="D43" s="338"/>
      <c r="E43" s="291">
        <f t="shared" si="0"/>
        <v>0</v>
      </c>
    </row>
    <row r="44" spans="1:5" ht="12.75">
      <c r="A44" s="78" t="s">
        <v>448</v>
      </c>
      <c r="B44" t="s">
        <v>281</v>
      </c>
      <c r="C44" s="338"/>
      <c r="D44" s="338"/>
      <c r="E44" s="291">
        <f t="shared" si="0"/>
        <v>0</v>
      </c>
    </row>
    <row r="45" spans="1:5" ht="12.75">
      <c r="A45" s="78"/>
      <c r="B45" t="s">
        <v>281</v>
      </c>
      <c r="C45" s="338"/>
      <c r="D45" s="338"/>
      <c r="E45" s="291">
        <f t="shared" si="0"/>
        <v>0</v>
      </c>
    </row>
    <row r="46" spans="1:5" ht="12.75">
      <c r="A46" s="78"/>
      <c r="B46" t="s">
        <v>281</v>
      </c>
      <c r="C46" s="338"/>
      <c r="D46" s="338"/>
      <c r="E46" s="291">
        <f t="shared" si="0"/>
        <v>0</v>
      </c>
    </row>
    <row r="47" spans="1:5" ht="12.75">
      <c r="A47" s="78"/>
      <c r="B47" t="s">
        <v>281</v>
      </c>
      <c r="C47" s="338"/>
      <c r="D47" s="338"/>
      <c r="E47" s="291">
        <f t="shared" si="0"/>
        <v>0</v>
      </c>
    </row>
    <row r="48" spans="1:5" ht="12.75">
      <c r="A48" s="78"/>
      <c r="B48" t="s">
        <v>281</v>
      </c>
      <c r="C48" s="338"/>
      <c r="D48" s="338"/>
      <c r="E48" s="291">
        <f t="shared" si="0"/>
        <v>0</v>
      </c>
    </row>
    <row r="49" spans="1:5" ht="12.75">
      <c r="A49" s="78"/>
      <c r="B49" t="s">
        <v>281</v>
      </c>
      <c r="C49" s="338"/>
      <c r="D49" s="338"/>
      <c r="E49" s="291">
        <f t="shared" si="0"/>
        <v>0</v>
      </c>
    </row>
    <row r="50" spans="1:5" ht="12.75">
      <c r="A50" s="78"/>
      <c r="B50" t="s">
        <v>281</v>
      </c>
      <c r="C50" s="338"/>
      <c r="D50" s="338"/>
      <c r="E50" s="291">
        <f t="shared" si="0"/>
        <v>0</v>
      </c>
    </row>
    <row r="51" spans="1:5" ht="12.75">
      <c r="A51" s="78"/>
      <c r="B51" t="s">
        <v>281</v>
      </c>
      <c r="C51" s="338"/>
      <c r="D51" s="338"/>
      <c r="E51" s="291">
        <f t="shared" si="0"/>
        <v>0</v>
      </c>
    </row>
    <row r="52" spans="1:5" ht="12.75">
      <c r="A52" s="78"/>
      <c r="B52" t="s">
        <v>281</v>
      </c>
      <c r="C52" s="338"/>
      <c r="D52" s="338"/>
      <c r="E52" s="291">
        <f t="shared" si="0"/>
        <v>0</v>
      </c>
    </row>
    <row r="53" spans="1:5" ht="12.75">
      <c r="A53" s="78"/>
      <c r="B53" t="s">
        <v>281</v>
      </c>
      <c r="C53" s="338"/>
      <c r="D53" s="338"/>
      <c r="E53" s="321"/>
    </row>
    <row r="54" spans="1:5" ht="12.75">
      <c r="A54" s="81" t="s">
        <v>260</v>
      </c>
      <c r="B54" t="s">
        <v>284</v>
      </c>
      <c r="C54" s="291">
        <f>SUM(C15:C53)</f>
        <v>0</v>
      </c>
      <c r="D54" s="291">
        <f>SUM(D15:D53)</f>
        <v>0</v>
      </c>
      <c r="E54" s="291">
        <f>SUM(E15:E53)</f>
        <v>0</v>
      </c>
    </row>
    <row r="55" ht="12.75">
      <c r="A55" s="78"/>
    </row>
    <row r="56" ht="12.75">
      <c r="A56" s="78" t="s">
        <v>262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234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313</v>
      </c>
      <c r="B96" s="319"/>
      <c r="C96" s="370">
        <f>C54-C95</f>
        <v>0</v>
      </c>
      <c r="D96" s="370">
        <f>D54-D95</f>
        <v>0</v>
      </c>
      <c r="E96" s="370">
        <f>E54-E95</f>
        <v>0</v>
      </c>
    </row>
    <row r="97" spans="1:5" ht="12.75">
      <c r="A97" s="318" t="s">
        <v>260</v>
      </c>
      <c r="B97" s="319"/>
      <c r="C97" s="370">
        <f>C95+C96</f>
        <v>0</v>
      </c>
      <c r="D97" s="370">
        <f>D95+D96</f>
        <v>0</v>
      </c>
      <c r="E97" s="370">
        <f>E95+E96</f>
        <v>0</v>
      </c>
    </row>
    <row r="98" ht="12.75">
      <c r="A98" s="78"/>
    </row>
    <row r="99" ht="12.75">
      <c r="A99" s="78" t="s">
        <v>235</v>
      </c>
    </row>
    <row r="100" spans="1:5" ht="12.75">
      <c r="A100" s="78" t="s">
        <v>236</v>
      </c>
      <c r="B100" s="8" t="s">
        <v>282</v>
      </c>
      <c r="C100" s="338"/>
      <c r="D100" s="338"/>
      <c r="E100" s="291">
        <f>C100-D100</f>
        <v>0</v>
      </c>
    </row>
    <row r="101" spans="1:5" ht="12.75">
      <c r="A101" s="82" t="s">
        <v>242</v>
      </c>
      <c r="B101" s="8" t="s">
        <v>282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237</v>
      </c>
      <c r="B102" s="8" t="s">
        <v>282</v>
      </c>
      <c r="C102" s="338"/>
      <c r="D102" s="338"/>
      <c r="E102" s="291">
        <f t="shared" si="7"/>
        <v>0</v>
      </c>
    </row>
    <row r="103" spans="1:5" ht="12.75">
      <c r="A103" s="82" t="s">
        <v>387</v>
      </c>
      <c r="B103" s="8" t="s">
        <v>282</v>
      </c>
      <c r="C103" s="338"/>
      <c r="D103" s="338"/>
      <c r="E103" s="291">
        <f t="shared" si="7"/>
        <v>0</v>
      </c>
    </row>
    <row r="104" spans="1:5" ht="12.75">
      <c r="A104" s="78" t="s">
        <v>303</v>
      </c>
      <c r="B104" s="8" t="s">
        <v>282</v>
      </c>
      <c r="C104" s="338"/>
      <c r="D104" s="338"/>
      <c r="E104" s="291">
        <f t="shared" si="7"/>
        <v>0</v>
      </c>
    </row>
    <row r="105" spans="1:5" ht="12.75">
      <c r="A105" s="78" t="s">
        <v>587</v>
      </c>
      <c r="B105" s="8" t="s">
        <v>282</v>
      </c>
      <c r="C105" s="338"/>
      <c r="D105" s="338"/>
      <c r="E105" s="291">
        <f t="shared" si="7"/>
        <v>0</v>
      </c>
    </row>
    <row r="106" spans="1:5" ht="12.75">
      <c r="A106" s="78" t="s">
        <v>304</v>
      </c>
      <c r="B106" s="8" t="s">
        <v>282</v>
      </c>
      <c r="C106" s="338"/>
      <c r="D106" s="338"/>
      <c r="E106" s="291">
        <f t="shared" si="7"/>
        <v>0</v>
      </c>
    </row>
    <row r="107" spans="1:5" ht="12.75">
      <c r="A107" s="78" t="s">
        <v>257</v>
      </c>
      <c r="B107" s="8" t="s">
        <v>282</v>
      </c>
      <c r="C107" s="338"/>
      <c r="D107" s="338"/>
      <c r="E107" s="291">
        <f t="shared" si="7"/>
        <v>0</v>
      </c>
    </row>
    <row r="108" spans="1:5" ht="12.75">
      <c r="A108" s="78" t="s">
        <v>258</v>
      </c>
      <c r="B108" s="8" t="s">
        <v>282</v>
      </c>
      <c r="C108" s="338"/>
      <c r="D108" s="338"/>
      <c r="E108" s="291">
        <f t="shared" si="7"/>
        <v>0</v>
      </c>
    </row>
    <row r="109" spans="1:5" ht="12.75">
      <c r="A109" s="78" t="s">
        <v>259</v>
      </c>
      <c r="B109" s="8" t="s">
        <v>282</v>
      </c>
      <c r="C109" s="338"/>
      <c r="D109" s="338"/>
      <c r="E109" s="291">
        <f t="shared" si="7"/>
        <v>0</v>
      </c>
    </row>
    <row r="110" spans="1:5" ht="12.75">
      <c r="A110" s="79" t="s">
        <v>315</v>
      </c>
      <c r="B110" s="8" t="s">
        <v>282</v>
      </c>
      <c r="C110" s="338"/>
      <c r="D110" s="338"/>
      <c r="E110" s="291"/>
    </row>
    <row r="111" spans="1:5" ht="12.75">
      <c r="A111" s="78" t="s">
        <v>449</v>
      </c>
      <c r="B111" s="8" t="s">
        <v>282</v>
      </c>
      <c r="C111" s="338"/>
      <c r="D111" s="338"/>
      <c r="E111" s="291">
        <f t="shared" si="7"/>
        <v>0</v>
      </c>
    </row>
    <row r="112" spans="1:5" ht="12.75">
      <c r="A112" s="78" t="s">
        <v>594</v>
      </c>
      <c r="B112" s="8" t="s">
        <v>282</v>
      </c>
      <c r="C112" s="338">
        <v>5252</v>
      </c>
      <c r="D112" s="338"/>
      <c r="E112" s="291">
        <f t="shared" si="7"/>
        <v>5252</v>
      </c>
    </row>
    <row r="113" spans="2:5" ht="12.75">
      <c r="B113" s="8" t="s">
        <v>282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282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282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282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282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282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282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282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282</v>
      </c>
      <c r="C121" s="338"/>
      <c r="D121" s="338"/>
      <c r="E121" s="321">
        <f t="shared" si="7"/>
        <v>0</v>
      </c>
    </row>
    <row r="122" spans="1:5" ht="12.75">
      <c r="A122" s="78" t="s">
        <v>261</v>
      </c>
      <c r="B122" s="8" t="s">
        <v>284</v>
      </c>
      <c r="C122" s="291">
        <f>SUM(C100:C121)</f>
        <v>5252</v>
      </c>
      <c r="D122" s="291">
        <f>SUM(D100:D121)</f>
        <v>0</v>
      </c>
      <c r="E122" s="291">
        <f>SUM(E100:E121)</f>
        <v>5252</v>
      </c>
    </row>
    <row r="123" ht="12.75">
      <c r="A123" s="78"/>
    </row>
    <row r="124" ht="12.75">
      <c r="A124" s="78" t="s">
        <v>264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Allowance for deferred restructuring costs</v>
      </c>
      <c r="B137" s="314"/>
      <c r="C137" s="291">
        <f t="shared" si="8"/>
        <v>5252</v>
      </c>
      <c r="D137" s="291">
        <f t="shared" si="8"/>
        <v>0</v>
      </c>
      <c r="E137" s="291">
        <f t="shared" si="8"/>
        <v>5252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312</v>
      </c>
      <c r="B146" s="314"/>
      <c r="C146" s="291">
        <f>SUM(C125:C145)</f>
        <v>5252</v>
      </c>
      <c r="D146" s="291">
        <f>SUM(D125:D145)</f>
        <v>0</v>
      </c>
      <c r="E146" s="291">
        <f>SUM(E125:E145)</f>
        <v>5252</v>
      </c>
    </row>
    <row r="147" spans="1:5" ht="12.75">
      <c r="A147" s="320" t="s">
        <v>311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261</v>
      </c>
      <c r="B148" s="314"/>
      <c r="C148" s="291">
        <f>C146+C147</f>
        <v>5252</v>
      </c>
      <c r="D148" s="291">
        <f>D146+D147</f>
        <v>0</v>
      </c>
      <c r="E148" s="291">
        <f>E146+E147</f>
        <v>5252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8">
      <selection activeCell="C58" sqref="C5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2" t="s">
        <v>167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188</v>
      </c>
      <c r="B2" s="407"/>
      <c r="C2" s="407"/>
      <c r="D2" s="407"/>
      <c r="E2" s="407"/>
      <c r="F2" s="409" t="str">
        <f>REGINFO!E1</f>
        <v>Version 2004.1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454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   Asphodel-Norwood Distribution Inc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2004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506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453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193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440</v>
      </c>
      <c r="B10" s="383"/>
      <c r="C10" s="383" t="s">
        <v>192</v>
      </c>
      <c r="D10" s="383"/>
      <c r="E10" s="383" t="s">
        <v>192</v>
      </c>
      <c r="F10" s="384" t="s">
        <v>444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200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189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439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438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445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395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190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191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194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497</v>
      </c>
      <c r="B21" s="476" t="s">
        <v>462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498</v>
      </c>
      <c r="B22" s="477" t="s">
        <v>463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5" t="s">
        <v>495</v>
      </c>
      <c r="B23" s="526"/>
      <c r="C23" s="526"/>
      <c r="D23" s="526"/>
      <c r="E23" s="526"/>
      <c r="F23" s="526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507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523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193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452</v>
      </c>
      <c r="B28" s="383"/>
      <c r="C28" s="441" t="s">
        <v>192</v>
      </c>
      <c r="D28" s="441" t="s">
        <v>192</v>
      </c>
      <c r="E28" s="441" t="s">
        <v>192</v>
      </c>
      <c r="F28" s="442" t="s">
        <v>394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200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189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199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438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42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395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190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191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194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502</v>
      </c>
      <c r="B39" s="478" t="s">
        <v>464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503</v>
      </c>
      <c r="B40" s="477" t="s">
        <v>465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27" t="s">
        <v>501</v>
      </c>
      <c r="B41" s="528"/>
      <c r="C41" s="528"/>
      <c r="D41" s="528"/>
      <c r="E41" s="528"/>
      <c r="F41" s="528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29"/>
      <c r="B42" s="529"/>
      <c r="C42" s="529"/>
      <c r="D42" s="529"/>
      <c r="E42" s="529"/>
      <c r="F42" s="529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508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496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193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192</v>
      </c>
      <c r="D46" s="434" t="s">
        <v>192</v>
      </c>
      <c r="E46" s="434" t="s">
        <v>192</v>
      </c>
      <c r="F46" s="435" t="s">
        <v>394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200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189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199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438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42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395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190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191</v>
      </c>
      <c r="B55" s="265"/>
      <c r="C55" s="421">
        <v>0.002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194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521</v>
      </c>
      <c r="B57" s="478" t="s">
        <v>464</v>
      </c>
      <c r="C57" s="426">
        <v>0</v>
      </c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522</v>
      </c>
      <c r="B58" s="477" t="s">
        <v>465</v>
      </c>
      <c r="C58" s="427">
        <v>575800</v>
      </c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5" t="s">
        <v>524</v>
      </c>
      <c r="B59" s="530"/>
      <c r="C59" s="530"/>
      <c r="D59" s="530"/>
      <c r="E59" s="530"/>
      <c r="F59" s="530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1"/>
      <c r="B60" s="531"/>
      <c r="C60" s="531"/>
      <c r="D60" s="531"/>
      <c r="E60" s="531"/>
      <c r="F60" s="531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166</v>
      </c>
      <c r="C1" s="8"/>
    </row>
    <row r="2" spans="2:4" ht="12.75">
      <c r="B2" s="2" t="s">
        <v>319</v>
      </c>
      <c r="C2" s="8"/>
      <c r="D2" s="27" t="str">
        <f>REGINFO!E1</f>
        <v>Version 2004.1</v>
      </c>
    </row>
    <row r="3" spans="2:4" ht="12.75">
      <c r="B3" s="2" t="str">
        <f>REGINFO!A3</f>
        <v>Utility Name:    Asphodel-Norwood Distribution Inc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320</v>
      </c>
      <c r="C9" s="266"/>
      <c r="D9" s="266"/>
      <c r="E9" s="266"/>
    </row>
    <row r="10" spans="1:5" ht="12.75">
      <c r="A10" s="270"/>
      <c r="B10" s="270" t="s">
        <v>342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583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321</v>
      </c>
      <c r="B14" s="270" t="s">
        <v>526</v>
      </c>
      <c r="C14" s="273" t="s">
        <v>596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322</v>
      </c>
      <c r="B16" s="270" t="s">
        <v>527</v>
      </c>
      <c r="C16" s="273" t="s">
        <v>596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323</v>
      </c>
      <c r="B18" s="270" t="s">
        <v>164</v>
      </c>
      <c r="C18" s="273" t="s">
        <v>596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324</v>
      </c>
      <c r="B20" s="270" t="s">
        <v>528</v>
      </c>
      <c r="C20" s="273" t="s">
        <v>596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325</v>
      </c>
      <c r="B22" s="270" t="s">
        <v>530</v>
      </c>
      <c r="C22" s="273" t="s">
        <v>596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327</v>
      </c>
      <c r="B24" s="270" t="s">
        <v>529</v>
      </c>
      <c r="C24" s="273" t="s">
        <v>596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353</v>
      </c>
      <c r="B26" s="270" t="s">
        <v>326</v>
      </c>
      <c r="C26" s="273" t="s">
        <v>596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533</v>
      </c>
      <c r="B28" s="270" t="s">
        <v>531</v>
      </c>
      <c r="C28" s="273" t="s">
        <v>596</v>
      </c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354</v>
      </c>
      <c r="B30" s="270" t="s">
        <v>532</v>
      </c>
      <c r="C30" s="273" t="s">
        <v>596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328</v>
      </c>
      <c r="B32" s="275" t="s">
        <v>536</v>
      </c>
      <c r="C32" s="273"/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534</v>
      </c>
      <c r="B34" s="270" t="s">
        <v>584</v>
      </c>
      <c r="C34" s="273" t="s">
        <v>596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535</v>
      </c>
      <c r="B36" s="92" t="s">
        <v>537</v>
      </c>
      <c r="D36" s="266"/>
      <c r="E36" s="266"/>
    </row>
    <row r="37" spans="1:5" ht="13.5" thickBot="1">
      <c r="A37" s="266"/>
      <c r="B37" s="486">
        <v>2001</v>
      </c>
      <c r="C37" s="273" t="s">
        <v>596</v>
      </c>
      <c r="D37" s="266"/>
      <c r="E37" s="266"/>
    </row>
    <row r="38" spans="2:5" ht="13.5" thickBot="1">
      <c r="B38" s="104">
        <v>2002</v>
      </c>
      <c r="C38" s="273"/>
      <c r="D38" s="266"/>
      <c r="E38" s="266"/>
    </row>
    <row r="39" spans="1:5" ht="13.5" thickBot="1">
      <c r="A39" s="266"/>
      <c r="B39" s="486">
        <v>2003</v>
      </c>
      <c r="C39" s="273" t="s">
        <v>596</v>
      </c>
      <c r="D39" s="266"/>
      <c r="E39" s="266"/>
    </row>
    <row r="40" spans="1:5" ht="13.5" thickBot="1">
      <c r="A40" s="266"/>
      <c r="B40" s="486">
        <v>2004</v>
      </c>
      <c r="C40" s="273"/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540</v>
      </c>
      <c r="B42" s="270" t="s">
        <v>541</v>
      </c>
      <c r="C42" s="490" t="s">
        <v>596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166</v>
      </c>
    </row>
    <row r="2" spans="2:3" ht="12.75">
      <c r="B2" s="270" t="s">
        <v>531</v>
      </c>
      <c r="C2" s="272" t="str">
        <f>REGINFO!E1</f>
        <v>Version 2004.1</v>
      </c>
    </row>
    <row r="3" spans="2:3" ht="12.75">
      <c r="B3" s="270" t="str">
        <f>REGINFO!A3</f>
        <v>Utility Name:    Asphodel-Norwood Distribution Inc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2" ht="12.75">
      <c r="A6" s="270">
        <v>1</v>
      </c>
      <c r="B6" s="270" t="s">
        <v>316</v>
      </c>
    </row>
    <row r="7" spans="2:3" ht="12.75">
      <c r="B7" s="270" t="s">
        <v>195</v>
      </c>
      <c r="C7" s="266" t="s">
        <v>595</v>
      </c>
    </row>
    <row r="10" ht="12.75">
      <c r="B10" s="270" t="s">
        <v>582</v>
      </c>
    </row>
    <row r="11" ht="12.75">
      <c r="B11" s="270"/>
    </row>
    <row r="12" spans="1:2" ht="12.75">
      <c r="A12" s="270">
        <v>2</v>
      </c>
      <c r="B12" s="270" t="s">
        <v>207</v>
      </c>
    </row>
    <row r="13" ht="12.75">
      <c r="B13" s="270" t="s">
        <v>195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208</v>
      </c>
    </row>
    <row r="18" ht="12.75">
      <c r="B18" s="270" t="s">
        <v>195</v>
      </c>
    </row>
    <row r="22" spans="1:2" ht="25.5">
      <c r="A22" s="270">
        <v>4</v>
      </c>
      <c r="B22" s="275" t="s">
        <v>206</v>
      </c>
    </row>
    <row r="23" ht="12.75">
      <c r="B23" s="270" t="s">
        <v>195</v>
      </c>
    </row>
    <row r="26" spans="1:2" ht="25.5">
      <c r="A26" s="270">
        <v>5</v>
      </c>
      <c r="B26" s="275" t="s">
        <v>355</v>
      </c>
    </row>
    <row r="27" ht="12.75">
      <c r="B27" s="270" t="s">
        <v>195</v>
      </c>
    </row>
    <row r="30" spans="1:2" ht="25.5">
      <c r="A30" s="270">
        <v>6</v>
      </c>
      <c r="B30" s="275" t="s">
        <v>538</v>
      </c>
    </row>
    <row r="31" ht="12.75">
      <c r="B31" s="270" t="s">
        <v>195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539</v>
      </c>
      <c r="C35" s="2" t="s">
        <v>595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195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5" t="s">
        <v>424</v>
      </c>
    </row>
    <row r="40" spans="2:3" ht="12.75">
      <c r="B40" s="270" t="s">
        <v>195</v>
      </c>
      <c r="C40" s="266" t="s">
        <v>595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7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168</v>
      </c>
    </row>
    <row r="2" spans="1:2" ht="12.75">
      <c r="A2" s="2" t="s">
        <v>183</v>
      </c>
      <c r="B2" s="2" t="s">
        <v>182</v>
      </c>
    </row>
    <row r="3" spans="1:15" ht="12.75">
      <c r="A3" s="2" t="str">
        <f>REGINFO!A3</f>
        <v>Utility Name:    Asphodel-Norwood Distribution Inc</v>
      </c>
      <c r="O3" s="489" t="str">
        <f>REGINFO!E1</f>
        <v>Version 2004.1</v>
      </c>
    </row>
    <row r="4" spans="1:15" ht="12.75">
      <c r="A4" s="2" t="str">
        <f>REGINFO!A4</f>
        <v>Reporting period:   2004</v>
      </c>
      <c r="O4" s="489" t="str">
        <f>REGINFO!E2</f>
        <v>RRR # 2.1.8</v>
      </c>
    </row>
    <row r="5" spans="3:7" ht="12.75">
      <c r="C5" s="491" t="s">
        <v>478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173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174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184</v>
      </c>
    </row>
    <row r="11" spans="1:8" ht="12.75">
      <c r="A11" s="2"/>
      <c r="F11" s="40"/>
      <c r="H11" s="40"/>
    </row>
    <row r="12" spans="1:15" ht="20.25" customHeight="1">
      <c r="A12" s="92" t="s">
        <v>185</v>
      </c>
      <c r="B12" s="8" t="s">
        <v>284</v>
      </c>
      <c r="C12" s="463"/>
      <c r="D12" s="458"/>
      <c r="E12" s="465">
        <f>C20</f>
        <v>2146</v>
      </c>
      <c r="F12" s="493"/>
      <c r="G12" s="465">
        <f>E20</f>
        <v>2091</v>
      </c>
      <c r="H12" s="493"/>
      <c r="I12" s="465">
        <f>G20</f>
        <v>1354</v>
      </c>
      <c r="J12" s="458"/>
      <c r="K12" s="465">
        <f>I20</f>
        <v>-2030.560606060606</v>
      </c>
      <c r="L12" s="458"/>
      <c r="M12" s="458">
        <f>K20</f>
        <v>-2030.560606060606</v>
      </c>
      <c r="N12" s="458"/>
      <c r="O12" s="465">
        <f>C12</f>
        <v>0</v>
      </c>
    </row>
    <row r="13" spans="1:15" ht="25.5">
      <c r="A13" s="92" t="s">
        <v>577</v>
      </c>
      <c r="B13" s="75" t="s">
        <v>287</v>
      </c>
      <c r="C13" s="464">
        <v>2146</v>
      </c>
      <c r="D13" s="459"/>
      <c r="E13" s="464">
        <v>9409</v>
      </c>
      <c r="F13" s="107" t="s">
        <v>180</v>
      </c>
      <c r="G13" s="492">
        <v>11336</v>
      </c>
      <c r="H13" s="107"/>
      <c r="I13" s="492">
        <v>9636</v>
      </c>
      <c r="J13" s="459"/>
      <c r="K13" s="464">
        <v>0</v>
      </c>
      <c r="L13" s="459"/>
      <c r="M13" s="459"/>
      <c r="N13" s="459"/>
      <c r="O13" s="465">
        <f aca="true" t="shared" si="0" ref="O13:O18">SUM(C13:N13)</f>
        <v>32527</v>
      </c>
    </row>
    <row r="14" spans="1:15" ht="25.5">
      <c r="A14" s="92" t="s">
        <v>575</v>
      </c>
      <c r="B14" s="75" t="s">
        <v>287</v>
      </c>
      <c r="C14" s="464"/>
      <c r="D14" s="459"/>
      <c r="E14" s="464">
        <v>-2111</v>
      </c>
      <c r="F14" s="107"/>
      <c r="G14" s="464">
        <v>-1153</v>
      </c>
      <c r="H14" s="107"/>
      <c r="I14" s="492">
        <f>TAXCALC!I130</f>
        <v>-1114.060606060606</v>
      </c>
      <c r="J14" s="459"/>
      <c r="K14" s="492">
        <v>0</v>
      </c>
      <c r="L14" s="459"/>
      <c r="M14" s="459"/>
      <c r="N14" s="459"/>
      <c r="O14" s="465">
        <f t="shared" si="0"/>
        <v>-4378.060606060606</v>
      </c>
    </row>
    <row r="15" spans="1:15" ht="25.5">
      <c r="A15" s="92" t="s">
        <v>576</v>
      </c>
      <c r="B15" s="75" t="s">
        <v>287</v>
      </c>
      <c r="C15" s="464"/>
      <c r="D15" s="459"/>
      <c r="E15" s="464">
        <v>152</v>
      </c>
      <c r="F15" s="107"/>
      <c r="G15" s="464">
        <v>0</v>
      </c>
      <c r="H15" s="107"/>
      <c r="I15" s="492">
        <f>TAXCALC!I179</f>
        <v>-2196.5</v>
      </c>
      <c r="J15" s="459"/>
      <c r="K15" s="492">
        <v>0</v>
      </c>
      <c r="L15" s="459"/>
      <c r="M15" s="459"/>
      <c r="N15" s="459"/>
      <c r="O15" s="465">
        <f t="shared" si="0"/>
        <v>-2044.5</v>
      </c>
    </row>
    <row r="16" spans="1:15" ht="25.5">
      <c r="A16" s="92" t="s">
        <v>578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506" t="s">
        <v>357</v>
      </c>
      <c r="B17" s="75" t="s">
        <v>287</v>
      </c>
      <c r="C17" s="464"/>
      <c r="D17" s="459"/>
      <c r="E17" s="464"/>
      <c r="F17" s="107"/>
      <c r="G17" s="464"/>
      <c r="H17" s="107"/>
      <c r="I17" s="464"/>
      <c r="J17" s="459"/>
      <c r="K17" s="464"/>
      <c r="L17" s="459"/>
      <c r="M17" s="459"/>
      <c r="N17" s="459"/>
      <c r="O17" s="465">
        <f t="shared" si="0"/>
        <v>0</v>
      </c>
    </row>
    <row r="18" spans="1:15" ht="24.75" customHeight="1">
      <c r="A18" s="92" t="s">
        <v>579</v>
      </c>
      <c r="B18" s="75" t="s">
        <v>282</v>
      </c>
      <c r="C18" s="492">
        <v>0</v>
      </c>
      <c r="D18" s="459"/>
      <c r="E18" s="464">
        <v>-7505</v>
      </c>
      <c r="F18" s="107"/>
      <c r="G18" s="464">
        <v>-10920</v>
      </c>
      <c r="H18" s="107"/>
      <c r="I18" s="464">
        <v>-9710</v>
      </c>
      <c r="J18" s="459"/>
      <c r="K18" s="464"/>
      <c r="L18" s="459"/>
      <c r="M18" s="459"/>
      <c r="N18" s="459"/>
      <c r="O18" s="465">
        <f t="shared" si="0"/>
        <v>-28135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570</v>
      </c>
      <c r="B20" s="40"/>
      <c r="C20" s="466">
        <f>SUM(C12:C18)</f>
        <v>2146</v>
      </c>
      <c r="D20" s="493"/>
      <c r="E20" s="466">
        <f>SUM(E12:E18)</f>
        <v>2091</v>
      </c>
      <c r="F20" s="493"/>
      <c r="G20" s="466">
        <f>SUM(G12:G18)</f>
        <v>1354</v>
      </c>
      <c r="H20" s="493"/>
      <c r="I20" s="466">
        <f>SUM(I12:I18)</f>
        <v>-2030.560606060606</v>
      </c>
      <c r="J20" s="458"/>
      <c r="K20" s="466">
        <f>SUM(K12:K18)</f>
        <v>-2030.560606060606</v>
      </c>
      <c r="L20" s="458"/>
      <c r="M20" s="460">
        <f>SUM(M12:M19)</f>
        <v>-2030.560606060606</v>
      </c>
      <c r="N20" s="458"/>
      <c r="O20" s="466">
        <f>SUM(O12:O18)</f>
        <v>-2030.5606060606078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580</v>
      </c>
      <c r="B22" s="75" t="s">
        <v>282</v>
      </c>
      <c r="C22" s="507">
        <v>0</v>
      </c>
      <c r="D22" s="107"/>
      <c r="E22" s="507">
        <v>0</v>
      </c>
      <c r="F22" s="107"/>
      <c r="G22" s="507">
        <v>0</v>
      </c>
      <c r="H22" s="107"/>
      <c r="I22" s="507">
        <v>0</v>
      </c>
      <c r="J22" s="459"/>
      <c r="K22" s="507">
        <v>0</v>
      </c>
      <c r="L22" s="459"/>
      <c r="M22" s="459"/>
      <c r="N22" s="459"/>
      <c r="O22" s="508">
        <f>C22+E22+G22+I22+K22+M22</f>
        <v>0</v>
      </c>
    </row>
    <row r="23" spans="1:15" ht="13.5" thickTop="1">
      <c r="A23" s="509"/>
      <c r="B23" s="510"/>
      <c r="C23" s="516"/>
      <c r="D23" s="517"/>
      <c r="E23" s="516"/>
      <c r="F23" s="517"/>
      <c r="G23" s="516"/>
      <c r="H23" s="517"/>
      <c r="I23" s="516"/>
      <c r="J23" s="510"/>
      <c r="K23" s="516"/>
      <c r="L23" s="211"/>
      <c r="M23" s="518"/>
      <c r="N23" s="211"/>
      <c r="O23" s="518"/>
    </row>
    <row r="24" spans="1:15" ht="12.75">
      <c r="A24" s="509" t="s">
        <v>187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1"/>
      <c r="L24" s="211"/>
      <c r="M24" s="211"/>
      <c r="N24" s="211"/>
      <c r="O24" s="211"/>
    </row>
    <row r="25" spans="1:15" ht="12.75">
      <c r="A25" s="510" t="s">
        <v>197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211"/>
      <c r="M25" s="211"/>
      <c r="N25" s="211"/>
      <c r="O25" s="211"/>
    </row>
    <row r="26" spans="1:15" ht="12.75">
      <c r="A26" s="512" t="s">
        <v>198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211"/>
      <c r="M26" s="211"/>
      <c r="N26" s="211"/>
      <c r="O26" s="211"/>
    </row>
    <row r="27" spans="1:15" ht="12.75">
      <c r="A27" s="510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211"/>
      <c r="M27" s="211"/>
      <c r="N27" s="211"/>
      <c r="O27" s="211"/>
    </row>
    <row r="28" spans="1:15" ht="12.75">
      <c r="A28" s="509" t="s">
        <v>542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211"/>
      <c r="M28" s="211"/>
      <c r="N28" s="211"/>
      <c r="O28" s="211"/>
    </row>
    <row r="29" spans="1:15" ht="12.75">
      <c r="A29" s="535" t="s">
        <v>597</v>
      </c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</row>
    <row r="30" spans="1:15" ht="12.75">
      <c r="A30" s="536"/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</row>
    <row r="31" spans="1:15" ht="12.75">
      <c r="A31" s="536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</row>
    <row r="32" spans="1:15" ht="12.75">
      <c r="A32" s="510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211"/>
      <c r="M32" s="211"/>
      <c r="N32" s="211"/>
      <c r="O32" s="211"/>
    </row>
    <row r="33" spans="1:19" ht="12.75">
      <c r="A33" s="532" t="s">
        <v>1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494"/>
      <c r="Q33" s="494"/>
      <c r="R33" s="494"/>
      <c r="S33" s="494"/>
    </row>
    <row r="34" spans="1:19" ht="12.75">
      <c r="A34" s="534" t="s">
        <v>566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494"/>
      <c r="Q34" s="494"/>
      <c r="R34" s="494"/>
      <c r="S34" s="494"/>
    </row>
    <row r="35" spans="1:19" ht="12.75">
      <c r="A35" s="513" t="s">
        <v>567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94"/>
      <c r="Q35" s="494"/>
      <c r="R35" s="494"/>
      <c r="S35" s="494"/>
    </row>
    <row r="36" spans="1:19" ht="12.75">
      <c r="A36" s="513" t="s">
        <v>568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94"/>
      <c r="Q36" s="494"/>
      <c r="R36" s="494"/>
      <c r="S36" s="494"/>
    </row>
    <row r="37" spans="1:19" ht="12.75">
      <c r="A37" s="513" t="s">
        <v>571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494"/>
      <c r="Q37" s="494"/>
      <c r="R37" s="494"/>
      <c r="S37" s="494"/>
    </row>
    <row r="38" spans="1:19" ht="12.75">
      <c r="A38" s="513" t="s">
        <v>572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494"/>
      <c r="Q38" s="494"/>
      <c r="R38" s="494"/>
      <c r="S38" s="494"/>
    </row>
    <row r="39" spans="1:19" ht="12.75">
      <c r="A39" s="513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494"/>
      <c r="Q39" s="494"/>
      <c r="R39" s="494"/>
      <c r="S39" s="494"/>
    </row>
    <row r="40" spans="1:15" ht="12.75">
      <c r="A40" s="515" t="s">
        <v>2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211"/>
      <c r="M40" s="211"/>
      <c r="N40" s="211"/>
      <c r="O40" s="211"/>
    </row>
    <row r="41" spans="1:15" ht="12.75">
      <c r="A41" s="515"/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211"/>
      <c r="M41" s="211"/>
      <c r="N41" s="211"/>
      <c r="O41" s="211"/>
    </row>
    <row r="42" spans="1:15" ht="12.75">
      <c r="A42" s="515" t="s">
        <v>3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211"/>
      <c r="M42" s="211"/>
      <c r="N42" s="211"/>
      <c r="O42" s="211"/>
    </row>
    <row r="43" spans="1:15" ht="12.75">
      <c r="A43" s="515"/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211"/>
      <c r="M43" s="211"/>
      <c r="N43" s="211"/>
      <c r="O43" s="211"/>
    </row>
    <row r="44" spans="1:15" ht="12.75">
      <c r="A44" s="510" t="s">
        <v>574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211"/>
      <c r="M44" s="211"/>
      <c r="N44" s="211"/>
      <c r="O44" s="211"/>
    </row>
    <row r="45" spans="1:15" ht="12.75">
      <c r="A45" s="515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211"/>
      <c r="M45" s="211"/>
      <c r="N45" s="211"/>
      <c r="O45" s="211"/>
    </row>
    <row r="46" spans="1:15" ht="12.75">
      <c r="A46" s="510" t="s">
        <v>573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211"/>
      <c r="M46" s="211"/>
      <c r="N46" s="211"/>
      <c r="O46" s="211"/>
    </row>
    <row r="47" spans="1:15" ht="12.75">
      <c r="A47" s="510" t="s">
        <v>0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211"/>
      <c r="M47" s="211"/>
      <c r="N47" s="211"/>
      <c r="O47" s="211"/>
    </row>
    <row r="48" spans="1:15" ht="12.75">
      <c r="A48" s="510" t="s">
        <v>4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211"/>
      <c r="M48" s="211"/>
      <c r="N48" s="211"/>
      <c r="O48" s="211"/>
    </row>
    <row r="49" spans="1:15" ht="12.75">
      <c r="A49" s="510" t="s">
        <v>5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211"/>
      <c r="M49" s="211"/>
      <c r="N49" s="211"/>
      <c r="O49" s="211"/>
    </row>
    <row r="50" spans="1:15" ht="12.75">
      <c r="A50" s="510"/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211"/>
      <c r="M50" s="211"/>
      <c r="N50" s="211"/>
      <c r="O50" s="211"/>
    </row>
    <row r="51" spans="1:15" ht="12.75">
      <c r="A51" s="534" t="s">
        <v>581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</row>
    <row r="52" spans="1:15" ht="12.75">
      <c r="A52" s="510" t="s">
        <v>569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211"/>
      <c r="M52" s="211"/>
      <c r="N52" s="211"/>
      <c r="O52" s="211"/>
    </row>
    <row r="53" spans="1:15" ht="12.75">
      <c r="A53" s="510"/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211"/>
      <c r="M53" s="211"/>
      <c r="N53" s="211"/>
      <c r="O53" s="211"/>
    </row>
    <row r="54" spans="1:15" ht="12.75">
      <c r="A54" s="510"/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211"/>
      <c r="M54" s="211"/>
      <c r="N54" s="211"/>
      <c r="O54" s="211"/>
    </row>
    <row r="55" spans="1:15" ht="12.75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211"/>
      <c r="M55" s="211"/>
      <c r="N55" s="211"/>
      <c r="O55" s="211"/>
    </row>
    <row r="56" spans="1:15" ht="12.75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</row>
    <row r="57" spans="1:15" ht="12.75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12.7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</row>
    <row r="59" spans="1:15" ht="12.7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12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</row>
    <row r="62" spans="1:15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</row>
    <row r="63" spans="1:15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 t="s">
        <v>180</v>
      </c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 t="s">
        <v>180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 t="s">
        <v>180</v>
      </c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</sheetData>
  <sheetProtection/>
  <mergeCells count="4">
    <mergeCell ref="A33:O33"/>
    <mergeCell ref="A34:O34"/>
    <mergeCell ref="A51:O51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1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gocoolna</cp:lastModifiedBy>
  <cp:lastPrinted>2005-07-15T22:04:27Z</cp:lastPrinted>
  <dcterms:created xsi:type="dcterms:W3CDTF">2001-11-07T16:15:53Z</dcterms:created>
  <dcterms:modified xsi:type="dcterms:W3CDTF">2011-11-16T16:55:29Z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