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43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'REGINFO'!$F$35</definedName>
    <definedName name="MofF">#REF!</definedName>
    <definedName name="_xlnm.Print_Area" localSheetId="7">'PILs 1562 Calculation'!$A$1:$O$77</definedName>
    <definedName name="_xlnm.Print_Area" localSheetId="0">'REGINFO'!$A$1:$E$73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'TAXREC'!$A$1:$F$159</definedName>
    <definedName name="_xlnm.Print_Area" localSheetId="4">'TAXREC 2'!$A$1:$F$122</definedName>
    <definedName name="_xlnm.Print_Area" localSheetId="5">'TAXREC 3'!$A$1:$F$75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3'!$4:$8</definedName>
    <definedName name="Ratebase">'REGINFO'!$D$32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48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<sst xmlns="http://schemas.openxmlformats.org/spreadsheetml/2006/main" count="878" uniqueCount="503">
  <si>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</si>
  <si>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</si>
  <si>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</si>
  <si>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</si>
  <si>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</si>
  <si>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</si>
  <si>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</si>
  <si>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</si>
  <si>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</si>
  <si>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</si>
  <si>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</si>
  <si>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</si>
  <si>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</si>
  <si>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</si>
  <si>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</si>
  <si>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</si>
  <si>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</si>
  <si>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</si>
  <si>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</si>
  <si>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</si>
  <si>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</si>
  <si>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</si>
  <si>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</si>
  <si>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</si>
  <si>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</si>
  <si>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</si>
  <si>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</si>
  <si>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</si>
  <si>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</si>
  <si>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</si>
  <si>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</si>
  <si>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</si>
  <si>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</si>
  <si>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</si>
  <si>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</si>
  <si>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</si>
  <si>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</si>
  <si>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</si>
  <si>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</si>
  <si>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</si>
  <si>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</si>
  <si>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</si>
  <si>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</si>
  <si>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</si>
  <si>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</si>
  <si>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</si>
  <si>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</si>
  <si>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</si>
  <si>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</si>
  <si>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</si>
  <si>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</si>
  <si>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</si>
  <si>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</si>
  <si>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</si>
  <si>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</si>
  <si>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</si>
  <si>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</si>
  <si>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</si>
  <si>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</si>
  <si>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</si>
  <si>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</si>
  <si>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</si>
  <si>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</si>
  <si>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</si>
  <si>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</si>
  <si>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</si>
  <si>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</si>
  <si>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</si>
  <si>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</si>
  <si>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</si>
  <si>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</si>
  <si>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</si>
  <si>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</si>
  <si>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</si>
  <si>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</si>
  <si>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</si>
  <si>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</si>
  <si>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</si>
  <si>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</si>
  <si>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</si>
  <si>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</si>
  <si>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</si>
  <si>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</si>
  <si>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</si>
  <si>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</si>
  <si>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</si>
  <si>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</si>
  <si>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</si>
  <si>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</si>
  <si>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</si>
  <si>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</si>
  <si>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</si>
  <si>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</si>
  <si>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</si>
  <si>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</si>
  <si>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</si>
  <si>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</si>
  <si>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</si>
  <si>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</si>
  <si>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</si>
  <si>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</si>
  <si>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</si>
  <si>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</si>
  <si>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</si>
  <si>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</si>
  <si>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</si>
  <si>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</si>
  <si>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</si>
  <si>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</si>
  <si>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</si>
  <si>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</si>
  <si>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</si>
  <si>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</si>
  <si>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</si>
  <si>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</si>
  <si>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</si>
  <si>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</si>
  <si>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</si>
  <si>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</si>
  <si>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</si>
  <si>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</si>
  <si>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</si>
  <si>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</si>
  <si>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</si>
  <si>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</si>
  <si>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</si>
  <si>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</si>
  <si>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</si>
  <si>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</si>
  <si>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</si>
  <si>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</si>
  <si>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</si>
  <si>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</si>
  <si>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</si>
  <si>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</si>
  <si>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</si>
  <si>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</si>
  <si>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</si>
  <si>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</si>
  <si>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</si>
  <si>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</si>
  <si>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</si>
  <si>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</si>
  <si>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</si>
  <si>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</si>
  <si>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</si>
  <si>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</si>
  <si>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</si>
  <si>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</si>
  <si>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</si>
  <si>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</si>
  <si>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</si>
  <si>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</si>
  <si>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</si>
  <si>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</si>
  <si>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</si>
  <si>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</si>
  <si>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</si>
  <si>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</si>
  <si>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</si>
  <si>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</si>
  <si>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</si>
  <si>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</si>
  <si>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</si>
  <si>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</si>
  <si>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</si>
  <si>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</si>
  <si>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</si>
  <si>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</si>
  <si>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</si>
  <si>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</si>
  <si>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</si>
  <si>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</si>
  <si>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</si>
  <si>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</si>
  <si>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</si>
  <si>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</si>
  <si>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</si>
  <si>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</si>
  <si>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</si>
  <si>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</si>
  <si>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</si>
  <si>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</si>
  <si>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</si>
  <si>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</si>
  <si>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</si>
  <si>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</si>
  <si>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</si>
  <si>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</si>
  <si>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</si>
  <si>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</si>
  <si>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</si>
  <si>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</si>
  <si>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</si>
  <si>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</si>
  <si>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</si>
  <si>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</si>
  <si>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</si>
  <si>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</si>
  <si>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</si>
  <si>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</si>
  <si>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</si>
  <si>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</si>
  <si>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</si>
  <si>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</si>
  <si>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</si>
  <si>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</si>
  <si>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</si>
  <si>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</si>
  <si>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</si>
  <si>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</si>
  <si>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</si>
  <si>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</si>
  <si>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</si>
  <si>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</si>
  <si>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</si>
  <si>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</si>
  <si>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</si>
  <si>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</si>
  <si>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</si>
  <si>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</si>
  <si>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</si>
  <si>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</si>
  <si>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</si>
  <si>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</si>
  <si>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</si>
  <si>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</si>
  <si>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</si>
  <si>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</si>
  <si>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</si>
  <si>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</si>
  <si>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</si>
  <si>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</si>
  <si>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</si>
  <si>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</si>
  <si>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</si>
  <si>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</si>
  <si>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</si>
  <si>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</si>
  <si>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</si>
  <si>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</si>
  <si>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</si>
  <si>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</si>
  <si>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</si>
  <si>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</si>
  <si>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</si>
  <si>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</si>
  <si>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</si>
  <si>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</si>
  <si>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</si>
  <si>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</si>
  <si>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</si>
  <si>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</si>
  <si>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</si>
  <si>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</si>
  <si>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</si>
  <si>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</si>
  <si>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</si>
  <si>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</si>
  <si>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</si>
  <si>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</si>
  <si>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</si>
  <si>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</si>
  <si>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</si>
  <si>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</si>
  <si>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</si>
  <si>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</si>
  <si>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</si>
  <si>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</si>
  <si>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</si>
  <si>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</si>
  <si>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</si>
  <si>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</si>
  <si>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</si>
  <si>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</si>
  <si>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</si>
  <si>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</si>
  <si>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</si>
  <si>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</si>
  <si>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</si>
  <si>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</si>
  <si>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</si>
  <si>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</si>
  <si>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</si>
  <si>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</si>
  <si>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</si>
  <si>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</si>
  <si>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</si>
  <si>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</si>
  <si>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</si>
  <si>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</si>
  <si>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</si>
  <si>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</si>
  <si>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</si>
  <si>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</si>
  <si>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</si>
  <si>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</si>
  <si>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</si>
  <si>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</si>
  <si>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</si>
  <si>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</si>
  <si>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</si>
  <si>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</si>
  <si>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</si>
  <si>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</si>
  <si>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</si>
  <si>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</si>
  <si>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</si>
  <si>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</si>
  <si>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</si>
  <si>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</si>
  <si>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</si>
  <si>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</si>
  <si>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</si>
  <si>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</si>
  <si>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</si>
  <si>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</si>
  <si>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</si>
  <si>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</si>
  <si>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</si>
  <si>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</si>
  <si>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</si>
  <si>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</si>
  <si>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</si>
  <si>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</si>
  <si>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</si>
  <si>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</si>
  <si>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</si>
  <si>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</si>
  <si>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</si>
  <si>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</si>
  <si>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</si>
  <si>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</si>
  <si>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</si>
  <si>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</si>
  <si>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</si>
  <si>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</si>
  <si>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</si>
  <si>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</si>
  <si>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</si>
  <si>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</si>
  <si>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</si>
  <si>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</si>
  <si>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</si>
  <si>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</si>
  <si>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</si>
  <si>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</si>
  <si>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</si>
  <si>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</si>
  <si>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</si>
  <si>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</si>
  <si>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</si>
  <si>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</si>
  <si>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</si>
  <si>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</si>
  <si>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</si>
  <si>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</si>
  <si>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</si>
  <si>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</si>
  <si>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</si>
  <si>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</si>
  <si>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</si>
  <si>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</si>
  <si>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</si>
  <si>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</si>
  <si>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</si>
  <si>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</si>
  <si>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</si>
  <si>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</si>
  <si>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</si>
  <si>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</si>
  <si>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</si>
  <si>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</si>
  <si>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</si>
  <si>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</si>
  <si>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</si>
  <si>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</si>
  <si>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</si>
  <si>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</si>
  <si>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</si>
  <si>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</si>
  <si>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</si>
  <si>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</si>
  <si>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</si>
  <si>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</si>
  <si>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</si>
  <si>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</si>
  <si>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</si>
  <si>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</si>
  <si>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</si>
  <si>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</si>
  <si>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</si>
  <si>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</si>
  <si>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</si>
  <si>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</si>
  <si>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</si>
  <si>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</si>
  <si>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</si>
  <si>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</si>
  <si>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</si>
  <si>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</si>
  <si>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</si>
  <si>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</si>
  <si>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</si>
  <si>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</si>
  <si>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</si>
  <si>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</si>
  <si>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</si>
  <si>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</si>
  <si>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</si>
  <si>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</si>
  <si>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</si>
  <si>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</si>
  <si>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</si>
  <si>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</si>
  <si>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</si>
  <si>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</si>
  <si>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</si>
  <si>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</si>
  <si>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</si>
  <si>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</si>
  <si>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</si>
  <si>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</si>
  <si>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</si>
  <si>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</si>
  <si>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</si>
  <si>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</si>
  <si>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</si>
  <si>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</si>
  <si>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</si>
  <si>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</si>
  <si>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</si>
  <si>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</si>
  <si>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</si>
  <si>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</si>
  <si>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</si>
  <si>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</si>
  <si>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</si>
  <si>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</si>
  <si>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</si>
  <si>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</si>
  <si>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</si>
  <si>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</si>
  <si>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</si>
  <si>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</si>
  <si>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</si>
  <si>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</si>
  <si>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</si>
  <si>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</si>
  <si>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</si>
  <si>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</si>
  <si>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</si>
  <si>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</si>
  <si>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</si>
  <si>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</si>
  <si>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</si>
  <si>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</si>
  <si>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</si>
  <si>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Reporting period:  2001</t>
  </si>
  <si>
    <t>12-31-2001</t>
  </si>
  <si>
    <t>Actual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</si>
  <si>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</si>
  <si>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**Exemption amounts must agree with the Board-approved 2001 RAM PILs filing</t>
  </si>
  <si>
    <t>&gt;175,000</t>
  </si>
  <si>
    <t>MAX $5MM</t>
  </si>
  <si>
    <t>MAX $10MM</t>
  </si>
  <si>
    <t>Expected Income Tax Rates for 2001 and Capital Tax Exemptions for 2001</t>
  </si>
  <si>
    <t>Input Information from Utility's Actual 2001 Tax Returns</t>
  </si>
  <si>
    <t>Rates Used in 2002 RAM PILs Applications for 2001 Q4</t>
  </si>
  <si>
    <r>
      <t xml:space="preserve">Ontario Capital Tax Exemption  </t>
    </r>
    <r>
      <rPr>
        <b/>
        <sz val="10"/>
        <color indexed="10"/>
        <rFont val="Arial"/>
        <family val="2"/>
      </rPr>
      <t>*** 2001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</si>
  <si>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2001</t>
    </r>
  </si>
  <si>
    <t>Enter from tax return</t>
  </si>
  <si>
    <t>Capital contributions - s.12(1)(x)</t>
  </si>
  <si>
    <t>Ontario Capital Tax per books</t>
  </si>
  <si>
    <t xml:space="preserve">Ontario Capital Tax per tax return </t>
  </si>
  <si>
    <t>Capital contributions s.13(7.4) Election</t>
  </si>
  <si>
    <t>Less: Regulatory Income Tax reported in the Initial Estimate Column (Cell C60)</t>
  </si>
  <si>
    <t>Less: Ontario Capital Tax reported in the initial estimate column (Cell C72)</t>
  </si>
  <si>
    <t>Less: Federal LCT reported in the initial estimate column  (Cell C84)</t>
  </si>
  <si>
    <t>Interest phased-in  (Cell C37)</t>
  </si>
  <si>
    <t>G-C</t>
  </si>
  <si>
    <t>Prospectus &amp; underwriting fees</t>
  </si>
  <si>
    <t>Capital items expensed - Software expensed per F/S</t>
  </si>
  <si>
    <t>Income not earned on movement of Regulatory A/Cs</t>
  </si>
  <si>
    <t>Deferred cost deductible (market ready)</t>
  </si>
  <si>
    <t>Total deemed interest  (REGINFO CELL D62)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</si>
  <si>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</si>
  <si>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</si>
  <si>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</si>
  <si>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</si>
  <si>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</si>
  <si>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 xml:space="preserve">     Distribution</t>
  </si>
  <si>
    <r>
      <t xml:space="preserve">Income Tax Rate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0"/>
      </rPr>
      <t xml:space="preserve"> Utility's tax return</t>
    </r>
  </si>
  <si>
    <r>
      <t xml:space="preserve">Income Tax Rate used for gross- up </t>
    </r>
    <r>
      <rPr>
        <strike/>
        <sz val="10"/>
        <rFont val="Arial"/>
        <family val="2"/>
      </rPr>
      <t>(exclude surtax)</t>
    </r>
  </si>
  <si>
    <t xml:space="preserve">Balances with application PILs proxy model approved by the Board </t>
  </si>
  <si>
    <t>Municipal Property Taxes</t>
  </si>
  <si>
    <t>Contributions in Aid of Construction</t>
  </si>
  <si>
    <t>Contributions in aid of Construction</t>
  </si>
  <si>
    <t>Limited partnership losses</t>
  </si>
  <si>
    <t xml:space="preserve">     Operations</t>
  </si>
  <si>
    <t>Utility Name: Innisfil Hydro Distribution Systems Limited</t>
  </si>
  <si>
    <t>TRUE-UP VARIANCE (from cell E132)</t>
  </si>
  <si>
    <t>PILs TAXES  EB-2011-XXXX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</si>
</sst>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0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1" fontId="0" fillId="36" borderId="0" xfId="0" applyNumberFormat="1" applyFill="1" applyAlignment="1">
      <alignment horizontal="center" vertical="top"/>
    </xf>
    <xf numFmtId="1" fontId="0" fillId="37" borderId="14" xfId="0" applyNumberFormat="1" applyFill="1" applyBorder="1" applyAlignment="1" applyProtection="1">
      <alignment horizontal="center" vertical="top"/>
      <protection locked="0"/>
    </xf>
    <xf numFmtId="1" fontId="0" fillId="36" borderId="14" xfId="0" applyNumberFormat="1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center" vertical="center"/>
      <protection locked="0"/>
    </xf>
    <xf numFmtId="3" fontId="0" fillId="36" borderId="46" xfId="0" applyNumberFormat="1" applyFill="1" applyBorder="1" applyAlignment="1" applyProtection="1">
      <alignment horizontal="center" vertical="center"/>
      <protection locked="0"/>
    </xf>
    <xf numFmtId="1" fontId="0" fillId="36" borderId="17" xfId="0" applyNumberForma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7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37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10" fontId="0" fillId="0" borderId="0" xfId="63" applyNumberFormat="1" applyFont="1" applyAlignment="1" applyProtection="1">
      <alignment vertical="top"/>
      <protection locked="0"/>
    </xf>
    <xf numFmtId="4" fontId="0" fillId="0" borderId="0" xfId="42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10" fontId="0" fillId="40" borderId="0" xfId="63" applyFont="1" applyFill="1" applyAlignment="1" applyProtection="1">
      <alignment vertical="top"/>
      <protection locked="0"/>
    </xf>
    <xf numFmtId="9" fontId="0" fillId="4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502</v>
      </c>
      <c r="C1" s="8"/>
      <c r="E1" s="2" t="s">
        <v>447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500</v>
      </c>
      <c r="C3" s="8"/>
      <c r="D3" s="447" t="s">
        <v>433</v>
      </c>
      <c r="E3" s="8"/>
      <c r="F3" s="8"/>
      <c r="G3" s="8"/>
      <c r="H3" s="8"/>
    </row>
    <row r="4" spans="1:8" ht="12.75">
      <c r="A4" s="2" t="s">
        <v>458</v>
      </c>
      <c r="C4" s="8"/>
      <c r="D4" s="446" t="s">
        <v>428</v>
      </c>
      <c r="E4" s="423"/>
      <c r="H4" s="8"/>
    </row>
    <row r="5" spans="1:8" ht="12.75">
      <c r="A5" s="52"/>
      <c r="C5" s="8"/>
      <c r="D5" s="445" t="s">
        <v>429</v>
      </c>
      <c r="E5" s="398"/>
      <c r="H5" s="8"/>
    </row>
    <row r="6" spans="1:8" ht="12.75">
      <c r="A6" s="2" t="s">
        <v>126</v>
      </c>
      <c r="B6" s="470">
        <v>91.25</v>
      </c>
      <c r="C6" s="8" t="s">
        <v>127</v>
      </c>
      <c r="D6" s="21"/>
      <c r="H6" s="8"/>
    </row>
    <row r="7" spans="1:8" ht="13.5" thickBot="1">
      <c r="A7" s="52" t="s">
        <v>250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489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490</v>
      </c>
    </row>
    <row r="18" spans="1:4" ht="15" customHeight="1">
      <c r="A18" s="389" t="s">
        <v>304</v>
      </c>
      <c r="C18" s="8"/>
      <c r="D18" s="8"/>
    </row>
    <row r="19" spans="1:4" ht="15" customHeight="1">
      <c r="A19" s="489" t="s">
        <v>305</v>
      </c>
      <c r="B19" s="8" t="s">
        <v>302</v>
      </c>
      <c r="C19" s="8" t="s">
        <v>64</v>
      </c>
      <c r="D19" s="388" t="s">
        <v>490</v>
      </c>
    </row>
    <row r="20" spans="1:4" ht="13.5" thickBot="1">
      <c r="A20" s="490"/>
      <c r="B20" s="8" t="s">
        <v>303</v>
      </c>
      <c r="C20" s="8" t="s">
        <v>64</v>
      </c>
      <c r="D20" s="258" t="s">
        <v>490</v>
      </c>
    </row>
    <row r="21" spans="1:4" ht="12.75">
      <c r="A21" s="489" t="s">
        <v>301</v>
      </c>
      <c r="B21" s="8" t="s">
        <v>302</v>
      </c>
      <c r="C21" s="8"/>
      <c r="D21" s="488">
        <v>1</v>
      </c>
    </row>
    <row r="22" spans="1:4" ht="12.75">
      <c r="A22" s="489"/>
      <c r="B22" s="8" t="s">
        <v>303</v>
      </c>
      <c r="C22" s="8"/>
      <c r="D22" s="488">
        <v>1</v>
      </c>
    </row>
    <row r="23" spans="1:3" ht="7.5" customHeight="1">
      <c r="A23" s="45"/>
      <c r="C23" s="8"/>
    </row>
    <row r="24" spans="1:4" ht="12.75">
      <c r="A24" s="45" t="s">
        <v>211</v>
      </c>
      <c r="C24" s="8" t="s">
        <v>212</v>
      </c>
      <c r="D24" s="421" t="s">
        <v>459</v>
      </c>
    </row>
    <row r="25" spans="1:3" ht="12.75">
      <c r="A25" s="45"/>
      <c r="C25" s="8"/>
    </row>
    <row r="26" ht="6.75" customHeight="1">
      <c r="A26" s="12"/>
    </row>
    <row r="27" spans="1:3" ht="12.75">
      <c r="A27" s="255" t="s">
        <v>67</v>
      </c>
      <c r="C27" s="8"/>
    </row>
    <row r="28" spans="1:3" ht="12.75">
      <c r="A28" s="256" t="s">
        <v>68</v>
      </c>
      <c r="C28" s="8"/>
    </row>
    <row r="29" spans="1:3" ht="12.75">
      <c r="A29" s="256" t="s">
        <v>69</v>
      </c>
      <c r="C29" s="38"/>
    </row>
    <row r="30" ht="12.75">
      <c r="A30" s="257" t="s">
        <v>70</v>
      </c>
    </row>
    <row r="31" ht="12.75">
      <c r="A31" s="35"/>
    </row>
    <row r="32" spans="1:8" ht="12.75">
      <c r="A32" t="s">
        <v>279</v>
      </c>
      <c r="D32" s="422">
        <v>20162592</v>
      </c>
      <c r="H32" s="5"/>
    </row>
    <row r="33" ht="6" customHeight="1"/>
    <row r="34" spans="1:8" ht="12.75">
      <c r="A34" t="s">
        <v>71</v>
      </c>
      <c r="D34" s="487">
        <v>0.5</v>
      </c>
      <c r="F34" t="s">
        <v>102</v>
      </c>
      <c r="H34" s="39"/>
    </row>
    <row r="35" spans="6:8" ht="6" customHeight="1">
      <c r="F35" t="s">
        <v>102</v>
      </c>
      <c r="H35" s="34"/>
    </row>
    <row r="36" spans="1:10" ht="12.75">
      <c r="A36" t="s">
        <v>72</v>
      </c>
      <c r="D36" s="250">
        <f>1-D34</f>
        <v>0.5</v>
      </c>
      <c r="F36" s="39"/>
      <c r="H36" s="41"/>
      <c r="J36" s="39"/>
    </row>
    <row r="37" ht="6" customHeight="1">
      <c r="H37" s="34"/>
    </row>
    <row r="38" spans="1:8" ht="12.75">
      <c r="A38" t="s">
        <v>73</v>
      </c>
      <c r="D38" s="487">
        <v>0.0988</v>
      </c>
      <c r="H38" s="41"/>
    </row>
    <row r="39" ht="4.5" customHeight="1">
      <c r="H39" s="34"/>
    </row>
    <row r="40" spans="1:8" ht="12.75">
      <c r="A40" t="s">
        <v>74</v>
      </c>
      <c r="D40" s="487">
        <v>0.0725</v>
      </c>
      <c r="H40" s="41"/>
    </row>
    <row r="41" ht="6" customHeight="1">
      <c r="H41" s="34"/>
    </row>
    <row r="42" spans="1:8" ht="12.75">
      <c r="A42" t="s">
        <v>75</v>
      </c>
      <c r="D42" s="251">
        <f>D32*((D34*D38)+(D36*D40))</f>
        <v>1726926.0048</v>
      </c>
      <c r="H42" s="40"/>
    </row>
    <row r="43" spans="4:8" ht="6" customHeight="1">
      <c r="D43" s="22"/>
      <c r="H43" s="40"/>
    </row>
    <row r="44" spans="1:11" ht="12.75">
      <c r="A44" t="s">
        <v>76</v>
      </c>
      <c r="D44" s="422">
        <v>1152733</v>
      </c>
      <c r="E44" s="387">
        <f>D44</f>
        <v>1152733</v>
      </c>
      <c r="F44" s="22"/>
      <c r="H44" s="40"/>
      <c r="J44" s="5"/>
      <c r="K44" s="5"/>
    </row>
    <row r="45" spans="4:11" ht="6" customHeight="1">
      <c r="D45" s="22"/>
      <c r="H45" s="40"/>
      <c r="J45" s="5"/>
      <c r="K45" s="5"/>
    </row>
    <row r="46" spans="1:11" ht="12.75">
      <c r="A46" t="s">
        <v>77</v>
      </c>
      <c r="D46" s="251">
        <f>D42-D44</f>
        <v>574193.0048</v>
      </c>
      <c r="H46" s="40"/>
      <c r="J46" s="5"/>
      <c r="K46" s="5"/>
    </row>
    <row r="47" spans="1:11" ht="12.75">
      <c r="A47" s="2" t="s">
        <v>280</v>
      </c>
      <c r="D47" s="40"/>
      <c r="H47" s="40"/>
      <c r="J47" s="5"/>
      <c r="K47" s="5"/>
    </row>
    <row r="48" spans="1:11" ht="12.75">
      <c r="A48" t="s">
        <v>281</v>
      </c>
      <c r="D48" s="422">
        <v>191398</v>
      </c>
      <c r="E48" s="387">
        <f aca="true" t="shared" si="0" ref="E48:E54">D48</f>
        <v>191398</v>
      </c>
      <c r="H48" s="40"/>
      <c r="J48" s="5"/>
      <c r="K48" s="5"/>
    </row>
    <row r="49" spans="1:11" ht="12.75">
      <c r="A49" t="s">
        <v>282</v>
      </c>
      <c r="D49" s="422">
        <v>191398</v>
      </c>
      <c r="E49" s="387">
        <v>0</v>
      </c>
      <c r="F49" s="22"/>
      <c r="H49" s="40"/>
      <c r="J49" s="5"/>
      <c r="K49" s="5"/>
    </row>
    <row r="50" spans="1:11" ht="12.75">
      <c r="A50" t="s">
        <v>283</v>
      </c>
      <c r="D50" s="422">
        <v>191398</v>
      </c>
      <c r="E50" s="387">
        <v>0</v>
      </c>
      <c r="F50" s="22"/>
      <c r="H50" s="40"/>
      <c r="J50" s="5"/>
      <c r="K50" s="5"/>
    </row>
    <row r="51" spans="1:11" ht="12.75">
      <c r="A51" t="s">
        <v>284</v>
      </c>
      <c r="D51" s="423"/>
      <c r="E51" s="387">
        <f t="shared" si="0"/>
        <v>0</v>
      </c>
      <c r="H51" s="40"/>
      <c r="J51" s="5"/>
      <c r="K51" s="5"/>
    </row>
    <row r="52" spans="1:11" ht="12.75">
      <c r="A52" t="s">
        <v>425</v>
      </c>
      <c r="D52" s="423"/>
      <c r="E52" s="387">
        <f t="shared" si="0"/>
        <v>0</v>
      </c>
      <c r="H52" s="40"/>
      <c r="J52" s="5"/>
      <c r="K52" s="5"/>
    </row>
    <row r="53" spans="1:11" ht="12.75">
      <c r="A53" t="s">
        <v>448</v>
      </c>
      <c r="D53" s="423"/>
      <c r="E53" s="387">
        <f t="shared" si="0"/>
        <v>0</v>
      </c>
      <c r="H53" s="40"/>
      <c r="J53" s="5"/>
      <c r="K53" s="5"/>
    </row>
    <row r="54" spans="5:11" ht="12.75">
      <c r="E54" s="387">
        <f t="shared" si="0"/>
        <v>0</v>
      </c>
      <c r="H54" s="40"/>
      <c r="J54" s="5"/>
      <c r="K54" s="5"/>
    </row>
    <row r="55" spans="1:11" ht="12.75">
      <c r="A55" s="2" t="s">
        <v>285</v>
      </c>
      <c r="E55" s="254">
        <f>SUM(E44:E54)</f>
        <v>1344131</v>
      </c>
      <c r="H55" s="40"/>
      <c r="J55" s="5"/>
      <c r="K55" s="5"/>
    </row>
    <row r="56" spans="4:11" ht="12.75">
      <c r="D56" s="30"/>
      <c r="H56" s="40"/>
      <c r="J56" s="5"/>
      <c r="K56" s="5"/>
    </row>
    <row r="57" spans="1:11" ht="12.75">
      <c r="A57" t="s">
        <v>78</v>
      </c>
      <c r="B57" s="5"/>
      <c r="C57" s="5"/>
      <c r="D57" s="252">
        <f>D32*D34</f>
        <v>10081296</v>
      </c>
      <c r="H57" s="32"/>
      <c r="J57" s="5"/>
      <c r="K57" s="5"/>
    </row>
    <row r="58" spans="1:11" ht="12.75">
      <c r="A58" s="14"/>
      <c r="B58" s="5"/>
      <c r="C58" s="5"/>
      <c r="D58" s="5"/>
      <c r="F58" s="5"/>
      <c r="H58" s="32"/>
      <c r="J58" s="5"/>
      <c r="K58" s="5"/>
    </row>
    <row r="59" spans="1:11" ht="12.75">
      <c r="A59" t="s">
        <v>79</v>
      </c>
      <c r="B59" s="5"/>
      <c r="C59" s="5"/>
      <c r="D59" s="252">
        <f>D57*D38</f>
        <v>996032.0448</v>
      </c>
      <c r="F59" s="5"/>
      <c r="H59" s="32"/>
      <c r="J59" s="5"/>
      <c r="K59" s="5"/>
    </row>
    <row r="60" spans="2:11" ht="12.75">
      <c r="B60" s="5"/>
      <c r="C60" s="5"/>
      <c r="D60" s="5"/>
      <c r="F60" s="5"/>
      <c r="H60" s="32"/>
      <c r="J60" s="5"/>
      <c r="K60" s="5"/>
    </row>
    <row r="61" spans="1:11" ht="12.75">
      <c r="A61" t="s">
        <v>80</v>
      </c>
      <c r="B61" s="5"/>
      <c r="C61" s="5"/>
      <c r="D61" s="252">
        <f>D32*D36</f>
        <v>10081296</v>
      </c>
      <c r="F61" s="5"/>
      <c r="H61" s="32"/>
      <c r="J61" s="5"/>
      <c r="K61" s="5"/>
    </row>
    <row r="62" spans="2:11" ht="12.75">
      <c r="B62" s="5"/>
      <c r="C62" s="5"/>
      <c r="D62" s="5"/>
      <c r="F62" s="5"/>
      <c r="H62" s="32"/>
      <c r="J62" s="5"/>
      <c r="K62" s="5"/>
    </row>
    <row r="63" spans="1:11" ht="12.75">
      <c r="A63" t="s">
        <v>300</v>
      </c>
      <c r="B63" s="5"/>
      <c r="C63" s="5"/>
      <c r="D63" s="252">
        <f>D61*D40</f>
        <v>730893.96</v>
      </c>
      <c r="F63" s="5"/>
      <c r="H63" s="32"/>
      <c r="J63" s="5"/>
      <c r="K63" s="5"/>
    </row>
    <row r="64" spans="2:11" ht="12.75">
      <c r="B64" s="5"/>
      <c r="C64" s="5"/>
      <c r="D64" s="5"/>
      <c r="F64" s="5"/>
      <c r="H64" s="32"/>
      <c r="J64" s="5"/>
      <c r="K64" s="5"/>
    </row>
    <row r="65" spans="1:11" ht="12.75">
      <c r="A65" t="s">
        <v>286</v>
      </c>
      <c r="B65" s="5"/>
      <c r="C65" s="5"/>
      <c r="D65" s="253">
        <f>IF(D42&gt;0,(((D44+D48)/D42)*D63),0)</f>
        <v>568882.0636310566</v>
      </c>
      <c r="F65" s="5"/>
      <c r="H65" s="32"/>
      <c r="J65" s="5"/>
      <c r="K65" s="5"/>
    </row>
    <row r="66" spans="1:11" ht="12.75">
      <c r="A66" s="33" t="s">
        <v>366</v>
      </c>
      <c r="B66" s="5"/>
      <c r="C66" s="5"/>
      <c r="D66" s="32"/>
      <c r="F66" s="5"/>
      <c r="H66" s="32"/>
      <c r="J66" s="5"/>
      <c r="K66" s="5"/>
    </row>
    <row r="67" spans="1:11" ht="12.75">
      <c r="A67" t="s">
        <v>287</v>
      </c>
      <c r="B67" s="5"/>
      <c r="C67" s="5"/>
      <c r="D67" s="253">
        <f>IF(D42&gt;0,(((D44+D48+D49)/D42)*D63),0)</f>
        <v>649888.2224168126</v>
      </c>
      <c r="F67" s="5"/>
      <c r="H67" s="32"/>
      <c r="J67" s="5"/>
      <c r="K67" s="5"/>
    </row>
    <row r="68" spans="1:11" ht="12.75">
      <c r="A68" s="33" t="s">
        <v>367</v>
      </c>
      <c r="B68" s="5"/>
      <c r="C68" s="5"/>
      <c r="D68" s="32"/>
      <c r="F68" s="5"/>
      <c r="H68" s="32"/>
      <c r="J68" s="5"/>
      <c r="K68" s="5"/>
    </row>
    <row r="69" spans="1:10" ht="12.75">
      <c r="A69" s="45" t="s">
        <v>288</v>
      </c>
      <c r="B69" s="5"/>
      <c r="C69" s="5"/>
      <c r="D69" s="253">
        <f>IF(D42&gt;0,(((D44+D48+D49)/D42)*D63),0)</f>
        <v>649888.2224168126</v>
      </c>
      <c r="F69" s="5"/>
      <c r="H69" s="32"/>
      <c r="J69" s="5"/>
    </row>
    <row r="70" spans="1:10" ht="12.75">
      <c r="A70" s="33" t="s">
        <v>368</v>
      </c>
      <c r="B70" s="5"/>
      <c r="C70" s="5"/>
      <c r="D70" s="5"/>
      <c r="F70" s="5"/>
      <c r="H70" s="32"/>
      <c r="J70" s="5"/>
    </row>
    <row r="71" spans="1:10" ht="12.75">
      <c r="A71" s="45" t="s">
        <v>434</v>
      </c>
      <c r="B71" s="5"/>
      <c r="C71" s="5"/>
      <c r="D71" s="253">
        <f>D63</f>
        <v>730893.96</v>
      </c>
      <c r="F71" s="5"/>
      <c r="H71" s="34"/>
      <c r="J71" s="5"/>
    </row>
    <row r="72" spans="1:8" ht="12.75">
      <c r="A72" s="89"/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spans="2:8" ht="12.75">
      <c r="B76" s="5"/>
      <c r="C76" s="5"/>
      <c r="D76" s="5"/>
      <c r="H76" s="34"/>
    </row>
    <row r="77" ht="12.75">
      <c r="H77" s="34"/>
    </row>
  </sheetData>
  <sheetProtection/>
  <mergeCells count="2">
    <mergeCell ref="A21:A22"/>
    <mergeCell ref="A19:A20"/>
  </mergeCells>
  <printOptions gridLines="1" headings="1"/>
  <pageMargins left="0.354330708661417" right="0.35" top="0.65" bottom="0.236220472440945" header="0.16" footer="0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PageLayoutView="0" workbookViewId="0" topLeftCell="A7">
      <selection activeCell="C59" sqref="C59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 EB-2011-XXXX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450</v>
      </c>
      <c r="H1" s="210"/>
    </row>
    <row r="2" spans="1:8" ht="12.75">
      <c r="A2" s="211" t="s">
        <v>449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480</v>
      </c>
      <c r="F4" s="220" t="s">
        <v>22</v>
      </c>
      <c r="G4" s="137"/>
      <c r="H4" s="217"/>
    </row>
    <row r="5" spans="1:8" ht="12.75">
      <c r="A5" s="211"/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Innisfil Hydro Distribution Systems Limited</v>
      </c>
      <c r="B6" s="115"/>
      <c r="D6" s="137"/>
      <c r="E6" s="115"/>
      <c r="G6" s="115"/>
      <c r="H6" s="457"/>
    </row>
    <row r="7" spans="1:8" ht="12.75">
      <c r="A7" s="211" t="str">
        <f>REGINFO!A4</f>
        <v>Reporting period:  2001</v>
      </c>
      <c r="B7" s="115"/>
      <c r="D7" s="137"/>
      <c r="E7" s="115"/>
      <c r="G7" s="115"/>
      <c r="H7" s="45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71">
        <f>REGINFO!B6</f>
        <v>91.25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250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331</v>
      </c>
      <c r="B16" s="125">
        <v>1</v>
      </c>
      <c r="C16" s="260">
        <f>REGINFO!E55/12*3</f>
        <v>336032.75</v>
      </c>
      <c r="D16" s="17"/>
      <c r="E16" s="268">
        <f>G16-C16</f>
        <v>-479236.75</v>
      </c>
      <c r="F16" s="3"/>
      <c r="G16" s="268">
        <f>TAXREC!E48</f>
        <v>-143204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305541</v>
      </c>
      <c r="D20" s="18"/>
      <c r="E20" s="268">
        <f>G20-C20</f>
        <v>42460</v>
      </c>
      <c r="F20" s="6"/>
      <c r="G20" s="268">
        <f>TAXREC!E59</f>
        <v>348001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TAXREC!E60</f>
        <v>0</v>
      </c>
      <c r="H21" s="151"/>
    </row>
    <row r="22" spans="1:8" ht="12.75">
      <c r="A22" s="158" t="s">
        <v>258</v>
      </c>
      <c r="B22" s="127">
        <v>4</v>
      </c>
      <c r="C22" s="262"/>
      <c r="D22" s="18"/>
      <c r="E22" s="268">
        <f>G22-C22</f>
        <v>0</v>
      </c>
      <c r="F22" s="6"/>
      <c r="G22" s="268">
        <f>TAXREC!E61</f>
        <v>0</v>
      </c>
      <c r="H22" s="151"/>
    </row>
    <row r="23" spans="1:8" ht="12.75">
      <c r="A23" s="158" t="s">
        <v>257</v>
      </c>
      <c r="B23" s="127">
        <v>4</v>
      </c>
      <c r="C23" s="262"/>
      <c r="D23" s="18"/>
      <c r="E23" s="268">
        <f>G23-C23</f>
        <v>0</v>
      </c>
      <c r="F23" s="6"/>
      <c r="G23" s="268">
        <f>TAXREC!E62</f>
        <v>0</v>
      </c>
      <c r="H23" s="151"/>
    </row>
    <row r="24" spans="1:8" ht="12.75">
      <c r="A24" s="158" t="s">
        <v>259</v>
      </c>
      <c r="B24" s="127">
        <v>5</v>
      </c>
      <c r="C24" s="262"/>
      <c r="D24" s="18"/>
      <c r="E24" s="268">
        <f>G24-C24</f>
        <v>0</v>
      </c>
      <c r="F24" s="6"/>
      <c r="G24" s="268">
        <f>TAXREC!E63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TAXREC!E90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TAXREC!E91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195681</v>
      </c>
      <c r="F28" s="6"/>
      <c r="G28" s="268">
        <f>TAXREC!E65</f>
        <v>195681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65</v>
      </c>
      <c r="F29" s="6"/>
      <c r="G29" s="268">
        <f>TAXREC!E66</f>
        <v>65</v>
      </c>
      <c r="H29" s="151"/>
    </row>
    <row r="30" spans="1:8" ht="12.75">
      <c r="A30" s="403" t="s">
        <v>381</v>
      </c>
      <c r="B30" s="127"/>
      <c r="C30" s="260"/>
      <c r="D30" s="18"/>
      <c r="E30" s="268">
        <f>G30-C30</f>
        <v>18766</v>
      </c>
      <c r="F30" s="6"/>
      <c r="G30" s="268">
        <f>TAXREC!E64</f>
        <v>18766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98005</v>
      </c>
      <c r="D33" s="132"/>
      <c r="E33" s="268">
        <f aca="true" t="shared" si="0" ref="E33:E42">G33-C33</f>
        <v>212022</v>
      </c>
      <c r="F33" s="6"/>
      <c r="G33" s="268">
        <f>TAXREC!E95+TAXREC!E96</f>
        <v>310027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TAXREC!E97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TAXREC!E98</f>
        <v>0</v>
      </c>
      <c r="H35" s="151"/>
    </row>
    <row r="36" spans="1:8" ht="12.75">
      <c r="A36" s="158" t="s">
        <v>260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TAXREC!E100+TAXREC!E101</f>
        <v>0</v>
      </c>
      <c r="H36" s="151"/>
    </row>
    <row r="37" spans="1:8" ht="12.75">
      <c r="A37" s="155" t="s">
        <v>86</v>
      </c>
      <c r="B37" s="125">
        <v>11</v>
      </c>
      <c r="C37" s="261">
        <f>REGINFO!D65/12*3</f>
        <v>142220.51590776414</v>
      </c>
      <c r="D37" s="132"/>
      <c r="E37" s="268">
        <f t="shared" si="0"/>
        <v>102367.48409223586</v>
      </c>
      <c r="F37" s="6"/>
      <c r="G37" s="268">
        <f>TAXREC!E49</f>
        <v>244588</v>
      </c>
      <c r="H37" s="151"/>
    </row>
    <row r="38" spans="1:8" ht="12.75">
      <c r="A38" s="155" t="s">
        <v>256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TAXREC!E102</f>
        <v>0</v>
      </c>
      <c r="H38" s="151"/>
    </row>
    <row r="39" spans="1:8" ht="12.75">
      <c r="A39" s="155" t="s">
        <v>255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TAXREC!E103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TAXREC!E104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TAXREC!E105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TAXREC!E107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TAXREC!E128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TAXREC!E129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195681</v>
      </c>
      <c r="F46" s="6"/>
      <c r="G46" s="251">
        <f>TAXREC!E108</f>
        <v>195681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TAXREC!E109</f>
        <v>0</v>
      </c>
      <c r="H47" s="151"/>
    </row>
    <row r="48" spans="1:8" ht="12.75">
      <c r="A48" s="403" t="s">
        <v>381</v>
      </c>
      <c r="B48" s="127"/>
      <c r="C48" s="260"/>
      <c r="D48" s="132"/>
      <c r="E48" s="268">
        <f>G48-C48</f>
        <v>27065</v>
      </c>
      <c r="F48" s="6"/>
      <c r="G48" s="251">
        <f>TAXREC!E106</f>
        <v>27065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317</v>
      </c>
      <c r="B50" s="125"/>
      <c r="C50" s="264">
        <f>C16+SUM(C20:C30)-SUM(C33:C48)</f>
        <v>401348.23409223586</v>
      </c>
      <c r="D50" s="102"/>
      <c r="E50" s="264">
        <f>E16+SUM(E20:E30)-SUM(E33:E48)</f>
        <v>-759400.2340922358</v>
      </c>
      <c r="F50" s="426"/>
      <c r="G50" s="264">
        <f>G16+SUM(G20:G30)-SUM(G33:G48)</f>
        <v>-358052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326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330</v>
      </c>
      <c r="B53" s="127">
        <v>13</v>
      </c>
      <c r="C53" s="263">
        <f>IF($C$50&gt;'Tax Rates'!$E$11,'Tax Rates'!$F$16,IF($C$50&gt;'Tax Rates'!$C$11,'Tax Rates'!$E$16,'Tax Rates'!$C$16))</f>
        <v>0.4062</v>
      </c>
      <c r="D53" s="102"/>
      <c r="E53" s="269">
        <f>+G53-C53</f>
        <v>0</v>
      </c>
      <c r="F53" s="114"/>
      <c r="G53" s="465">
        <f>TAXREC!E149</f>
        <v>0.4062</v>
      </c>
      <c r="H53" s="151"/>
      <c r="I53" s="462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163027.65268826621</v>
      </c>
      <c r="D55" s="102"/>
      <c r="E55" s="268">
        <f>G55-C55</f>
        <v>-163027.65268826621</v>
      </c>
      <c r="F55" s="426" t="s">
        <v>356</v>
      </c>
      <c r="G55" s="265">
        <f>TAXREC!E142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356</v>
      </c>
      <c r="G58" s="271">
        <f>TAXREC!E143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163027.65268826621</v>
      </c>
      <c r="D60" s="133"/>
      <c r="E60" s="270">
        <f>+E55-E58</f>
        <v>-163027.65268826621</v>
      </c>
      <c r="F60" s="426" t="s">
        <v>356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20162592</v>
      </c>
      <c r="D66" s="102"/>
      <c r="E66" s="268">
        <f>G66-C66</f>
        <v>2592781</v>
      </c>
      <c r="F66" s="6"/>
      <c r="G66" s="262">
        <v>22755373</v>
      </c>
      <c r="H66" s="151"/>
      <c r="I66" s="467" t="s">
        <v>471</v>
      </c>
    </row>
    <row r="67" spans="1:10" ht="12.75">
      <c r="A67" s="152" t="s">
        <v>349</v>
      </c>
      <c r="B67" s="125">
        <v>16</v>
      </c>
      <c r="C67" s="265">
        <f>'Tax Rates'!C39</f>
        <v>5000000</v>
      </c>
      <c r="D67" s="102"/>
      <c r="E67" s="268">
        <f>G67-C67</f>
        <v>-41515</v>
      </c>
      <c r="F67" s="6"/>
      <c r="G67" s="268">
        <f>'Tax Rates'!C57</f>
        <v>4958485</v>
      </c>
      <c r="H67" s="151"/>
      <c r="I67" s="467" t="s">
        <v>471</v>
      </c>
      <c r="J67" s="481"/>
    </row>
    <row r="68" spans="1:8" ht="12.75">
      <c r="A68" s="152" t="s">
        <v>42</v>
      </c>
      <c r="B68" s="125"/>
      <c r="C68" s="265">
        <f>IF((C66-C67)&gt;0,C66-C67,0)</f>
        <v>15162592</v>
      </c>
      <c r="D68" s="102"/>
      <c r="E68" s="268">
        <f>SUM(E66:E67)</f>
        <v>2551266</v>
      </c>
      <c r="F68" s="114"/>
      <c r="G68" s="265">
        <f>G66-G67</f>
        <v>17796888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350</v>
      </c>
      <c r="B70" s="125">
        <v>17</v>
      </c>
      <c r="C70" s="301">
        <f>'Tax Rates'!C18</f>
        <v>0.003</v>
      </c>
      <c r="D70" s="102"/>
      <c r="E70" s="269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306</v>
      </c>
      <c r="B72" s="125"/>
      <c r="C72" s="265">
        <f>IF(C68&gt;0,C68*C70,0)*REGINFO!$B$6/REGINFO!$B$7</f>
        <v>11371.944</v>
      </c>
      <c r="D72" s="101"/>
      <c r="E72" s="268">
        <f>+G72-C72</f>
        <v>2085.428843835618</v>
      </c>
      <c r="F72" s="468"/>
      <c r="G72" s="265">
        <f>IF(G68&gt;0,(G68*G70*92/B10),0)</f>
        <v>13457.372843835617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20162592</v>
      </c>
      <c r="D75" s="102"/>
      <c r="E75" s="268">
        <f>+G75-C75</f>
        <v>2120299</v>
      </c>
      <c r="F75" s="6"/>
      <c r="G75" s="262">
        <v>22282891</v>
      </c>
      <c r="H75" s="151"/>
      <c r="I75" s="467" t="s">
        <v>471</v>
      </c>
    </row>
    <row r="76" spans="1:9" ht="12.75">
      <c r="A76" s="152" t="s">
        <v>349</v>
      </c>
      <c r="B76" s="125">
        <v>19</v>
      </c>
      <c r="C76" s="265">
        <f>'Tax Rates'!C58</f>
        <v>10000000</v>
      </c>
      <c r="D76" s="18"/>
      <c r="E76" s="268">
        <f>+G76-C76</f>
        <v>0</v>
      </c>
      <c r="F76" s="6"/>
      <c r="G76" s="268">
        <v>10000000</v>
      </c>
      <c r="H76" s="151"/>
      <c r="I76" s="467" t="s">
        <v>471</v>
      </c>
    </row>
    <row r="77" spans="1:8" ht="12.75">
      <c r="A77" s="152" t="s">
        <v>42</v>
      </c>
      <c r="B77" s="125"/>
      <c r="C77" s="265">
        <f>IF((C75-C76)&gt;0,C75-C76,0)</f>
        <v>10162592</v>
      </c>
      <c r="D77" s="19"/>
      <c r="E77" s="268">
        <f>SUM(E75:E76)</f>
        <v>2120299</v>
      </c>
      <c r="F77" s="114"/>
      <c r="G77" s="265">
        <f>G75-G76</f>
        <v>12282891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350</v>
      </c>
      <c r="B79" s="125">
        <v>20</v>
      </c>
      <c r="C79" s="301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307</v>
      </c>
      <c r="B81" s="125"/>
      <c r="C81" s="265">
        <f>IF(C77&gt;0,C77*C79,0)*REGINFO!$B$6/REGINFO!$B$7</f>
        <v>5716.458</v>
      </c>
      <c r="D81" s="102"/>
      <c r="E81" s="268">
        <f>+G81-C81</f>
        <v>1249.4555260273964</v>
      </c>
      <c r="F81" s="6"/>
      <c r="G81" s="265">
        <f>IF(G77&lt;0,0,G77*G79*92/B10)</f>
        <v>6965.913526027396</v>
      </c>
      <c r="H81" s="151"/>
    </row>
    <row r="82" spans="1:8" ht="12.75">
      <c r="A82" s="152" t="s">
        <v>308</v>
      </c>
      <c r="B82" s="125">
        <v>21</v>
      </c>
      <c r="C82" s="300">
        <f>IF(C77&gt;0,IF(C60&gt;0,C50*'Tax Rates'!C20,0),0)</f>
        <v>4495.100221833041</v>
      </c>
      <c r="D82" s="102"/>
      <c r="E82" s="268">
        <f>+G82-C82</f>
        <v>-4495.100221833041</v>
      </c>
      <c r="F82" s="6"/>
      <c r="G82" s="300">
        <f>IF(G77&gt;0,IF(G60&gt;0,G50*'Tax Rates'!C20,0),0)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1221.3577781669583</v>
      </c>
      <c r="D84" s="16"/>
      <c r="E84" s="268">
        <f>E81-E82</f>
        <v>5744.555747860438</v>
      </c>
      <c r="F84" s="103"/>
      <c r="G84" s="265">
        <f>G81-G82</f>
        <v>6965.913526027396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9" ht="12.75">
      <c r="A88" s="152" t="s">
        <v>493</v>
      </c>
      <c r="B88" s="125"/>
      <c r="C88" s="263">
        <f>IF($C$50&gt;'Tax Rates'!$E$11,'Tax Rates'!$F$16,IF(AND($C$50&gt;='Tax Rates'!$C$11,$C$50&lt;='Tax Rates'!E11),'Tax Rates'!$E$16,'Tax Rates'!$C$16))</f>
        <v>0.4062</v>
      </c>
      <c r="D88" s="11"/>
      <c r="E88" s="114"/>
      <c r="F88" s="6"/>
      <c r="G88" s="198"/>
      <c r="H88" s="151"/>
      <c r="I88" s="415" t="s">
        <v>494</v>
      </c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357</v>
      </c>
      <c r="B90" s="127">
        <v>22</v>
      </c>
      <c r="C90" s="265">
        <f>C60/(1-(C88-0.0112))</f>
        <v>269467.19452605984</v>
      </c>
      <c r="D90" s="20"/>
      <c r="E90" s="139"/>
      <c r="F90" s="425" t="s">
        <v>460</v>
      </c>
      <c r="G90" s="271">
        <f>TAXREC!E154</f>
        <v>0</v>
      </c>
      <c r="H90" s="151"/>
    </row>
    <row r="91" spans="1:8" ht="12.75">
      <c r="A91" s="158" t="s">
        <v>358</v>
      </c>
      <c r="B91" s="127">
        <v>23</v>
      </c>
      <c r="C91" s="265">
        <f>C84/(1-(C88-0.0112))-1</f>
        <v>2017.7731870528237</v>
      </c>
      <c r="D91" s="20"/>
      <c r="E91" s="139"/>
      <c r="F91" s="425" t="s">
        <v>460</v>
      </c>
      <c r="G91" s="271">
        <f>TAXREC!E156</f>
        <v>6965.913526027396</v>
      </c>
      <c r="H91" s="151"/>
    </row>
    <row r="92" spans="1:8" ht="12.75">
      <c r="A92" s="158" t="s">
        <v>337</v>
      </c>
      <c r="B92" s="127">
        <v>24</v>
      </c>
      <c r="C92" s="265">
        <f>C72</f>
        <v>11371.944</v>
      </c>
      <c r="D92" s="20"/>
      <c r="E92" s="139"/>
      <c r="F92" s="425" t="s">
        <v>460</v>
      </c>
      <c r="G92" s="271">
        <f>TAXREC!E155</f>
        <v>13457.372843835617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461</v>
      </c>
      <c r="B95" s="125">
        <v>25</v>
      </c>
      <c r="C95" s="270">
        <f>SUM(C90:C93)</f>
        <v>282856.91171311267</v>
      </c>
      <c r="D95" s="6"/>
      <c r="E95" s="139"/>
      <c r="F95" s="425" t="s">
        <v>460</v>
      </c>
      <c r="G95" s="413">
        <f>SUM(G90:G94)</f>
        <v>20423.286369863014</v>
      </c>
      <c r="H95" s="164"/>
    </row>
    <row r="96" spans="1:8" ht="12.75">
      <c r="A96" s="403" t="s">
        <v>298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295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244</v>
      </c>
      <c r="B100" s="123"/>
      <c r="C100" s="112"/>
      <c r="D100" s="3"/>
      <c r="E100" s="143" t="s">
        <v>246</v>
      </c>
      <c r="F100" s="37"/>
      <c r="G100" s="200"/>
      <c r="H100" s="164"/>
    </row>
    <row r="101" spans="1:8" ht="12.75">
      <c r="A101" s="156" t="s">
        <v>336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353</v>
      </c>
      <c r="B107" s="127">
        <v>6</v>
      </c>
      <c r="C107" s="112"/>
      <c r="D107" s="3"/>
      <c r="E107" s="251">
        <f>E28</f>
        <v>195681</v>
      </c>
      <c r="F107" s="37"/>
      <c r="G107" s="201"/>
      <c r="H107" s="164"/>
    </row>
    <row r="108" spans="1:8" ht="12.75">
      <c r="A108" s="156" t="s">
        <v>351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480" t="s">
        <v>488</v>
      </c>
      <c r="B112" s="127">
        <v>11</v>
      </c>
      <c r="C112" s="112"/>
      <c r="D112" s="3"/>
      <c r="E112" s="464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355</v>
      </c>
      <c r="B118" s="127">
        <v>12</v>
      </c>
      <c r="C118" s="112"/>
      <c r="D118" s="3"/>
      <c r="E118" s="251">
        <f>E46</f>
        <v>195681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189</v>
      </c>
      <c r="E120" s="265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492</v>
      </c>
      <c r="B122" s="127"/>
      <c r="C122" s="112"/>
      <c r="D122" s="3" t="s">
        <v>229</v>
      </c>
      <c r="E122" s="461">
        <f>G53</f>
        <v>0.4062</v>
      </c>
      <c r="F122" s="46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243</v>
      </c>
      <c r="B124" s="127"/>
      <c r="C124" s="112"/>
      <c r="D124" s="3" t="s">
        <v>189</v>
      </c>
      <c r="E124" s="265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0.395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341</v>
      </c>
      <c r="B132" s="130"/>
      <c r="C132" s="112"/>
      <c r="D132" s="3"/>
      <c r="E132" s="264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344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233</v>
      </c>
      <c r="B136" s="130"/>
      <c r="C136" s="112"/>
      <c r="D136" s="118" t="s">
        <v>189</v>
      </c>
      <c r="E136" s="302">
        <f>C50</f>
        <v>401348.23409223586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'Tax Rates'!F16</f>
        <v>0.4062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189</v>
      </c>
      <c r="E140" s="303">
        <f>IF(E136&gt;0,E136*E138,0)</f>
        <v>163027.65268826621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188</v>
      </c>
      <c r="E142" s="304">
        <f>TAXREC!E143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189</v>
      </c>
      <c r="E144" s="302">
        <f>E140-E142</f>
        <v>163027.65268826621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476</v>
      </c>
      <c r="B146" s="130"/>
      <c r="C146" s="112"/>
      <c r="D146" s="118" t="s">
        <v>188</v>
      </c>
      <c r="E146" s="302">
        <f>C60</f>
        <v>163027.65268826621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189</v>
      </c>
      <c r="E148" s="302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6" t="s">
        <v>20</v>
      </c>
      <c r="B150" s="130"/>
      <c r="C150" s="112"/>
      <c r="D150" s="119"/>
      <c r="E150" s="30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20162592</v>
      </c>
      <c r="F151" s="37"/>
      <c r="G151" s="201"/>
      <c r="H151" s="164"/>
    </row>
    <row r="152" spans="1:8" ht="12.75">
      <c r="A152" s="171" t="s">
        <v>347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189</v>
      </c>
      <c r="E153" s="302">
        <f>E151-E152</f>
        <v>15162592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348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189</v>
      </c>
      <c r="E157" s="302">
        <f>IF(E153&gt;0,E153*E155*B9/B10,0)</f>
        <v>11371.944</v>
      </c>
      <c r="F157" s="37"/>
      <c r="G157" s="201"/>
      <c r="H157" s="164"/>
    </row>
    <row r="158" spans="1:8" ht="25.5">
      <c r="A158" s="171" t="s">
        <v>477</v>
      </c>
      <c r="B158" s="130"/>
      <c r="C158" s="112"/>
      <c r="D158" s="118" t="s">
        <v>188</v>
      </c>
      <c r="E158" s="305">
        <f>C72</f>
        <v>11371.944</v>
      </c>
      <c r="F158" s="37"/>
      <c r="G158" s="201"/>
      <c r="H158" s="164"/>
    </row>
    <row r="159" spans="1:8" ht="12.75" customHeight="1">
      <c r="A159" s="172" t="s">
        <v>241</v>
      </c>
      <c r="B159" s="130"/>
      <c r="C159" s="112"/>
      <c r="D159" s="118" t="s">
        <v>189</v>
      </c>
      <c r="E159" s="46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6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20162592</v>
      </c>
      <c r="F162" s="37"/>
      <c r="G162" s="201"/>
      <c r="H162" s="164"/>
    </row>
    <row r="163" spans="1:8" ht="12.75">
      <c r="A163" s="171" t="s">
        <v>346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237</v>
      </c>
      <c r="B164" s="130"/>
      <c r="C164" s="112"/>
      <c r="D164" s="119" t="s">
        <v>189</v>
      </c>
      <c r="E164" s="302">
        <f>E162-E163</f>
        <v>10162592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299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238</v>
      </c>
      <c r="B168" s="130"/>
      <c r="C168" s="112"/>
      <c r="D168" s="119"/>
      <c r="E168" s="302">
        <f>IF(E164&gt;0,E164*E166*B9/B10,0)</f>
        <v>5716.458</v>
      </c>
      <c r="F168" s="37"/>
      <c r="G168" s="201"/>
      <c r="H168" s="164"/>
    </row>
    <row r="169" spans="1:8" ht="12.75">
      <c r="A169" s="171" t="s">
        <v>309</v>
      </c>
      <c r="B169" s="130"/>
      <c r="C169" s="112"/>
      <c r="D169" s="118" t="s">
        <v>188</v>
      </c>
      <c r="E169" s="307">
        <f>IF(E164&gt;0,IF(E144&gt;0,E136*'Tax Rates'!C56,0),0)</f>
        <v>4495.100221833041</v>
      </c>
      <c r="F169" s="37"/>
      <c r="G169" s="201"/>
      <c r="H169" s="164"/>
    </row>
    <row r="170" spans="1:8" ht="12.75">
      <c r="A170" s="171" t="s">
        <v>239</v>
      </c>
      <c r="B170" s="130"/>
      <c r="C170" s="112"/>
      <c r="D170" s="119" t="s">
        <v>189</v>
      </c>
      <c r="E170" s="302">
        <f>E168-E169</f>
        <v>1221.3577781669583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478</v>
      </c>
      <c r="B172" s="130"/>
      <c r="C172" s="112"/>
      <c r="D172" s="118" t="s">
        <v>188</v>
      </c>
      <c r="E172" s="305">
        <f>C84</f>
        <v>1221.3577781669583</v>
      </c>
      <c r="F172" s="37"/>
      <c r="G172" s="201"/>
      <c r="H172" s="164"/>
    </row>
    <row r="173" spans="1:8" ht="12.75">
      <c r="A173" s="155" t="s">
        <v>242</v>
      </c>
      <c r="B173" s="130"/>
      <c r="C173" s="112"/>
      <c r="D173" s="119" t="s">
        <v>189</v>
      </c>
      <c r="E173" s="46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335</v>
      </c>
      <c r="B175" s="130"/>
      <c r="C175" s="112"/>
      <c r="D175" s="119"/>
      <c r="E175" s="461">
        <f>IF((E120+G50)&gt;'Tax Rates'!E47,'Tax Rates'!F52-1.12%,IF((E120+G50)&gt;'Tax Rates'!D47,'Tax Rates'!E52-1.12%,IF((E120+G50)&gt;'Tax Rates'!C47,'Tax Rates'!D52,'Tax Rates'!C52-1.12%)))</f>
        <v>0.18</v>
      </c>
      <c r="F175" s="46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240</v>
      </c>
      <c r="B177" s="130"/>
      <c r="C177" s="112"/>
      <c r="D177" s="119" t="s">
        <v>187</v>
      </c>
      <c r="E177" s="302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342</v>
      </c>
      <c r="B181" s="130"/>
      <c r="C181" s="112"/>
      <c r="D181" s="119" t="s">
        <v>189</v>
      </c>
      <c r="E181" s="302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501</v>
      </c>
      <c r="B183" s="130"/>
      <c r="C183" s="112"/>
      <c r="D183" s="119" t="s">
        <v>187</v>
      </c>
      <c r="E183" s="302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343</v>
      </c>
      <c r="B185" s="130"/>
      <c r="C185" s="112"/>
      <c r="D185" s="119" t="s">
        <v>189</v>
      </c>
      <c r="E185" s="302">
        <f>E181+E183</f>
        <v>0</v>
      </c>
      <c r="F185" s="37"/>
      <c r="G185" s="201"/>
      <c r="H185" s="164"/>
    </row>
    <row r="186" spans="1:8" ht="12.75">
      <c r="A186" s="162" t="s">
        <v>245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REGINFO!D63</f>
        <v>730893.96</v>
      </c>
      <c r="F193" s="3"/>
      <c r="G193" s="123"/>
      <c r="H193" s="164"/>
    </row>
    <row r="194" spans="1:8" ht="12.75">
      <c r="A194" s="155" t="s">
        <v>479</v>
      </c>
      <c r="B194" s="127"/>
      <c r="C194" s="112"/>
      <c r="D194" s="120"/>
      <c r="E194" s="308">
        <f>C37</f>
        <v>142220.51590776414</v>
      </c>
      <c r="F194" s="469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333</v>
      </c>
      <c r="B196" s="127"/>
      <c r="C196" s="112"/>
      <c r="D196" s="120"/>
      <c r="E196" s="308">
        <f>E193-E194</f>
        <v>588673.4440922358</v>
      </c>
      <c r="F196" s="3"/>
      <c r="G196" s="123"/>
      <c r="H196" s="164"/>
    </row>
    <row r="197" spans="1:8" ht="12.75">
      <c r="A197" s="155" t="s">
        <v>334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251</v>
      </c>
      <c r="B199" s="127"/>
      <c r="C199" s="112"/>
      <c r="D199" s="120"/>
      <c r="E199" s="147"/>
      <c r="F199" s="3"/>
      <c r="G199" s="123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123"/>
      <c r="H200" s="164"/>
    </row>
    <row r="201" spans="1:8" ht="12.75">
      <c r="A201" s="480" t="s">
        <v>486</v>
      </c>
      <c r="B201" s="127"/>
      <c r="C201" s="112"/>
      <c r="D201" s="120"/>
      <c r="E201" s="308">
        <f>G37+G42</f>
        <v>244588</v>
      </c>
      <c r="F201" s="3"/>
      <c r="G201" s="123"/>
      <c r="H201" s="164"/>
    </row>
    <row r="202" spans="1:8" ht="12.75">
      <c r="A202" s="480" t="s">
        <v>485</v>
      </c>
      <c r="B202" s="127"/>
      <c r="C202" s="112"/>
      <c r="D202" s="120"/>
      <c r="E202" s="308">
        <f>REGINFO!D63</f>
        <v>730893.96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6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588673.4440922358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15748031496063" bottom="0.236220472440945" header="0.511811023622047" footer="0"/>
  <pageSetup fitToHeight="2" fitToWidth="1" horizontalDpi="600" verticalDpi="600" orientation="portrait" scale="5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1"/>
  <sheetViews>
    <sheetView zoomScalePageLayoutView="0" workbookViewId="0" topLeftCell="A109">
      <selection activeCell="C131" sqref="C13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 EB-2011-XXXX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 t="str">
        <f>REGINFO!A3</f>
        <v>Utility Name: Innisfil Hydro Distribution Systems Limited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2001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75">
        <f>REGINFO!B6</f>
        <v>91.25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259">
        <f>0.0025*Ratebase*REGINFO!D34</f>
        <v>25203.24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64</v>
      </c>
      <c r="C17" s="8"/>
      <c r="E17" s="26"/>
      <c r="F17" s="8"/>
    </row>
    <row r="18" spans="1:6" ht="12.75">
      <c r="A18" s="55" t="s">
        <v>252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9" t="s">
        <v>315</v>
      </c>
      <c r="B23" s="400"/>
      <c r="C23" s="401"/>
      <c r="D23" s="402"/>
      <c r="E23" s="28"/>
      <c r="F23" s="11"/>
      <c r="G23" s="11"/>
      <c r="H23" s="6"/>
      <c r="I23" s="6"/>
    </row>
    <row r="24" spans="1:9" ht="12.75">
      <c r="A24" s="399" t="s">
        <v>253</v>
      </c>
      <c r="B24" s="400"/>
      <c r="C24" s="401"/>
      <c r="D24" s="402"/>
      <c r="E24" s="28"/>
      <c r="F24" s="11"/>
      <c r="G24" s="11"/>
      <c r="H24" s="6"/>
      <c r="I24" s="6"/>
    </row>
    <row r="25" spans="1:9" ht="12.75">
      <c r="A25" s="399" t="s">
        <v>222</v>
      </c>
      <c r="B25" s="400"/>
      <c r="C25" s="401"/>
      <c r="D25" s="402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9" t="s">
        <v>313</v>
      </c>
      <c r="B27" s="400"/>
      <c r="C27" s="401"/>
      <c r="D27" s="402"/>
      <c r="E27" s="28"/>
      <c r="F27" s="11"/>
      <c r="G27" s="11"/>
      <c r="H27" s="6"/>
      <c r="I27" s="6"/>
    </row>
    <row r="28" spans="1:9" ht="12.75">
      <c r="A28" s="399" t="s">
        <v>314</v>
      </c>
      <c r="B28" s="400"/>
      <c r="C28" s="401"/>
      <c r="D28" s="402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268</v>
      </c>
      <c r="B31" s="23" t="s">
        <v>187</v>
      </c>
      <c r="C31" s="285">
        <v>4816191</v>
      </c>
      <c r="D31" s="286"/>
      <c r="E31" s="284">
        <f>C31-D31</f>
        <v>4816191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85"/>
      <c r="D32" s="286"/>
      <c r="E32" s="284">
        <f>C32-D32</f>
        <v>0</v>
      </c>
      <c r="F32" s="11"/>
      <c r="G32" s="11"/>
      <c r="H32" s="6"/>
      <c r="I32" s="6"/>
    </row>
    <row r="33" spans="1:9" ht="12.75">
      <c r="A33" s="4" t="s">
        <v>210</v>
      </c>
      <c r="B33" s="23" t="s">
        <v>187</v>
      </c>
      <c r="C33" s="285">
        <v>134620</v>
      </c>
      <c r="D33" s="286"/>
      <c r="E33" s="284">
        <f>C33-D33</f>
        <v>134620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4135476</v>
      </c>
      <c r="D39" s="286"/>
      <c r="E39" s="284">
        <f>C39-D39</f>
        <v>4135476</v>
      </c>
      <c r="F39" s="11"/>
      <c r="G39" s="11"/>
      <c r="H39" s="6"/>
      <c r="I39" s="6"/>
    </row>
    <row r="40" spans="1:9" ht="12.75">
      <c r="A40" s="476" t="s">
        <v>499</v>
      </c>
      <c r="B40" s="23" t="s">
        <v>188</v>
      </c>
      <c r="C40" s="285">
        <f>610538-C42-C43</f>
        <v>570671</v>
      </c>
      <c r="D40" s="286"/>
      <c r="E40" s="284">
        <f aca="true" t="shared" si="0" ref="E40:E46">C40-D40</f>
        <v>570671</v>
      </c>
      <c r="F40" s="11"/>
      <c r="G40" s="11"/>
      <c r="H40" s="6"/>
      <c r="I40" s="6"/>
    </row>
    <row r="41" spans="1:9" ht="12.75">
      <c r="A41" s="4" t="s">
        <v>269</v>
      </c>
      <c r="B41" s="23" t="s">
        <v>188</v>
      </c>
      <c r="C41" s="285">
        <v>348001</v>
      </c>
      <c r="D41" s="286"/>
      <c r="E41" s="284">
        <f t="shared" si="0"/>
        <v>348001</v>
      </c>
      <c r="F41" s="11"/>
      <c r="G41" s="11"/>
      <c r="H41" s="6"/>
      <c r="I41" s="6"/>
    </row>
    <row r="42" spans="1:9" ht="12.75">
      <c r="A42" s="4" t="s">
        <v>270</v>
      </c>
      <c r="B42" s="23" t="s">
        <v>188</v>
      </c>
      <c r="C42" s="285">
        <v>17040</v>
      </c>
      <c r="D42" s="286"/>
      <c r="E42" s="284">
        <f t="shared" si="0"/>
        <v>17040</v>
      </c>
      <c r="F42" s="11"/>
      <c r="G42" s="11"/>
      <c r="H42" s="6"/>
      <c r="I42" s="6"/>
    </row>
    <row r="43" spans="1:11" ht="12.75">
      <c r="A43" s="476" t="s">
        <v>495</v>
      </c>
      <c r="B43" s="23" t="s">
        <v>188</v>
      </c>
      <c r="C43" s="285">
        <v>22827</v>
      </c>
      <c r="D43" s="286"/>
      <c r="E43" s="284">
        <f t="shared" si="0"/>
        <v>22827</v>
      </c>
      <c r="F43" s="11"/>
      <c r="G43" s="11"/>
      <c r="H43" s="33"/>
      <c r="I43" s="33"/>
      <c r="J43" s="32"/>
      <c r="K43" s="32"/>
    </row>
    <row r="44" spans="1:11" ht="12.75">
      <c r="A44" s="476" t="s">
        <v>491</v>
      </c>
      <c r="B44" s="23" t="s">
        <v>188</v>
      </c>
      <c r="C44" s="285"/>
      <c r="D44" s="286"/>
      <c r="E44" s="284">
        <f t="shared" si="0"/>
        <v>0</v>
      </c>
      <c r="F44" s="11"/>
      <c r="G44" s="84"/>
      <c r="H44" s="33"/>
      <c r="I44" s="33"/>
      <c r="J44" s="32"/>
      <c r="K44" s="32"/>
    </row>
    <row r="45" spans="1:11" ht="12.75">
      <c r="A45" s="48"/>
      <c r="B45" s="23" t="s">
        <v>188</v>
      </c>
      <c r="C45" s="285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1:11" ht="13.5" thickBot="1">
      <c r="A46" s="48"/>
      <c r="B46" s="23" t="s">
        <v>188</v>
      </c>
      <c r="C46" s="285"/>
      <c r="D46" s="286"/>
      <c r="E46" s="284">
        <f t="shared" si="0"/>
        <v>0</v>
      </c>
      <c r="F46" s="11"/>
      <c r="G46" s="11"/>
      <c r="H46" s="33"/>
      <c r="I46" s="33"/>
      <c r="J46" s="32"/>
      <c r="K46" s="32"/>
    </row>
    <row r="47" spans="1:9" ht="12.75">
      <c r="A47" s="57"/>
      <c r="B47" s="23"/>
      <c r="C47" s="42"/>
      <c r="D47" s="43"/>
      <c r="E47" s="63"/>
      <c r="F47" s="11"/>
      <c r="G47" s="11"/>
      <c r="H47" s="6"/>
      <c r="I47" s="6"/>
    </row>
    <row r="48" spans="1:9" ht="12.75">
      <c r="A48" s="2" t="s">
        <v>82</v>
      </c>
      <c r="B48" s="23" t="s">
        <v>189</v>
      </c>
      <c r="C48" s="281">
        <f>SUM(C31:C36)-SUM(C39:C47)</f>
        <v>-143204</v>
      </c>
      <c r="D48" s="281">
        <f>SUM(D31:D36)-SUM(D39:D47)</f>
        <v>0</v>
      </c>
      <c r="E48" s="281">
        <f>SUM(E31:E35)-SUM(E39:E46)</f>
        <v>-143204</v>
      </c>
      <c r="F48" s="11"/>
      <c r="G48" s="11"/>
      <c r="H48" s="6"/>
      <c r="I48" s="6"/>
    </row>
    <row r="49" spans="1:9" ht="12.75">
      <c r="A49" s="4" t="s">
        <v>91</v>
      </c>
      <c r="B49" s="23" t="s">
        <v>188</v>
      </c>
      <c r="C49" s="285">
        <v>244588</v>
      </c>
      <c r="D49" s="285"/>
      <c r="E49" s="282">
        <f>+C49-D49</f>
        <v>244588</v>
      </c>
      <c r="F49" s="11"/>
      <c r="G49" s="11"/>
      <c r="H49" s="6"/>
      <c r="I49" s="6"/>
    </row>
    <row r="50" spans="1:6" ht="12.75">
      <c r="A50" t="s">
        <v>182</v>
      </c>
      <c r="B50" s="8" t="s">
        <v>188</v>
      </c>
      <c r="C50" s="285">
        <v>6384</v>
      </c>
      <c r="D50" s="285"/>
      <c r="E50" s="283">
        <f>+C50-D50</f>
        <v>6384</v>
      </c>
      <c r="F50" s="8"/>
    </row>
    <row r="51" spans="1:6" ht="12.75">
      <c r="A51" s="2" t="s">
        <v>131</v>
      </c>
      <c r="B51" s="8" t="s">
        <v>189</v>
      </c>
      <c r="C51" s="281">
        <f>C48-C49-C50</f>
        <v>-394176</v>
      </c>
      <c r="D51" s="281">
        <f>D48-D49-D50</f>
        <v>0</v>
      </c>
      <c r="E51" s="281">
        <f>E48-E49-E50</f>
        <v>-394176</v>
      </c>
      <c r="F51" s="8"/>
    </row>
    <row r="52" spans="1:6" ht="36">
      <c r="A52" s="87" t="s">
        <v>213</v>
      </c>
      <c r="B52" s="8"/>
      <c r="C52" s="29"/>
      <c r="D52" s="29"/>
      <c r="E52" s="29"/>
      <c r="F52" s="8"/>
    </row>
    <row r="53" spans="1:6" ht="12.75">
      <c r="A53" s="82"/>
      <c r="B53" s="8"/>
      <c r="C53" s="29"/>
      <c r="D53" s="29"/>
      <c r="E53" s="29"/>
      <c r="F53" s="8"/>
    </row>
    <row r="54" spans="1:6" ht="12.75">
      <c r="A54" s="14" t="s">
        <v>177</v>
      </c>
      <c r="B54" s="8"/>
      <c r="C54" s="29"/>
      <c r="D54" s="29"/>
      <c r="E54" s="29"/>
      <c r="F54" s="8"/>
    </row>
    <row r="55" spans="1:6" ht="12.75">
      <c r="A55" s="15" t="s">
        <v>165</v>
      </c>
      <c r="B55" s="8"/>
      <c r="C55" s="29"/>
      <c r="D55" s="29"/>
      <c r="E55" s="29"/>
      <c r="F55" s="8"/>
    </row>
    <row r="56" spans="1:6" ht="12.75">
      <c r="A56" s="2" t="s">
        <v>166</v>
      </c>
      <c r="B56" s="8"/>
      <c r="C56" s="44"/>
      <c r="D56" s="44"/>
      <c r="E56" s="44"/>
      <c r="F56" s="8"/>
    </row>
    <row r="57" spans="1:6" ht="12.75">
      <c r="A57" s="4" t="s">
        <v>98</v>
      </c>
      <c r="B57" s="8" t="s">
        <v>187</v>
      </c>
      <c r="C57" s="287">
        <f>C50</f>
        <v>6384</v>
      </c>
      <c r="D57" s="287">
        <f>D50</f>
        <v>0</v>
      </c>
      <c r="E57" s="272">
        <f>+C57-D57</f>
        <v>6384</v>
      </c>
      <c r="F57" s="8"/>
    </row>
    <row r="58" spans="1:6" ht="12.75">
      <c r="A58" s="4" t="s">
        <v>316</v>
      </c>
      <c r="B58" s="8" t="s">
        <v>187</v>
      </c>
      <c r="C58" s="318"/>
      <c r="D58" s="318"/>
      <c r="E58" s="272">
        <f>+C58-D58</f>
        <v>0</v>
      </c>
      <c r="F58" s="8"/>
    </row>
    <row r="59" spans="1:6" ht="12.75">
      <c r="A59" t="s">
        <v>4</v>
      </c>
      <c r="B59" s="8" t="s">
        <v>187</v>
      </c>
      <c r="C59" s="287">
        <f>C41</f>
        <v>348001</v>
      </c>
      <c r="D59" s="287">
        <f>D41</f>
        <v>0</v>
      </c>
      <c r="E59" s="272">
        <f>+C59-D59</f>
        <v>348001</v>
      </c>
      <c r="F59" s="8"/>
    </row>
    <row r="60" spans="1:6" ht="12.75">
      <c r="A60" t="s">
        <v>6</v>
      </c>
      <c r="B60" s="8" t="s">
        <v>187</v>
      </c>
      <c r="C60" s="318"/>
      <c r="D60" s="318"/>
      <c r="E60" s="272">
        <f>+C60-D60</f>
        <v>0</v>
      </c>
      <c r="F60" s="8"/>
    </row>
    <row r="61" spans="1:6" ht="12.75">
      <c r="A61" s="31" t="s">
        <v>271</v>
      </c>
      <c r="B61" s="8" t="s">
        <v>187</v>
      </c>
      <c r="C61" s="316">
        <f>'Tax Reserves'!C22</f>
        <v>0</v>
      </c>
      <c r="D61" s="317">
        <f>'Tax Reserves'!D22</f>
        <v>0</v>
      </c>
      <c r="E61" s="272">
        <f>C61-D61</f>
        <v>0</v>
      </c>
      <c r="F61" s="8"/>
    </row>
    <row r="62" spans="1:6" ht="12.75">
      <c r="A62" s="4" t="s">
        <v>52</v>
      </c>
      <c r="B62" s="8" t="s">
        <v>187</v>
      </c>
      <c r="C62" s="316">
        <f>'Tax Reserves'!C63</f>
        <v>0</v>
      </c>
      <c r="D62" s="317">
        <f>'Tax Reserves'!D63</f>
        <v>0</v>
      </c>
      <c r="E62" s="272">
        <f>+C62-D62</f>
        <v>0</v>
      </c>
      <c r="F62" s="8"/>
    </row>
    <row r="63" spans="1:6" ht="12.75">
      <c r="A63" t="s">
        <v>430</v>
      </c>
      <c r="B63" s="8" t="s">
        <v>187</v>
      </c>
      <c r="C63" s="286"/>
      <c r="D63" s="286"/>
      <c r="E63" s="272">
        <f>+C63-D63</f>
        <v>0</v>
      </c>
      <c r="F63" s="8"/>
    </row>
    <row r="64" spans="1:6" ht="15">
      <c r="A64" s="459" t="s">
        <v>381</v>
      </c>
      <c r="B64" s="8"/>
      <c r="C64" s="438">
        <f>'TAXREC 3'!C47</f>
        <v>18766</v>
      </c>
      <c r="D64" s="438">
        <f>'TAXREC 3'!D47</f>
        <v>0</v>
      </c>
      <c r="E64" s="272">
        <f>+C64-D64</f>
        <v>18766</v>
      </c>
      <c r="F64" s="8"/>
    </row>
    <row r="65" spans="1:6" ht="12.75">
      <c r="A65" t="s">
        <v>160</v>
      </c>
      <c r="B65" s="8" t="s">
        <v>187</v>
      </c>
      <c r="C65" s="251">
        <f>'TAXREC 2'!C77</f>
        <v>195681</v>
      </c>
      <c r="D65" s="251">
        <f>'TAXREC 2'!D77</f>
        <v>0</v>
      </c>
      <c r="E65" s="272">
        <f>+C65-D65</f>
        <v>195681</v>
      </c>
      <c r="F65" s="8"/>
    </row>
    <row r="66" spans="1:11" ht="12.75">
      <c r="A66" t="s">
        <v>161</v>
      </c>
      <c r="B66" s="8" t="s">
        <v>187</v>
      </c>
      <c r="C66" s="251">
        <f>'TAXREC 2'!C78</f>
        <v>65</v>
      </c>
      <c r="D66" s="251">
        <f>'TAXREC 2'!D78</f>
        <v>0</v>
      </c>
      <c r="E66" s="272">
        <f>+C66-D66</f>
        <v>65</v>
      </c>
      <c r="F66" s="8"/>
      <c r="G66" s="45"/>
      <c r="H66" s="45"/>
      <c r="I66" s="23"/>
      <c r="J66" s="23"/>
      <c r="K66" s="75"/>
    </row>
    <row r="67" spans="3:11" ht="12.75">
      <c r="C67" s="22"/>
      <c r="D67" s="22"/>
      <c r="E67" s="297"/>
      <c r="F67" s="8"/>
      <c r="G67" s="45"/>
      <c r="H67" s="45"/>
      <c r="I67" s="23"/>
      <c r="J67" s="23"/>
      <c r="K67" s="75"/>
    </row>
    <row r="68" spans="1:11" ht="12.75">
      <c r="A68" s="10" t="s">
        <v>106</v>
      </c>
      <c r="B68" s="8"/>
      <c r="C68" s="272">
        <f>SUM(C57:C66)</f>
        <v>568897</v>
      </c>
      <c r="D68" s="272">
        <f>SUM(D57:D66)</f>
        <v>0</v>
      </c>
      <c r="E68" s="272">
        <f>SUM(E57:E66)</f>
        <v>568897</v>
      </c>
      <c r="F68" s="8"/>
      <c r="G68" s="45"/>
      <c r="H68" s="45"/>
      <c r="I68" s="23"/>
      <c r="J68" s="45"/>
      <c r="K68" s="75"/>
    </row>
    <row r="69" spans="1:11" ht="12.75">
      <c r="A69" s="10"/>
      <c r="B69" s="8"/>
      <c r="C69" s="42"/>
      <c r="D69" s="42"/>
      <c r="E69" s="42"/>
      <c r="F69" s="8"/>
      <c r="G69" s="45"/>
      <c r="H69" s="45"/>
      <c r="I69" s="23"/>
      <c r="J69" s="45"/>
      <c r="K69" s="23"/>
    </row>
    <row r="70" spans="1:11" ht="12.75">
      <c r="A70" s="10" t="s">
        <v>207</v>
      </c>
      <c r="B70" s="8"/>
      <c r="C70" s="5"/>
      <c r="D70" s="5"/>
      <c r="E70" s="5"/>
      <c r="F70" s="8"/>
      <c r="G70" s="45"/>
      <c r="H70" s="45"/>
      <c r="I70" s="23"/>
      <c r="J70" s="23"/>
      <c r="K70" s="23"/>
    </row>
    <row r="71" spans="1:11" ht="12.75">
      <c r="A71" t="s">
        <v>5</v>
      </c>
      <c r="B71" s="8" t="s">
        <v>187</v>
      </c>
      <c r="C71" s="294"/>
      <c r="D71" s="294"/>
      <c r="E71" s="272">
        <f aca="true" t="shared" si="1" ref="E71:E77">+C71-D71</f>
        <v>0</v>
      </c>
      <c r="F71" s="8"/>
      <c r="G71" s="76"/>
      <c r="H71" s="77"/>
      <c r="I71" s="78"/>
      <c r="J71" s="78"/>
      <c r="K71" s="78"/>
    </row>
    <row r="72" spans="1:11" ht="12.75">
      <c r="A72" t="s">
        <v>148</v>
      </c>
      <c r="B72" s="8" t="s">
        <v>187</v>
      </c>
      <c r="C72" s="294">
        <v>0</v>
      </c>
      <c r="D72" s="294"/>
      <c r="E72" s="272">
        <f t="shared" si="1"/>
        <v>0</v>
      </c>
      <c r="F72" s="8"/>
      <c r="G72" s="76"/>
      <c r="H72" s="77"/>
      <c r="I72" s="78"/>
      <c r="J72" s="77"/>
      <c r="K72" s="77"/>
    </row>
    <row r="73" spans="1:11" ht="12.75">
      <c r="A73" s="476" t="s">
        <v>482</v>
      </c>
      <c r="B73" s="8" t="s">
        <v>187</v>
      </c>
      <c r="C73" s="294"/>
      <c r="D73" s="294"/>
      <c r="E73" s="272">
        <f t="shared" si="1"/>
        <v>0</v>
      </c>
      <c r="F73" s="8"/>
      <c r="G73" s="76"/>
      <c r="H73" s="77"/>
      <c r="I73" s="78"/>
      <c r="J73" s="77"/>
      <c r="K73" s="77"/>
    </row>
    <row r="74" spans="1:11" ht="12.75">
      <c r="A74" s="65"/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s="68"/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294"/>
      <c r="D76" s="294"/>
      <c r="E76" s="2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9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4" t="s">
        <v>50</v>
      </c>
      <c r="B78" s="8" t="s">
        <v>189</v>
      </c>
      <c r="C78" s="251">
        <f>SUM(C71:C77)</f>
        <v>0</v>
      </c>
      <c r="D78" s="251">
        <f>SUM(D71:D77)</f>
        <v>0</v>
      </c>
      <c r="E78" s="251">
        <f>SUM(E71:E77)</f>
        <v>0</v>
      </c>
      <c r="F78" s="8"/>
      <c r="G78" s="79"/>
      <c r="H78" s="77"/>
      <c r="I78" s="78"/>
      <c r="J78" s="78"/>
      <c r="K78" s="77"/>
    </row>
    <row r="79" spans="1:11" ht="12.75">
      <c r="A79" s="10"/>
      <c r="C79" s="22"/>
      <c r="D79" s="22"/>
      <c r="E79" s="22"/>
      <c r="F79" s="8"/>
      <c r="G79" s="77"/>
      <c r="H79" s="77"/>
      <c r="I79" s="73"/>
      <c r="J79" s="73"/>
      <c r="K79" s="73"/>
    </row>
    <row r="80" spans="1:11" ht="12.75">
      <c r="A80" s="4" t="s">
        <v>18</v>
      </c>
      <c r="B80" s="8" t="s">
        <v>189</v>
      </c>
      <c r="C80" s="251">
        <f>C68+C78</f>
        <v>568897</v>
      </c>
      <c r="D80" s="251">
        <f>D68+D78</f>
        <v>0</v>
      </c>
      <c r="E80" s="251">
        <f>E68+E78</f>
        <v>568897</v>
      </c>
      <c r="F80" s="8"/>
      <c r="G80" s="45"/>
      <c r="H80" s="45"/>
      <c r="I80" s="45"/>
      <c r="J80" s="45"/>
      <c r="K80" s="45"/>
    </row>
    <row r="81" spans="1:11" ht="12.75">
      <c r="A81" s="4"/>
      <c r="B81" s="8"/>
      <c r="C81" s="73"/>
      <c r="D81" s="73"/>
      <c r="E81" s="73"/>
      <c r="F81" s="8"/>
      <c r="G81" s="45"/>
      <c r="H81" s="45"/>
      <c r="I81" s="45"/>
      <c r="J81" s="45"/>
      <c r="K81" s="45"/>
    </row>
    <row r="82" spans="1:11" ht="12.75">
      <c r="A82" s="280" t="s">
        <v>175</v>
      </c>
      <c r="B82" s="45"/>
      <c r="C82" s="23"/>
      <c r="D82" s="23"/>
      <c r="E82" s="23"/>
      <c r="F82" s="8"/>
      <c r="G82" s="45"/>
      <c r="H82" s="45"/>
      <c r="I82" s="45"/>
      <c r="J82" s="45"/>
      <c r="K82" s="45"/>
    </row>
    <row r="83" spans="1:11" ht="12.75">
      <c r="A83" s="288" t="str">
        <f aca="true" t="shared" si="2" ref="A83:A89">IF($E71&gt;$C$13,A71," ")</f>
        <v> </v>
      </c>
      <c r="B83" s="273"/>
      <c r="C83" s="290">
        <f aca="true" t="shared" si="3" ref="C83:E87">IF($E71&gt;$C$13,C71,)</f>
        <v>0</v>
      </c>
      <c r="D83" s="290">
        <f t="shared" si="3"/>
        <v>0</v>
      </c>
      <c r="E83" s="290">
        <f t="shared" si="3"/>
        <v>0</v>
      </c>
      <c r="F83" s="8"/>
      <c r="G83" s="45"/>
      <c r="H83" s="45"/>
      <c r="I83" s="45"/>
      <c r="J83" s="45"/>
      <c r="K83" s="45"/>
    </row>
    <row r="84" spans="1:11" ht="12.75">
      <c r="A84" s="288" t="str">
        <f t="shared" si="2"/>
        <v> </v>
      </c>
      <c r="B84" s="273"/>
      <c r="C84" s="290">
        <f t="shared" si="3"/>
        <v>0</v>
      </c>
      <c r="D84" s="290">
        <f t="shared" si="3"/>
        <v>0</v>
      </c>
      <c r="E84" s="290">
        <f t="shared" si="3"/>
        <v>0</v>
      </c>
      <c r="F84" s="8"/>
      <c r="G84" s="45"/>
      <c r="H84" s="45"/>
      <c r="I84" s="45"/>
      <c r="J84" s="45"/>
      <c r="K84" s="45"/>
    </row>
    <row r="85" spans="1:11" ht="12.75">
      <c r="A85" s="288" t="str">
        <f t="shared" si="2"/>
        <v> </v>
      </c>
      <c r="B85" s="273"/>
      <c r="C85" s="290">
        <f t="shared" si="3"/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aca="true" t="shared" si="4" ref="C88:E89">IF($E76&gt;$C$13,C76,)</f>
        <v>0</v>
      </c>
      <c r="D88" s="290">
        <f t="shared" si="4"/>
        <v>0</v>
      </c>
      <c r="E88" s="290">
        <f t="shared" si="4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4"/>
        <v>0</v>
      </c>
      <c r="D89" s="290">
        <f t="shared" si="4"/>
        <v>0</v>
      </c>
      <c r="E89" s="290">
        <f t="shared" si="4"/>
        <v>0</v>
      </c>
      <c r="F89" s="8"/>
      <c r="G89" s="45"/>
      <c r="H89" s="45"/>
      <c r="I89" s="45"/>
      <c r="J89" s="45"/>
      <c r="K89" s="45"/>
    </row>
    <row r="90" spans="1:11" ht="12.75">
      <c r="A90" s="289" t="s">
        <v>151</v>
      </c>
      <c r="B90" s="273"/>
      <c r="C90" s="279">
        <f>SUM(C83:C89)</f>
        <v>0</v>
      </c>
      <c r="D90" s="279">
        <f>SUM(D83:D89)</f>
        <v>0</v>
      </c>
      <c r="E90" s="279">
        <f>SUM(E83:E89)</f>
        <v>0</v>
      </c>
      <c r="F90" s="8"/>
      <c r="G90" s="45"/>
      <c r="H90" s="45"/>
      <c r="I90" s="45"/>
      <c r="J90" s="45"/>
      <c r="K90" s="45"/>
    </row>
    <row r="91" spans="1:11" ht="12.75">
      <c r="A91" s="273" t="s">
        <v>418</v>
      </c>
      <c r="B91" s="273"/>
      <c r="C91" s="251">
        <f>C78-C90</f>
        <v>0</v>
      </c>
      <c r="D91" s="251">
        <f>D78-D90</f>
        <v>0</v>
      </c>
      <c r="E91" s="251">
        <f>E78-E90</f>
        <v>0</v>
      </c>
      <c r="F91" s="8"/>
      <c r="G91" s="45"/>
      <c r="H91" s="45"/>
      <c r="I91" s="45"/>
      <c r="J91" s="45"/>
      <c r="K91" s="45"/>
    </row>
    <row r="92" spans="1:11" ht="12.75">
      <c r="A92" s="273" t="s">
        <v>197</v>
      </c>
      <c r="B92" s="273"/>
      <c r="C92" s="251">
        <f>C90+C91</f>
        <v>0</v>
      </c>
      <c r="D92" s="251">
        <f>D90+D91</f>
        <v>0</v>
      </c>
      <c r="E92" s="251">
        <f>E90+E91</f>
        <v>0</v>
      </c>
      <c r="F92" s="8"/>
      <c r="G92" s="45"/>
      <c r="H92" s="45"/>
      <c r="I92" s="45"/>
      <c r="J92" s="45"/>
      <c r="K92" s="45"/>
    </row>
    <row r="93" spans="1:11" ht="12.75">
      <c r="A93" s="2"/>
      <c r="B93" s="8"/>
      <c r="C93" s="5"/>
      <c r="D93" s="5"/>
      <c r="E93" s="5"/>
      <c r="F93" s="8"/>
      <c r="G93" s="45"/>
      <c r="H93" s="45"/>
      <c r="I93" s="45"/>
      <c r="J93" s="45"/>
      <c r="K93" s="45"/>
    </row>
    <row r="94" spans="1:11" ht="12.75">
      <c r="A94" s="12" t="s">
        <v>55</v>
      </c>
      <c r="B94" s="8"/>
      <c r="C94" s="5"/>
      <c r="D94" s="5"/>
      <c r="E94" s="5"/>
      <c r="F94" s="8"/>
      <c r="G94" s="45"/>
      <c r="H94" s="45"/>
      <c r="I94" s="45"/>
      <c r="J94" s="45"/>
      <c r="K94" s="45"/>
    </row>
    <row r="95" spans="1:11" ht="12.75">
      <c r="A95" t="s">
        <v>27</v>
      </c>
      <c r="B95" s="8" t="s">
        <v>188</v>
      </c>
      <c r="C95" s="318">
        <v>299231</v>
      </c>
      <c r="D95" s="318"/>
      <c r="E95" s="272">
        <f>+C95-D95</f>
        <v>299231</v>
      </c>
      <c r="F95" s="8"/>
      <c r="G95" s="45"/>
      <c r="H95" s="45"/>
      <c r="I95" s="45"/>
      <c r="J95" s="45"/>
      <c r="K95" s="45"/>
    </row>
    <row r="96" spans="1:11" ht="12.75">
      <c r="A96" t="s">
        <v>14</v>
      </c>
      <c r="B96" s="8" t="s">
        <v>188</v>
      </c>
      <c r="C96" s="294">
        <v>10796</v>
      </c>
      <c r="D96" s="294"/>
      <c r="E96" s="272">
        <f>+C96-D96</f>
        <v>10796</v>
      </c>
      <c r="F96" s="8"/>
      <c r="G96" s="45"/>
      <c r="H96" s="45"/>
      <c r="I96" s="45"/>
      <c r="J96" s="45"/>
      <c r="K96" s="45"/>
    </row>
    <row r="97" spans="1:11" ht="12.75">
      <c r="A97" t="s">
        <v>11</v>
      </c>
      <c r="B97" s="8" t="s">
        <v>188</v>
      </c>
      <c r="C97" s="318"/>
      <c r="D97" s="318"/>
      <c r="E97" s="272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38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s="10" t="s">
        <v>92</v>
      </c>
      <c r="B99" s="8" t="s">
        <v>188</v>
      </c>
      <c r="C99" s="294"/>
      <c r="D99" s="294"/>
      <c r="E99" s="287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s="10" t="s">
        <v>93</v>
      </c>
      <c r="B100" s="8" t="s">
        <v>188</v>
      </c>
      <c r="C100" s="294"/>
      <c r="D100" s="294"/>
      <c r="E100" s="272">
        <f aca="true" t="shared" si="5" ref="E100:E107"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94</v>
      </c>
      <c r="B101" s="8" t="s">
        <v>188</v>
      </c>
      <c r="C101" s="294"/>
      <c r="D101" s="294"/>
      <c r="E101" s="283">
        <f t="shared" si="5"/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256</v>
      </c>
      <c r="B102" s="8" t="s">
        <v>188</v>
      </c>
      <c r="C102" s="319">
        <f>'Tax Reserves'!C35</f>
        <v>0</v>
      </c>
      <c r="D102" s="319">
        <f>'Tax Reserves'!D35</f>
        <v>0</v>
      </c>
      <c r="E102" s="272">
        <f t="shared" si="5"/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272</v>
      </c>
      <c r="B103" s="8" t="s">
        <v>188</v>
      </c>
      <c r="C103" s="319">
        <f>'Tax Reserves'!C50</f>
        <v>0</v>
      </c>
      <c r="D103" s="319">
        <f>'Tax Reserves'!D50</f>
        <v>0</v>
      </c>
      <c r="E103" s="282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12</v>
      </c>
      <c r="B104" s="8" t="s">
        <v>188</v>
      </c>
      <c r="C104" s="294"/>
      <c r="D104" s="294"/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13</v>
      </c>
      <c r="B105" s="8" t="s">
        <v>188</v>
      </c>
      <c r="C105" s="294"/>
      <c r="D105" s="294"/>
      <c r="E105" s="272">
        <f t="shared" si="5"/>
        <v>0</v>
      </c>
      <c r="F105" s="8"/>
      <c r="G105" s="45"/>
      <c r="H105" s="45"/>
      <c r="I105" s="45"/>
      <c r="J105" s="45"/>
      <c r="K105" s="45"/>
    </row>
    <row r="106" spans="1:11" ht="15">
      <c r="A106" s="459" t="s">
        <v>381</v>
      </c>
      <c r="B106" s="8"/>
      <c r="C106" s="254">
        <f>'TAXREC 3'!C73</f>
        <v>27065</v>
      </c>
      <c r="D106" s="254">
        <f>'TAXREC 3'!D73</f>
        <v>0</v>
      </c>
      <c r="E106" s="272">
        <f t="shared" si="5"/>
        <v>27065</v>
      </c>
      <c r="F106" s="8"/>
      <c r="G106" s="45"/>
      <c r="H106" s="45"/>
      <c r="I106" s="45"/>
      <c r="J106" s="45"/>
      <c r="K106" s="45"/>
    </row>
    <row r="107" spans="1:11" ht="12.75">
      <c r="A107" s="31" t="s">
        <v>183</v>
      </c>
      <c r="B107" s="8" t="s">
        <v>188</v>
      </c>
      <c r="C107" s="294"/>
      <c r="D107" s="294"/>
      <c r="E107" s="283">
        <f t="shared" si="5"/>
        <v>0</v>
      </c>
      <c r="F107" s="8"/>
      <c r="G107" s="45"/>
      <c r="H107" s="45"/>
      <c r="I107" s="45"/>
      <c r="J107" s="45"/>
      <c r="K107" s="45"/>
    </row>
    <row r="108" spans="1:11" ht="12.75">
      <c r="A108" t="s">
        <v>162</v>
      </c>
      <c r="B108" s="8" t="s">
        <v>188</v>
      </c>
      <c r="C108" s="251">
        <f>'TAXREC 2'!C119</f>
        <v>195681</v>
      </c>
      <c r="D108" s="251">
        <f>'TAXREC 2'!D119</f>
        <v>0</v>
      </c>
      <c r="E108" s="251">
        <f>'TAXREC 2'!E119</f>
        <v>195681</v>
      </c>
      <c r="F108" s="8"/>
      <c r="G108" s="45"/>
      <c r="H108" s="45"/>
      <c r="I108" s="45"/>
      <c r="J108" s="45"/>
      <c r="K108" s="45"/>
    </row>
    <row r="109" spans="1:11" ht="12.75">
      <c r="A109" t="s">
        <v>163</v>
      </c>
      <c r="B109" s="8" t="s">
        <v>188</v>
      </c>
      <c r="C109" s="251">
        <f>'TAXREC 2'!C120</f>
        <v>0</v>
      </c>
      <c r="D109" s="251">
        <f>'TAXREC 2'!D120</f>
        <v>0</v>
      </c>
      <c r="E109" s="251">
        <f>'TAXREC 2'!E120</f>
        <v>0</v>
      </c>
      <c r="F109" s="8"/>
      <c r="G109" s="45"/>
      <c r="H109" s="45"/>
      <c r="I109" s="23"/>
      <c r="J109" s="23"/>
      <c r="K109" s="75"/>
    </row>
    <row r="110" spans="1:11" ht="12.75">
      <c r="A110" s="4"/>
      <c r="B110" s="8"/>
      <c r="C110" s="22"/>
      <c r="D110" s="22"/>
      <c r="E110" s="296"/>
      <c r="F110" s="8"/>
      <c r="G110" s="45"/>
      <c r="H110" s="45"/>
      <c r="I110" s="23"/>
      <c r="J110" s="45"/>
      <c r="K110" s="75"/>
    </row>
    <row r="111" spans="1:11" ht="12.75">
      <c r="A111" s="4" t="s">
        <v>164</v>
      </c>
      <c r="B111" s="8" t="s">
        <v>189</v>
      </c>
      <c r="C111" s="251">
        <f>SUM(C95:C109)</f>
        <v>532773</v>
      </c>
      <c r="D111" s="251">
        <f>SUM(D95:D109)</f>
        <v>0</v>
      </c>
      <c r="E111" s="251">
        <f>SUM(E95:E109)</f>
        <v>532773</v>
      </c>
      <c r="F111" s="8"/>
      <c r="G111" s="45"/>
      <c r="H111" s="45"/>
      <c r="I111" s="23"/>
      <c r="J111" s="45"/>
      <c r="K111" s="23"/>
    </row>
    <row r="112" spans="1:11" ht="12.75">
      <c r="A112" s="10" t="s">
        <v>206</v>
      </c>
      <c r="B112" s="8"/>
      <c r="C112" s="5"/>
      <c r="D112" s="5"/>
      <c r="E112" s="5"/>
      <c r="F112" s="8"/>
      <c r="G112" s="45"/>
      <c r="H112" s="45"/>
      <c r="I112" s="23"/>
      <c r="J112" s="23"/>
      <c r="K112" s="23"/>
    </row>
    <row r="113" spans="1:11" ht="12.75">
      <c r="A113" s="2" t="s">
        <v>16</v>
      </c>
      <c r="B113" s="8" t="s">
        <v>188</v>
      </c>
      <c r="C113" s="294"/>
      <c r="D113" s="294"/>
      <c r="E113" s="272">
        <f>+C113-D113</f>
        <v>0</v>
      </c>
      <c r="F113" s="8"/>
      <c r="G113" s="76"/>
      <c r="H113" s="77"/>
      <c r="I113" s="78"/>
      <c r="J113" s="78"/>
      <c r="K113" s="78"/>
    </row>
    <row r="114" spans="1:11" ht="12.75">
      <c r="A114" s="68" t="s">
        <v>221</v>
      </c>
      <c r="B114" s="8" t="s">
        <v>188</v>
      </c>
      <c r="C114" s="294"/>
      <c r="D114" s="294"/>
      <c r="E114" s="272">
        <f>+C114-D114</f>
        <v>0</v>
      </c>
      <c r="F114" s="8"/>
      <c r="G114" s="76"/>
      <c r="H114" s="77"/>
      <c r="I114" s="77"/>
      <c r="J114" s="77"/>
      <c r="K114" s="77"/>
    </row>
    <row r="115" spans="1:11" ht="12.75">
      <c r="A115" s="68"/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7"/>
      <c r="J115" s="77"/>
      <c r="K115" s="77"/>
    </row>
    <row r="116" spans="1:11" ht="12.75">
      <c r="A116" s="68"/>
      <c r="B116" s="8"/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9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10" t="s">
        <v>51</v>
      </c>
      <c r="B118" s="8" t="s">
        <v>189</v>
      </c>
      <c r="C118" s="251">
        <f>SUM(C112:C117)</f>
        <v>0</v>
      </c>
      <c r="D118" s="251">
        <f>SUM(D112:D117)</f>
        <v>0</v>
      </c>
      <c r="E118" s="251">
        <f>SUM(E112:E117)</f>
        <v>0</v>
      </c>
      <c r="F118" s="8"/>
      <c r="G118" s="79"/>
      <c r="H118" s="77"/>
      <c r="I118" s="77"/>
      <c r="J118" s="77"/>
      <c r="K118" s="77"/>
    </row>
    <row r="119" spans="2:11" ht="12.75">
      <c r="B119" s="8"/>
      <c r="C119" s="22"/>
      <c r="D119" s="22"/>
      <c r="E119" s="22"/>
      <c r="F119" s="8"/>
      <c r="G119" s="77"/>
      <c r="H119" s="77"/>
      <c r="I119" s="73"/>
      <c r="J119" s="73"/>
      <c r="K119" s="73"/>
    </row>
    <row r="120" spans="1:11" ht="12.75">
      <c r="A120" s="4" t="s">
        <v>19</v>
      </c>
      <c r="B120" s="8" t="s">
        <v>189</v>
      </c>
      <c r="C120" s="251">
        <f>C111+C118</f>
        <v>532773</v>
      </c>
      <c r="D120" s="251">
        <f>D111+D118</f>
        <v>0</v>
      </c>
      <c r="E120" s="251">
        <f>+E111+E118</f>
        <v>532773</v>
      </c>
      <c r="F120" s="8"/>
      <c r="G120" s="45"/>
      <c r="H120" s="45"/>
      <c r="I120" s="45"/>
      <c r="J120" s="45"/>
      <c r="K120" s="45"/>
    </row>
    <row r="121" spans="2:11" ht="12.75">
      <c r="B121" s="8"/>
      <c r="C121" s="22"/>
      <c r="D121" s="22"/>
      <c r="E121" s="22"/>
      <c r="F121" s="8"/>
      <c r="G121" s="45"/>
      <c r="H121" s="45"/>
      <c r="I121" s="45"/>
      <c r="J121" s="45"/>
      <c r="K121" s="45"/>
    </row>
    <row r="122" spans="1:11" ht="12.75">
      <c r="A122" s="291" t="s">
        <v>176</v>
      </c>
      <c r="C122" s="8"/>
      <c r="D122" s="8"/>
      <c r="E122" s="8"/>
      <c r="F122" s="8"/>
      <c r="G122" s="45"/>
      <c r="H122" s="45"/>
      <c r="I122" s="45"/>
      <c r="J122" s="45"/>
      <c r="K122" s="45"/>
    </row>
    <row r="123" spans="1:11" ht="12.75">
      <c r="A123" s="288" t="str">
        <f>IF($E113&gt;$C$13,A113," ")</f>
        <v> </v>
      </c>
      <c r="B123" s="273"/>
      <c r="C123" s="290">
        <f aca="true" t="shared" si="6" ref="C123:E127">IF($E113&gt;$C$13,C113,)</f>
        <v>0</v>
      </c>
      <c r="D123" s="290">
        <f>IF($E113&gt;$C$13,D113,)</f>
        <v>0</v>
      </c>
      <c r="E123" s="290">
        <f>IF($E113&gt;$C$13,E113,)</f>
        <v>0</v>
      </c>
      <c r="F123" s="8"/>
      <c r="G123" s="45"/>
      <c r="H123" s="45"/>
      <c r="I123" s="45"/>
      <c r="J123" s="45"/>
      <c r="K123" s="45"/>
    </row>
    <row r="124" spans="1:11" ht="12.75">
      <c r="A124" s="288" t="str">
        <f>IF($E114&gt;$C$13,A114," ")</f>
        <v> </v>
      </c>
      <c r="B124" s="273"/>
      <c r="C124" s="290">
        <f t="shared" si="6"/>
        <v>0</v>
      </c>
      <c r="D124" s="290">
        <f>IF($E114&gt;$C$13,D114,)</f>
        <v>0</v>
      </c>
      <c r="E124" s="290">
        <f>IF($E114&gt;$C$13,E114,)</f>
        <v>0</v>
      </c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t="shared" si="6"/>
        <v>0</v>
      </c>
      <c r="D125" s="290">
        <f t="shared" si="6"/>
        <v>0</v>
      </c>
      <c r="E125" s="290">
        <f t="shared" si="6"/>
        <v>0</v>
      </c>
      <c r="F125" s="8"/>
      <c r="G125" s="45"/>
      <c r="H125" s="45"/>
      <c r="I125" s="45"/>
      <c r="J125" s="45"/>
      <c r="K125" s="45"/>
    </row>
    <row r="126" spans="1:11" ht="12.75">
      <c r="A126" s="288"/>
      <c r="B126" s="273"/>
      <c r="C126" s="290">
        <f t="shared" si="6"/>
        <v>0</v>
      </c>
      <c r="D126" s="290">
        <f t="shared" si="6"/>
        <v>0</v>
      </c>
      <c r="E126" s="290">
        <f t="shared" si="6"/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 t="s">
        <v>199</v>
      </c>
      <c r="B128" s="273"/>
      <c r="C128" s="251">
        <f>SUM(C123:C127)</f>
        <v>0</v>
      </c>
      <c r="D128" s="251">
        <f>SUM(D123:D127)</f>
        <v>0</v>
      </c>
      <c r="E128" s="251">
        <f>SUM(E123:E127)</f>
        <v>0</v>
      </c>
      <c r="F128" s="8"/>
      <c r="G128" s="45"/>
      <c r="H128" s="45"/>
      <c r="I128" s="45"/>
      <c r="J128" s="45"/>
      <c r="K128" s="45"/>
    </row>
    <row r="129" spans="1:11" ht="12.75">
      <c r="A129" s="273" t="s">
        <v>200</v>
      </c>
      <c r="B129" s="273"/>
      <c r="C129" s="251">
        <f>C118-C128</f>
        <v>0</v>
      </c>
      <c r="D129" s="251">
        <f>D118-D128</f>
        <v>0</v>
      </c>
      <c r="E129" s="251">
        <f>E118-E128</f>
        <v>0</v>
      </c>
      <c r="F129" s="8"/>
      <c r="G129" s="45"/>
      <c r="H129" s="45"/>
      <c r="I129" s="45"/>
      <c r="J129" s="45"/>
      <c r="K129" s="45"/>
    </row>
    <row r="130" spans="1:11" ht="12.75">
      <c r="A130" s="273" t="s">
        <v>198</v>
      </c>
      <c r="B130" s="273"/>
      <c r="C130" s="251">
        <f>C128+C129</f>
        <v>0</v>
      </c>
      <c r="D130" s="251">
        <f>D128+D129</f>
        <v>0</v>
      </c>
      <c r="E130" s="251">
        <f>E128+E129</f>
        <v>0</v>
      </c>
      <c r="F130" s="8"/>
      <c r="G130" s="45"/>
      <c r="H130" s="45"/>
      <c r="I130" s="45"/>
      <c r="J130" s="45"/>
      <c r="K130" s="45"/>
    </row>
    <row r="131" spans="2:11" ht="12.75">
      <c r="B131" s="8"/>
      <c r="C131" s="22"/>
      <c r="D131" s="22"/>
      <c r="E131" s="22"/>
      <c r="F131" s="8"/>
      <c r="G131" s="45"/>
      <c r="H131" s="45"/>
      <c r="I131" s="45"/>
      <c r="J131" s="45"/>
      <c r="K131" s="45"/>
    </row>
    <row r="132" spans="1:11" ht="12.75">
      <c r="A132" s="13" t="s">
        <v>81</v>
      </c>
      <c r="B132" s="8" t="s">
        <v>189</v>
      </c>
      <c r="C132" s="251">
        <f>+C51+C80-C120</f>
        <v>-358052</v>
      </c>
      <c r="D132" s="251">
        <f>D51+D80-D120</f>
        <v>0</v>
      </c>
      <c r="E132" s="251">
        <f>E51+E80-E120</f>
        <v>-358052</v>
      </c>
      <c r="F132" s="8"/>
      <c r="G132" s="483"/>
      <c r="H132" s="483"/>
      <c r="I132" s="483"/>
      <c r="J132" s="483"/>
      <c r="K132" s="45"/>
    </row>
    <row r="133" spans="1:11" ht="12.75">
      <c r="A133" s="12" t="s">
        <v>46</v>
      </c>
      <c r="B133" s="8"/>
      <c r="D133" s="30"/>
      <c r="E133" s="30"/>
      <c r="F133" s="8"/>
      <c r="G133" s="483"/>
      <c r="H133" s="483"/>
      <c r="I133" s="483"/>
      <c r="J133" s="483"/>
      <c r="K133" s="45"/>
    </row>
    <row r="134" spans="1:11" ht="12.75">
      <c r="A134" s="12" t="s">
        <v>363</v>
      </c>
      <c r="B134" s="8" t="s">
        <v>188</v>
      </c>
      <c r="C134" s="294"/>
      <c r="D134" s="294"/>
      <c r="E134" s="265">
        <f>C134-D134</f>
        <v>0</v>
      </c>
      <c r="F134" s="8"/>
      <c r="G134" s="483"/>
      <c r="H134" s="483"/>
      <c r="I134" s="483"/>
      <c r="J134" s="483"/>
      <c r="K134" s="45"/>
    </row>
    <row r="135" spans="1:11" ht="12.75">
      <c r="A135" s="46" t="s">
        <v>364</v>
      </c>
      <c r="B135" s="8" t="s">
        <v>188</v>
      </c>
      <c r="C135" s="310"/>
      <c r="D135" s="310"/>
      <c r="E135" s="393">
        <f>C135-D135</f>
        <v>0</v>
      </c>
      <c r="F135" s="8"/>
      <c r="G135" s="484"/>
      <c r="H135" s="483"/>
      <c r="I135" s="484"/>
      <c r="J135" s="483"/>
      <c r="K135" s="45"/>
    </row>
    <row r="136" spans="1:11" ht="12.75">
      <c r="A136" s="46"/>
      <c r="B136" s="8"/>
      <c r="C136" s="310"/>
      <c r="D136" s="310"/>
      <c r="E136" s="393">
        <f>C136-D136</f>
        <v>0</v>
      </c>
      <c r="F136" s="8"/>
      <c r="G136" s="483"/>
      <c r="H136" s="483"/>
      <c r="I136" s="483"/>
      <c r="J136" s="483"/>
      <c r="K136" s="45"/>
    </row>
    <row r="137" spans="1:11" ht="12.75">
      <c r="A137" s="46" t="s">
        <v>97</v>
      </c>
      <c r="B137" s="8" t="s">
        <v>189</v>
      </c>
      <c r="C137" s="252">
        <f>C132-C134-C135-C136</f>
        <v>-358052</v>
      </c>
      <c r="D137" s="252">
        <f>D132-D134-D135-D136</f>
        <v>0</v>
      </c>
      <c r="E137" s="252">
        <f>E132-E134-E135-E136</f>
        <v>-358052</v>
      </c>
      <c r="F137" s="8"/>
      <c r="G137" s="483"/>
      <c r="H137" s="483"/>
      <c r="I137" s="483"/>
      <c r="J137" s="483"/>
      <c r="K137" s="45"/>
    </row>
    <row r="138" spans="1:11" ht="12.75">
      <c r="A138" s="46"/>
      <c r="B138" s="8"/>
      <c r="C138" s="88"/>
      <c r="D138" s="88"/>
      <c r="E138" s="88"/>
      <c r="F138" s="8"/>
      <c r="G138" s="45"/>
      <c r="H138" s="45"/>
      <c r="I138" s="45"/>
      <c r="J138" s="45"/>
      <c r="K138" s="45"/>
    </row>
    <row r="139" spans="1:11" ht="12.75">
      <c r="A139" s="320" t="s">
        <v>296</v>
      </c>
      <c r="B139" s="8"/>
      <c r="C139" s="5"/>
      <c r="D139" s="5"/>
      <c r="E139" s="5"/>
      <c r="F139" s="8"/>
      <c r="G139" s="45"/>
      <c r="H139" s="45"/>
      <c r="I139" s="45"/>
      <c r="J139" s="45"/>
      <c r="K139" s="45"/>
    </row>
    <row r="140" spans="1:11" ht="12.75">
      <c r="A140" s="46" t="s">
        <v>312</v>
      </c>
      <c r="B140" s="8" t="s">
        <v>187</v>
      </c>
      <c r="C140" s="298"/>
      <c r="D140" s="298"/>
      <c r="E140" s="252">
        <f>C140-D140</f>
        <v>0</v>
      </c>
      <c r="F140" s="8"/>
      <c r="G140" s="45"/>
      <c r="H140" s="45"/>
      <c r="I140" s="45"/>
      <c r="J140" s="45"/>
      <c r="K140" s="45"/>
    </row>
    <row r="141" spans="1:11" ht="12.75">
      <c r="A141" s="46" t="s">
        <v>311</v>
      </c>
      <c r="B141" s="8" t="s">
        <v>187</v>
      </c>
      <c r="C141" s="298"/>
      <c r="D141" s="298"/>
      <c r="E141" s="292">
        <f>C141-D141</f>
        <v>0</v>
      </c>
      <c r="F141" s="8"/>
      <c r="G141" s="45"/>
      <c r="H141" s="45"/>
      <c r="I141" s="45"/>
      <c r="J141" s="45"/>
      <c r="K141" s="45"/>
    </row>
    <row r="142" spans="1:11" ht="12.75">
      <c r="A142" s="46" t="s">
        <v>173</v>
      </c>
      <c r="B142" s="8" t="s">
        <v>189</v>
      </c>
      <c r="C142" s="252">
        <f>C140+C141</f>
        <v>0</v>
      </c>
      <c r="D142" s="252">
        <f>D140+D141</f>
        <v>0</v>
      </c>
      <c r="E142" s="252">
        <f>E140+E141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323</v>
      </c>
      <c r="B143" s="8" t="s">
        <v>188</v>
      </c>
      <c r="C143" s="298"/>
      <c r="D143" s="298"/>
      <c r="E143" s="293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320" t="s">
        <v>99</v>
      </c>
      <c r="B144" s="8" t="s">
        <v>189</v>
      </c>
      <c r="C144" s="252">
        <f>C142-C143</f>
        <v>0</v>
      </c>
      <c r="D144" s="252">
        <f>D142-D143</f>
        <v>0</v>
      </c>
      <c r="E144" s="252">
        <f>E142-E143</f>
        <v>0</v>
      </c>
      <c r="F144" s="8"/>
      <c r="G144" s="45"/>
      <c r="H144" s="45"/>
      <c r="I144" s="45"/>
      <c r="J144" s="45"/>
      <c r="K144" s="45"/>
    </row>
    <row r="145" spans="2:11" ht="12.75">
      <c r="B145" s="8"/>
      <c r="C145" s="5"/>
      <c r="D145" s="5"/>
      <c r="E145" s="5"/>
      <c r="F145" s="8"/>
      <c r="G145" s="45"/>
      <c r="H145" s="45"/>
      <c r="I145" s="45"/>
      <c r="J145" s="45"/>
      <c r="K145" s="45"/>
    </row>
    <row r="146" spans="1:11" ht="12.75">
      <c r="A146" s="320" t="s">
        <v>296</v>
      </c>
      <c r="B146" s="8"/>
      <c r="C146" s="5"/>
      <c r="D146" s="5"/>
      <c r="E146" s="5"/>
      <c r="F146" s="8"/>
      <c r="G146" s="45"/>
      <c r="H146" s="45"/>
      <c r="I146" s="45"/>
      <c r="J146" s="45"/>
      <c r="K146" s="45"/>
    </row>
    <row r="147" spans="1:11" ht="12.75">
      <c r="A147" s="46" t="s">
        <v>318</v>
      </c>
      <c r="B147" s="8"/>
      <c r="C147" s="404">
        <f>'Tax Rates'!F50</f>
        <v>0.2812</v>
      </c>
      <c r="D147" s="5"/>
      <c r="E147" s="405">
        <f>C147</f>
        <v>0.2812</v>
      </c>
      <c r="F147" s="8"/>
      <c r="G147" s="45" t="s">
        <v>455</v>
      </c>
      <c r="H147" s="45"/>
      <c r="I147" s="45"/>
      <c r="J147" s="45"/>
      <c r="K147" s="45"/>
    </row>
    <row r="148" spans="1:11" ht="12.75">
      <c r="A148" s="46" t="s">
        <v>319</v>
      </c>
      <c r="B148" s="8"/>
      <c r="C148" s="404">
        <f>'Tax Rates'!F51</f>
        <v>0.125</v>
      </c>
      <c r="D148" s="5"/>
      <c r="E148" s="405">
        <f>C148</f>
        <v>0.125</v>
      </c>
      <c r="F148" s="8"/>
      <c r="G148" s="45" t="s">
        <v>456</v>
      </c>
      <c r="H148" s="45"/>
      <c r="I148" s="45"/>
      <c r="J148" s="45"/>
      <c r="K148" s="45"/>
    </row>
    <row r="149" spans="1:11" ht="12.75">
      <c r="A149" t="s">
        <v>320</v>
      </c>
      <c r="B149" s="8"/>
      <c r="C149" s="405">
        <f>SUM(C147:C148)</f>
        <v>0.4062</v>
      </c>
      <c r="D149" s="5"/>
      <c r="E149" s="405">
        <f>SUM(E147:E148)</f>
        <v>0.4062</v>
      </c>
      <c r="F149" s="8"/>
      <c r="G149" s="45"/>
      <c r="H149" s="45"/>
      <c r="I149" s="45"/>
      <c r="J149" s="45"/>
      <c r="K149" s="45"/>
    </row>
    <row r="150" spans="2:11" ht="12.75">
      <c r="B150" s="8"/>
      <c r="C150" s="482"/>
      <c r="D150" s="5"/>
      <c r="E150" s="5"/>
      <c r="F150" s="8"/>
      <c r="G150" s="45"/>
      <c r="H150" s="45"/>
      <c r="I150" s="45"/>
      <c r="J150" s="45"/>
      <c r="K150" s="45"/>
    </row>
    <row r="151" spans="1:2" ht="12.75">
      <c r="A151" s="14" t="s">
        <v>345</v>
      </c>
      <c r="B151" s="8"/>
    </row>
    <row r="152" spans="1:2" ht="12.75">
      <c r="A152" s="14"/>
      <c r="B152" s="8"/>
    </row>
    <row r="153" spans="1:2" ht="12.75">
      <c r="A153" s="2" t="s">
        <v>324</v>
      </c>
      <c r="B153" s="8"/>
    </row>
    <row r="154" spans="1:5" ht="12.75">
      <c r="A154" t="s">
        <v>218</v>
      </c>
      <c r="B154" s="86" t="s">
        <v>187</v>
      </c>
      <c r="C154" s="251">
        <f>C144</f>
        <v>0</v>
      </c>
      <c r="D154" s="251">
        <f>D144</f>
        <v>0</v>
      </c>
      <c r="E154" s="251">
        <f>E144</f>
        <v>0</v>
      </c>
    </row>
    <row r="155" spans="1:5" ht="12.75">
      <c r="A155" t="s">
        <v>20</v>
      </c>
      <c r="B155" s="86" t="s">
        <v>187</v>
      </c>
      <c r="C155" s="251">
        <f>TAXCALC!G72</f>
        <v>13457.372843835617</v>
      </c>
      <c r="D155" s="251"/>
      <c r="E155" s="251">
        <f>C155+D155</f>
        <v>13457.372843835617</v>
      </c>
    </row>
    <row r="156" spans="1:5" ht="12.75">
      <c r="A156" t="s">
        <v>217</v>
      </c>
      <c r="B156" s="86" t="s">
        <v>187</v>
      </c>
      <c r="C156" s="251">
        <f>TAXCALC!G84</f>
        <v>6965.913526027396</v>
      </c>
      <c r="D156" s="251"/>
      <c r="E156" s="251">
        <f>C156+D156</f>
        <v>6965.913526027396</v>
      </c>
    </row>
    <row r="157" ht="12.75">
      <c r="B157" s="8"/>
    </row>
    <row r="158" spans="1:5" ht="12.75">
      <c r="A158" s="2" t="s">
        <v>293</v>
      </c>
      <c r="B158" s="66" t="s">
        <v>189</v>
      </c>
      <c r="C158" s="251">
        <f>C154+C155+C156</f>
        <v>20423.286369863014</v>
      </c>
      <c r="D158" s="251">
        <f>D154+D155+D156</f>
        <v>0</v>
      </c>
      <c r="E158" s="251">
        <f>E154+E155+E156</f>
        <v>20423.286369863014</v>
      </c>
    </row>
    <row r="159" ht="12.75">
      <c r="C159" s="85"/>
    </row>
    <row r="160" ht="12.75">
      <c r="C160" s="8"/>
    </row>
    <row r="161" ht="12.75">
      <c r="E161" s="22"/>
    </row>
  </sheetData>
  <sheetProtection/>
  <hyperlinks>
    <hyperlink ref="C61" location="'Tax Reserves'!C21" display="'Tax Reserves'!C21"/>
    <hyperlink ref="D61" location="'Tax Reserves'!D21" display="'Tax Reserves'!D21"/>
    <hyperlink ref="C102" location="'Tax Reserves'!C36" tooltip="Go to Tax Reserves worksheet" display="'Tax Reserves'!C36"/>
    <hyperlink ref="D102" location="D36" tooltip="Go to the Tax Reserves worksheet" display="D36"/>
    <hyperlink ref="C62" location="'Tax Reserves'!C21" display="'Tax Reserves'!C21"/>
    <hyperlink ref="D62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</hyperlinks>
  <printOptions gridLines="1" headings="1"/>
  <pageMargins left="0.354330708661417" right="0.0393700787401575" top="0.61" bottom="0.236220472440945" header="0.22" footer="0"/>
  <pageSetup fitToHeight="2" fitToWidth="1" horizontalDpi="600" verticalDpi="600" orientation="portrait" scale="65" r:id="rId3"/>
  <rowBreaks count="1" manualBreakCount="1">
    <brk id="9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 EB-2011-XXXX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/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Innisfil Hydro Distribution Systems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267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273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274</v>
      </c>
      <c r="B15" s="61"/>
      <c r="C15" s="294"/>
      <c r="D15" s="294"/>
      <c r="E15" s="251">
        <f t="shared" si="0"/>
        <v>0</v>
      </c>
    </row>
    <row r="16" spans="1:5" ht="12.75">
      <c r="A16" s="61" t="s">
        <v>275</v>
      </c>
      <c r="B16" s="61"/>
      <c r="C16" s="294"/>
      <c r="D16" s="294"/>
      <c r="E16" s="251">
        <f t="shared" si="0"/>
        <v>0</v>
      </c>
    </row>
    <row r="17" spans="1:5" ht="12.75">
      <c r="A17" s="61" t="s">
        <v>276</v>
      </c>
      <c r="B17" s="61"/>
      <c r="C17" s="294"/>
      <c r="D17" s="294"/>
      <c r="E17" s="251">
        <f t="shared" si="0"/>
        <v>0</v>
      </c>
    </row>
    <row r="18" spans="1:5" ht="12.75">
      <c r="A18" s="61" t="s">
        <v>435</v>
      </c>
      <c r="B18" s="61"/>
      <c r="C18" s="294"/>
      <c r="D18" s="294"/>
      <c r="E18" s="251">
        <f t="shared" si="0"/>
        <v>0</v>
      </c>
    </row>
    <row r="19" spans="1:5" ht="12.75">
      <c r="A19" s="61" t="s">
        <v>435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266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273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274</v>
      </c>
      <c r="B27" s="61"/>
      <c r="C27" s="294"/>
      <c r="D27" s="294"/>
      <c r="E27" s="251">
        <f t="shared" si="1"/>
        <v>0</v>
      </c>
    </row>
    <row r="28" spans="1:5" ht="12.75">
      <c r="A28" s="61" t="s">
        <v>275</v>
      </c>
      <c r="B28" s="61"/>
      <c r="C28" s="294"/>
      <c r="D28" s="294"/>
      <c r="E28" s="251">
        <f t="shared" si="1"/>
        <v>0</v>
      </c>
    </row>
    <row r="29" spans="1:5" ht="12.75">
      <c r="A29" s="61" t="s">
        <v>276</v>
      </c>
      <c r="B29" s="61"/>
      <c r="C29" s="294"/>
      <c r="D29" s="294"/>
      <c r="E29" s="251">
        <f t="shared" si="1"/>
        <v>0</v>
      </c>
    </row>
    <row r="30" spans="1:5" ht="12.75">
      <c r="A30" s="61" t="s">
        <v>435</v>
      </c>
      <c r="B30" s="61"/>
      <c r="C30" s="294"/>
      <c r="D30" s="294"/>
      <c r="E30" s="251">
        <f t="shared" si="1"/>
        <v>0</v>
      </c>
    </row>
    <row r="31" spans="1:5" ht="12.75">
      <c r="A31" s="61" t="s">
        <v>435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265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267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261</v>
      </c>
      <c r="B43" s="61"/>
      <c r="C43" s="294"/>
      <c r="D43" s="294"/>
      <c r="E43" s="251">
        <f t="shared" si="2"/>
        <v>0</v>
      </c>
    </row>
    <row r="44" spans="1:5" ht="12.75">
      <c r="A44" s="61" t="s">
        <v>262</v>
      </c>
      <c r="B44" s="61"/>
      <c r="C44" s="294"/>
      <c r="D44" s="294"/>
      <c r="E44" s="251">
        <f t="shared" si="2"/>
        <v>0</v>
      </c>
    </row>
    <row r="45" spans="1:5" ht="12.75">
      <c r="A45" s="61" t="s">
        <v>263</v>
      </c>
      <c r="B45" s="61"/>
      <c r="C45" s="294"/>
      <c r="D45" s="294"/>
      <c r="E45" s="251">
        <f t="shared" si="2"/>
        <v>0</v>
      </c>
    </row>
    <row r="46" spans="1:5" ht="12.75">
      <c r="A46" s="61" t="s">
        <v>264</v>
      </c>
      <c r="B46" s="61"/>
      <c r="C46" s="294"/>
      <c r="D46" s="294"/>
      <c r="E46" s="251">
        <f t="shared" si="2"/>
        <v>0</v>
      </c>
    </row>
    <row r="47" spans="1:5" ht="12.75">
      <c r="A47" s="61" t="s">
        <v>435</v>
      </c>
      <c r="B47" s="61"/>
      <c r="C47" s="294"/>
      <c r="D47" s="294"/>
      <c r="E47" s="251">
        <f t="shared" si="2"/>
        <v>0</v>
      </c>
    </row>
    <row r="48" spans="1:5" ht="12.75">
      <c r="A48" s="61" t="s">
        <v>435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266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261</v>
      </c>
      <c r="B55" s="61"/>
      <c r="C55" s="294"/>
      <c r="D55" s="294"/>
      <c r="E55" s="251">
        <f t="shared" si="3"/>
        <v>0</v>
      </c>
    </row>
    <row r="56" spans="1:5" ht="12.75">
      <c r="A56" s="246" t="s">
        <v>262</v>
      </c>
      <c r="B56" s="61"/>
      <c r="C56" s="294"/>
      <c r="D56" s="294"/>
      <c r="E56" s="251">
        <f t="shared" si="3"/>
        <v>0</v>
      </c>
    </row>
    <row r="57" spans="1:5" ht="12.75">
      <c r="A57" s="246" t="s">
        <v>263</v>
      </c>
      <c r="B57" s="61"/>
      <c r="C57" s="294"/>
      <c r="D57" s="294"/>
      <c r="E57" s="251">
        <f t="shared" si="3"/>
        <v>0</v>
      </c>
    </row>
    <row r="58" spans="1:5" ht="12.75">
      <c r="A58" s="246" t="s">
        <v>264</v>
      </c>
      <c r="B58" s="61"/>
      <c r="C58" s="294"/>
      <c r="D58" s="294"/>
      <c r="E58" s="251">
        <f t="shared" si="3"/>
        <v>0</v>
      </c>
    </row>
    <row r="59" spans="1:5" ht="12.75">
      <c r="A59" s="61" t="s">
        <v>435</v>
      </c>
      <c r="B59" s="61"/>
      <c r="C59" s="294"/>
      <c r="D59" s="294"/>
      <c r="E59" s="251">
        <f t="shared" si="3"/>
        <v>0</v>
      </c>
    </row>
    <row r="60" spans="1:5" ht="12.75">
      <c r="A60" s="61" t="s">
        <v>435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2" bottom="0.236220472440945" header="0.2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8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84" sqref="C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 EB-2011-XXXX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453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452</v>
      </c>
      <c r="B5" s="8"/>
      <c r="C5" s="8" t="s">
        <v>2</v>
      </c>
      <c r="D5" s="8"/>
      <c r="E5" s="8"/>
      <c r="F5" s="8"/>
    </row>
    <row r="6" spans="1:6" ht="12.75">
      <c r="A6" s="415" t="s">
        <v>432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Innisfil Hydro Distribution Systems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472">
        <f>TAXREC!C11</f>
        <v>91.25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25203.24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247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>
        <v>65</v>
      </c>
      <c r="D19" s="295"/>
      <c r="E19" s="313">
        <f t="shared" si="0"/>
        <v>65</v>
      </c>
    </row>
    <row r="20" spans="1:5" ht="12.75">
      <c r="A20" s="67" t="s">
        <v>436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485" t="s">
        <v>498</v>
      </c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248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485" t="s">
        <v>496</v>
      </c>
      <c r="B36" t="s">
        <v>187</v>
      </c>
      <c r="C36" s="295">
        <v>195681</v>
      </c>
      <c r="D36" s="295"/>
      <c r="E36" s="313">
        <f t="shared" si="0"/>
        <v>195681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195746</v>
      </c>
      <c r="D46" s="251">
        <f>SUM(D17:D45)</f>
        <v>0</v>
      </c>
      <c r="E46" s="251">
        <f>SUM(E17:E45)</f>
        <v>195746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52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IF($E19&gt;$C$11,A19,"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IF($E20&gt;$C$11,A20,"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70">IF($E21&gt;$C$11,A21," ")</f>
        <v> </v>
      </c>
      <c r="B53" s="273"/>
      <c r="C53" s="251">
        <f aca="true" t="shared" si="3" ref="C53:E70">IF($E21&gt;$C$11,C21,)</f>
        <v>0</v>
      </c>
      <c r="D53" s="251">
        <f t="shared" si="3"/>
        <v>0</v>
      </c>
      <c r="E53" s="251">
        <f t="shared" si="3"/>
        <v>0</v>
      </c>
    </row>
    <row r="54" spans="1:5" ht="12.75">
      <c r="A54" s="275" t="str">
        <f t="shared" si="2"/>
        <v> </v>
      </c>
      <c r="B54" s="273"/>
      <c r="C54" s="251">
        <f t="shared" si="3"/>
        <v>0</v>
      </c>
      <c r="D54" s="251">
        <f t="shared" si="3"/>
        <v>0</v>
      </c>
      <c r="E54" s="251">
        <f t="shared" si="3"/>
        <v>0</v>
      </c>
    </row>
    <row r="55" spans="1:5" ht="12.75">
      <c r="A55" s="275" t="str">
        <f t="shared" si="2"/>
        <v> </v>
      </c>
      <c r="B55" s="273"/>
      <c r="C55" s="251">
        <f t="shared" si="3"/>
        <v>0</v>
      </c>
      <c r="D55" s="251">
        <f t="shared" si="3"/>
        <v>0</v>
      </c>
      <c r="E55" s="251">
        <f t="shared" si="3"/>
        <v>0</v>
      </c>
    </row>
    <row r="56" spans="1:5" ht="12.75">
      <c r="A56" s="275" t="str">
        <f t="shared" si="2"/>
        <v> </v>
      </c>
      <c r="B56" s="273"/>
      <c r="C56" s="251">
        <f t="shared" si="3"/>
        <v>0</v>
      </c>
      <c r="D56" s="251">
        <f t="shared" si="3"/>
        <v>0</v>
      </c>
      <c r="E56" s="251">
        <f t="shared" si="3"/>
        <v>0</v>
      </c>
    </row>
    <row r="57" spans="1:5" ht="12.75">
      <c r="A57" s="275" t="str">
        <f t="shared" si="2"/>
        <v> </v>
      </c>
      <c r="B57" s="273"/>
      <c r="C57" s="251">
        <f t="shared" si="3"/>
        <v>0</v>
      </c>
      <c r="D57" s="251">
        <f t="shared" si="3"/>
        <v>0</v>
      </c>
      <c r="E57" s="251">
        <f t="shared" si="3"/>
        <v>0</v>
      </c>
    </row>
    <row r="58" spans="1:5" ht="12.75">
      <c r="A58" s="275" t="str">
        <f t="shared" si="2"/>
        <v> </v>
      </c>
      <c r="B58" s="273"/>
      <c r="C58" s="251">
        <f t="shared" si="3"/>
        <v>0</v>
      </c>
      <c r="D58" s="251">
        <f t="shared" si="3"/>
        <v>0</v>
      </c>
      <c r="E58" s="251">
        <f t="shared" si="3"/>
        <v>0</v>
      </c>
    </row>
    <row r="59" spans="1:5" ht="12.75">
      <c r="A59" s="275" t="str">
        <f t="shared" si="2"/>
        <v> </v>
      </c>
      <c r="B59" s="273"/>
      <c r="C59" s="251">
        <f t="shared" si="3"/>
        <v>0</v>
      </c>
      <c r="D59" s="251">
        <f t="shared" si="3"/>
        <v>0</v>
      </c>
      <c r="E59" s="251">
        <f t="shared" si="3"/>
        <v>0</v>
      </c>
    </row>
    <row r="60" spans="1:5" ht="12.75">
      <c r="A60" s="275" t="str">
        <f t="shared" si="2"/>
        <v> </v>
      </c>
      <c r="B60" s="273"/>
      <c r="C60" s="251">
        <f t="shared" si="3"/>
        <v>0</v>
      </c>
      <c r="D60" s="251">
        <f t="shared" si="3"/>
        <v>0</v>
      </c>
      <c r="E60" s="251">
        <f t="shared" si="3"/>
        <v>0</v>
      </c>
    </row>
    <row r="61" spans="1:5" ht="12.75">
      <c r="A61" s="275" t="str">
        <f t="shared" si="2"/>
        <v> </v>
      </c>
      <c r="B61" s="273"/>
      <c r="C61" s="251">
        <f t="shared" si="3"/>
        <v>0</v>
      </c>
      <c r="D61" s="251">
        <f t="shared" si="3"/>
        <v>0</v>
      </c>
      <c r="E61" s="251">
        <f t="shared" si="3"/>
        <v>0</v>
      </c>
    </row>
    <row r="62" spans="1:5" ht="12.75">
      <c r="A62" s="275" t="str">
        <f t="shared" si="2"/>
        <v> </v>
      </c>
      <c r="B62" s="273"/>
      <c r="C62" s="251">
        <f t="shared" si="3"/>
        <v>0</v>
      </c>
      <c r="D62" s="251">
        <f t="shared" si="3"/>
        <v>0</v>
      </c>
      <c r="E62" s="251">
        <f t="shared" si="3"/>
        <v>0</v>
      </c>
    </row>
    <row r="63" spans="1:5" ht="12.75">
      <c r="A63" s="275" t="str">
        <f t="shared" si="2"/>
        <v> </v>
      </c>
      <c r="B63" s="273"/>
      <c r="C63" s="251">
        <f t="shared" si="3"/>
        <v>0</v>
      </c>
      <c r="D63" s="251">
        <f t="shared" si="3"/>
        <v>0</v>
      </c>
      <c r="E63" s="251">
        <f t="shared" si="3"/>
        <v>0</v>
      </c>
    </row>
    <row r="64" spans="1:5" ht="12.75">
      <c r="A64" s="275" t="str">
        <f t="shared" si="2"/>
        <v> </v>
      </c>
      <c r="B64" s="273"/>
      <c r="C64" s="251">
        <f t="shared" si="3"/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 t="shared" si="2"/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 t="shared" si="2"/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 t="shared" si="2"/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 t="shared" si="2"/>
        <v>Contributions in Aid of Construction</v>
      </c>
      <c r="B68" s="273"/>
      <c r="C68" s="251">
        <f t="shared" si="3"/>
        <v>195681</v>
      </c>
      <c r="D68" s="251">
        <f t="shared" si="3"/>
        <v>0</v>
      </c>
      <c r="E68" s="251">
        <f t="shared" si="3"/>
        <v>195681</v>
      </c>
    </row>
    <row r="69" spans="1:5" ht="12.75">
      <c r="A69" s="275" t="str">
        <f t="shared" si="2"/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 t="shared" si="2"/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aca="true" t="shared" si="5" ref="C71:E76">IF($E40&gt;$C$11,C40,)</f>
        <v>0</v>
      </c>
      <c r="D71" s="251">
        <f t="shared" si="5"/>
        <v>0</v>
      </c>
      <c r="E71" s="251">
        <f t="shared" si="5"/>
        <v>0</v>
      </c>
    </row>
    <row r="72" spans="1:5" ht="12.75">
      <c r="A72" s="275" t="str">
        <f t="shared" si="4"/>
        <v> </v>
      </c>
      <c r="B72" s="273"/>
      <c r="C72" s="251">
        <f t="shared" si="5"/>
        <v>0</v>
      </c>
      <c r="D72" s="251">
        <f t="shared" si="5"/>
        <v>0</v>
      </c>
      <c r="E72" s="251">
        <f t="shared" si="5"/>
        <v>0</v>
      </c>
    </row>
    <row r="73" spans="1:5" ht="12.75">
      <c r="A73" s="275" t="str">
        <f t="shared" si="4"/>
        <v> </v>
      </c>
      <c r="B73" s="273"/>
      <c r="C73" s="251">
        <f t="shared" si="5"/>
        <v>0</v>
      </c>
      <c r="D73" s="251">
        <f t="shared" si="5"/>
        <v>0</v>
      </c>
      <c r="E73" s="251">
        <f t="shared" si="5"/>
        <v>0</v>
      </c>
    </row>
    <row r="74" spans="1:5" ht="12.75">
      <c r="A74" s="275" t="str">
        <f t="shared" si="4"/>
        <v> </v>
      </c>
      <c r="B74" s="273"/>
      <c r="C74" s="251">
        <f t="shared" si="5"/>
        <v>0</v>
      </c>
      <c r="D74" s="251">
        <f t="shared" si="5"/>
        <v>0</v>
      </c>
      <c r="E74" s="251">
        <f t="shared" si="5"/>
        <v>0</v>
      </c>
    </row>
    <row r="75" spans="1:5" ht="12.75">
      <c r="A75" s="275" t="str">
        <f t="shared" si="4"/>
        <v> </v>
      </c>
      <c r="B75" s="273"/>
      <c r="C75" s="251">
        <f t="shared" si="5"/>
        <v>0</v>
      </c>
      <c r="D75" s="251">
        <f t="shared" si="5"/>
        <v>0</v>
      </c>
      <c r="E75" s="251">
        <f t="shared" si="5"/>
        <v>0</v>
      </c>
    </row>
    <row r="76" spans="1:5" ht="12.75">
      <c r="A76" s="275" t="str">
        <f t="shared" si="4"/>
        <v> </v>
      </c>
      <c r="B76" s="274"/>
      <c r="C76" s="251">
        <f t="shared" si="5"/>
        <v>0</v>
      </c>
      <c r="D76" s="251">
        <f t="shared" si="5"/>
        <v>0</v>
      </c>
      <c r="E76" s="251">
        <f t="shared" si="5"/>
        <v>0</v>
      </c>
    </row>
    <row r="77" spans="1:5" ht="12.75">
      <c r="A77" s="276" t="s">
        <v>144</v>
      </c>
      <c r="B77" s="273"/>
      <c r="C77" s="251">
        <f>SUM(C49:C75)</f>
        <v>195681</v>
      </c>
      <c r="D77" s="251">
        <f>SUM(D49:D75)</f>
        <v>0</v>
      </c>
      <c r="E77" s="251">
        <f>SUM(E49:E75)</f>
        <v>195681</v>
      </c>
    </row>
    <row r="78" spans="1:5" ht="12.75">
      <c r="A78" s="276" t="s">
        <v>203</v>
      </c>
      <c r="B78" s="277"/>
      <c r="C78" s="315">
        <f>C46-C77</f>
        <v>65</v>
      </c>
      <c r="D78" s="315">
        <f>D46-D77</f>
        <v>0</v>
      </c>
      <c r="E78" s="315">
        <f>E46-E77</f>
        <v>65</v>
      </c>
    </row>
    <row r="79" spans="1:5" ht="12.75">
      <c r="A79" s="276" t="s">
        <v>170</v>
      </c>
      <c r="B79" s="277"/>
      <c r="C79" s="315">
        <f>C77+C78</f>
        <v>195746</v>
      </c>
      <c r="D79" s="315">
        <f>D77+D78</f>
        <v>0</v>
      </c>
      <c r="E79" s="315">
        <f>E77+E78</f>
        <v>195746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6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6"/>
        <v>0</v>
      </c>
    </row>
    <row r="85" spans="1:5" ht="12.75">
      <c r="A85" s="71" t="s">
        <v>249</v>
      </c>
      <c r="B85" s="8" t="s">
        <v>188</v>
      </c>
      <c r="C85" s="294"/>
      <c r="D85" s="294"/>
      <c r="E85" s="251">
        <f t="shared" si="6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6"/>
        <v>0</v>
      </c>
    </row>
    <row r="87" spans="1:5" ht="12.75">
      <c r="A87" s="67" t="s">
        <v>365</v>
      </c>
      <c r="B87" s="8" t="s">
        <v>188</v>
      </c>
      <c r="C87" s="294"/>
      <c r="D87" s="294"/>
      <c r="E87" s="251">
        <f t="shared" si="6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6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6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6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6"/>
        <v>0</v>
      </c>
    </row>
    <row r="92" spans="1:5" ht="12.75">
      <c r="A92" s="486" t="s">
        <v>497</v>
      </c>
      <c r="B92" s="8" t="s">
        <v>188</v>
      </c>
      <c r="C92" s="294">
        <v>195681</v>
      </c>
      <c r="D92" s="294"/>
      <c r="E92" s="251">
        <f t="shared" si="6"/>
        <v>195681</v>
      </c>
    </row>
    <row r="93" spans="1:5" ht="12.75">
      <c r="A93" s="478"/>
      <c r="B93" s="8" t="s">
        <v>188</v>
      </c>
      <c r="C93" s="294"/>
      <c r="D93" s="294"/>
      <c r="E93" s="251">
        <f t="shared" si="6"/>
        <v>0</v>
      </c>
    </row>
    <row r="94" spans="1:5" ht="12.75">
      <c r="A94" s="67"/>
      <c r="B94" s="8" t="s">
        <v>188</v>
      </c>
      <c r="C94" s="294"/>
      <c r="D94" s="294"/>
      <c r="E94" s="251">
        <f t="shared" si="6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6"/>
        <v>0</v>
      </c>
    </row>
    <row r="96" spans="1:5" ht="12.75">
      <c r="A96" s="477"/>
      <c r="B96" s="8" t="s">
        <v>188</v>
      </c>
      <c r="C96" s="294"/>
      <c r="D96" s="294"/>
      <c r="E96" s="251">
        <f t="shared" si="6"/>
        <v>0</v>
      </c>
    </row>
    <row r="97" spans="1:5" ht="12.75">
      <c r="A97" s="477"/>
      <c r="B97" s="8" t="s">
        <v>188</v>
      </c>
      <c r="C97" s="294"/>
      <c r="D97" s="294"/>
      <c r="E97" s="251">
        <f t="shared" si="6"/>
        <v>0</v>
      </c>
    </row>
    <row r="98" spans="1:5" ht="12.75">
      <c r="A98" s="67"/>
      <c r="B98" s="8" t="s">
        <v>188</v>
      </c>
      <c r="C98" s="294"/>
      <c r="D98" s="294"/>
      <c r="E98" s="251">
        <f t="shared" si="6"/>
        <v>0</v>
      </c>
    </row>
    <row r="99" spans="1:5" ht="12.75">
      <c r="A99" s="67" t="s">
        <v>171</v>
      </c>
      <c r="B99" s="8" t="s">
        <v>189</v>
      </c>
      <c r="C99" s="251">
        <f>SUM(C82:C98)</f>
        <v>195681</v>
      </c>
      <c r="D99" s="251">
        <f>SUM(D82:D98)</f>
        <v>0</v>
      </c>
      <c r="E99" s="251">
        <f>SUM(E82:E98)</f>
        <v>195681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7" ref="A102:A111">IF($E82&gt;$C$11,A82," ")</f>
        <v> </v>
      </c>
      <c r="B102" s="273"/>
      <c r="C102" s="251">
        <f aca="true" t="shared" si="8" ref="C102:E118">IF($E82&gt;$C$11,C82,)</f>
        <v>0</v>
      </c>
      <c r="D102" s="251">
        <f t="shared" si="8"/>
        <v>0</v>
      </c>
      <c r="E102" s="251">
        <f t="shared" si="8"/>
        <v>0</v>
      </c>
    </row>
    <row r="103" spans="1:5" ht="12.75">
      <c r="A103" s="275" t="str">
        <f t="shared" si="7"/>
        <v> </v>
      </c>
      <c r="B103" s="273"/>
      <c r="C103" s="251">
        <f t="shared" si="8"/>
        <v>0</v>
      </c>
      <c r="D103" s="251">
        <f t="shared" si="8"/>
        <v>0</v>
      </c>
      <c r="E103" s="251">
        <f t="shared" si="8"/>
        <v>0</v>
      </c>
    </row>
    <row r="104" spans="1:5" ht="12.75">
      <c r="A104" s="275" t="str">
        <f t="shared" si="7"/>
        <v> </v>
      </c>
      <c r="B104" s="273"/>
      <c r="C104" s="251">
        <f t="shared" si="8"/>
        <v>0</v>
      </c>
      <c r="D104" s="251">
        <f t="shared" si="8"/>
        <v>0</v>
      </c>
      <c r="E104" s="251">
        <f t="shared" si="8"/>
        <v>0</v>
      </c>
    </row>
    <row r="105" spans="1:5" ht="12.75">
      <c r="A105" s="275" t="str">
        <f t="shared" si="7"/>
        <v> </v>
      </c>
      <c r="B105" s="273"/>
      <c r="C105" s="251">
        <f t="shared" si="8"/>
        <v>0</v>
      </c>
      <c r="D105" s="251">
        <f t="shared" si="8"/>
        <v>0</v>
      </c>
      <c r="E105" s="251">
        <f t="shared" si="8"/>
        <v>0</v>
      </c>
    </row>
    <row r="106" spans="1:5" ht="12.75">
      <c r="A106" s="275" t="str">
        <f t="shared" si="7"/>
        <v> </v>
      </c>
      <c r="B106" s="273"/>
      <c r="C106" s="251">
        <f t="shared" si="8"/>
        <v>0</v>
      </c>
      <c r="D106" s="251">
        <f t="shared" si="8"/>
        <v>0</v>
      </c>
      <c r="E106" s="251">
        <f t="shared" si="8"/>
        <v>0</v>
      </c>
    </row>
    <row r="107" spans="1:5" ht="12.75">
      <c r="A107" s="275" t="str">
        <f t="shared" si="7"/>
        <v> </v>
      </c>
      <c r="B107" s="273"/>
      <c r="C107" s="251">
        <f t="shared" si="8"/>
        <v>0</v>
      </c>
      <c r="D107" s="251">
        <f t="shared" si="8"/>
        <v>0</v>
      </c>
      <c r="E107" s="251">
        <f t="shared" si="8"/>
        <v>0</v>
      </c>
    </row>
    <row r="108" spans="1:5" ht="12.75">
      <c r="A108" s="275" t="str">
        <f t="shared" si="7"/>
        <v> </v>
      </c>
      <c r="B108" s="273"/>
      <c r="C108" s="251">
        <f t="shared" si="8"/>
        <v>0</v>
      </c>
      <c r="D108" s="251">
        <f t="shared" si="8"/>
        <v>0</v>
      </c>
      <c r="E108" s="251">
        <f t="shared" si="8"/>
        <v>0</v>
      </c>
    </row>
    <row r="109" spans="1:5" ht="12.75">
      <c r="A109" s="275" t="str">
        <f t="shared" si="7"/>
        <v> </v>
      </c>
      <c r="B109" s="273"/>
      <c r="C109" s="251">
        <f t="shared" si="8"/>
        <v>0</v>
      </c>
      <c r="D109" s="251">
        <f t="shared" si="8"/>
        <v>0</v>
      </c>
      <c r="E109" s="251">
        <f t="shared" si="8"/>
        <v>0</v>
      </c>
    </row>
    <row r="110" spans="1:5" ht="12.75">
      <c r="A110" s="275" t="str">
        <f t="shared" si="7"/>
        <v> </v>
      </c>
      <c r="B110" s="273"/>
      <c r="C110" s="251">
        <f t="shared" si="8"/>
        <v>0</v>
      </c>
      <c r="D110" s="251">
        <f t="shared" si="8"/>
        <v>0</v>
      </c>
      <c r="E110" s="251">
        <f t="shared" si="8"/>
        <v>0</v>
      </c>
    </row>
    <row r="111" spans="1:5" ht="12.75">
      <c r="A111" s="275" t="str">
        <f t="shared" si="7"/>
        <v> </v>
      </c>
      <c r="B111" s="273"/>
      <c r="C111" s="251">
        <f t="shared" si="8"/>
        <v>0</v>
      </c>
      <c r="D111" s="251">
        <f t="shared" si="8"/>
        <v>0</v>
      </c>
      <c r="E111" s="251">
        <f t="shared" si="8"/>
        <v>0</v>
      </c>
    </row>
    <row r="112" spans="1:5" ht="12.75">
      <c r="A112" s="275" t="str">
        <f>IF($E92&gt;$C$11,A92," ")</f>
        <v>Contributions in aid of Construction</v>
      </c>
      <c r="B112" s="273"/>
      <c r="C112" s="251">
        <f t="shared" si="8"/>
        <v>195681</v>
      </c>
      <c r="D112" s="251">
        <f t="shared" si="8"/>
        <v>0</v>
      </c>
      <c r="E112" s="251">
        <f t="shared" si="8"/>
        <v>195681</v>
      </c>
    </row>
    <row r="113" spans="1:5" ht="12.75">
      <c r="A113" s="275" t="str">
        <f>IF($E93&gt;$C$11,#REF!," ")</f>
        <v> </v>
      </c>
      <c r="B113" s="273"/>
      <c r="C113" s="251">
        <f t="shared" si="8"/>
        <v>0</v>
      </c>
      <c r="D113" s="251">
        <f t="shared" si="8"/>
        <v>0</v>
      </c>
      <c r="E113" s="251">
        <f t="shared" si="8"/>
        <v>0</v>
      </c>
    </row>
    <row r="114" spans="1:5" ht="12.75">
      <c r="A114" s="275" t="str">
        <f>IF($E94&gt;$C$11,A94," ")</f>
        <v> </v>
      </c>
      <c r="B114" s="273"/>
      <c r="C114" s="251">
        <f t="shared" si="8"/>
        <v>0</v>
      </c>
      <c r="D114" s="251">
        <f t="shared" si="8"/>
        <v>0</v>
      </c>
      <c r="E114" s="251">
        <f t="shared" si="8"/>
        <v>0</v>
      </c>
    </row>
    <row r="115" spans="1:5" ht="12.75">
      <c r="A115" s="275" t="str">
        <f>IF($E95&gt;$C$11,A93," ")</f>
        <v> </v>
      </c>
      <c r="B115" s="273"/>
      <c r="C115" s="251">
        <f t="shared" si="8"/>
        <v>0</v>
      </c>
      <c r="D115" s="251">
        <f t="shared" si="8"/>
        <v>0</v>
      </c>
      <c r="E115" s="251">
        <f t="shared" si="8"/>
        <v>0</v>
      </c>
    </row>
    <row r="116" spans="1:5" ht="12.75">
      <c r="A116" s="275" t="str">
        <f>IF($E96&gt;$C$11,A96," ")</f>
        <v> </v>
      </c>
      <c r="B116" s="273"/>
      <c r="C116" s="251">
        <f t="shared" si="8"/>
        <v>0</v>
      </c>
      <c r="D116" s="251">
        <f t="shared" si="8"/>
        <v>0</v>
      </c>
      <c r="E116" s="251">
        <f t="shared" si="8"/>
        <v>0</v>
      </c>
    </row>
    <row r="117" spans="1:5" ht="12.75">
      <c r="A117" s="275" t="str">
        <f>IF($E97&gt;$C$11,A97," ")</f>
        <v> </v>
      </c>
      <c r="B117" s="273"/>
      <c r="C117" s="251">
        <f t="shared" si="8"/>
        <v>0</v>
      </c>
      <c r="D117" s="251">
        <f t="shared" si="8"/>
        <v>0</v>
      </c>
      <c r="E117" s="251">
        <f t="shared" si="8"/>
        <v>0</v>
      </c>
    </row>
    <row r="118" spans="1:5" ht="12.75">
      <c r="A118" s="275" t="str">
        <f>IF($E98&gt;$C$11,A98," ")</f>
        <v> </v>
      </c>
      <c r="B118" s="273"/>
      <c r="C118" s="251">
        <f t="shared" si="8"/>
        <v>0</v>
      </c>
      <c r="D118" s="251">
        <f t="shared" si="8"/>
        <v>0</v>
      </c>
      <c r="E118" s="251">
        <f t="shared" si="8"/>
        <v>0</v>
      </c>
    </row>
    <row r="119" spans="1:5" ht="12.75">
      <c r="A119" s="278" t="s">
        <v>202</v>
      </c>
      <c r="B119" s="273"/>
      <c r="C119" s="251">
        <f>SUM(C102:C118)</f>
        <v>195681</v>
      </c>
      <c r="D119" s="251">
        <f>SUM(D102:D118)</f>
        <v>0</v>
      </c>
      <c r="E119" s="251">
        <f>SUM(E102:E118)</f>
        <v>195681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195681</v>
      </c>
      <c r="D121" s="251">
        <f>D119+D120</f>
        <v>0</v>
      </c>
      <c r="E121" s="251">
        <f>E119+E120</f>
        <v>195681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6" bottom="0.236220472440945" header="0.17" footer="0"/>
  <pageSetup fitToHeight="2" fitToWidth="1" horizontalDpi="600" verticalDpi="600" orientation="portrait" scale="78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24" sqref="C2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 EB-2011-XXXX</v>
      </c>
    </row>
    <row r="3" spans="1:5" ht="12.75">
      <c r="A3" s="2" t="s">
        <v>373</v>
      </c>
      <c r="E3" s="92"/>
    </row>
    <row r="4" spans="1:6" ht="15.75">
      <c r="A4" s="456" t="s">
        <v>432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8" t="s">
        <v>374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/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Innisfil Hydro Distribution Systems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472">
        <f>TAXREC!C11</f>
        <v>91.25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6">C19-D19</f>
        <v>0</v>
      </c>
    </row>
    <row r="20" spans="1:5" ht="12.75">
      <c r="A20" t="s">
        <v>376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440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379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380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441</v>
      </c>
      <c r="B24" t="s">
        <v>187</v>
      </c>
      <c r="C24" s="295">
        <v>370</v>
      </c>
      <c r="D24" s="295"/>
      <c r="E24" s="313">
        <f t="shared" si="0"/>
        <v>370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424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378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377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419</v>
      </c>
      <c r="B32" t="s">
        <v>187</v>
      </c>
      <c r="C32" s="295">
        <v>1356</v>
      </c>
      <c r="D32" s="295"/>
      <c r="E32" s="313">
        <f t="shared" si="0"/>
        <v>1356</v>
      </c>
    </row>
    <row r="33" spans="1:5" ht="12.75">
      <c r="A33" s="67" t="s">
        <v>420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437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438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421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 t="s">
        <v>422</v>
      </c>
      <c r="B37" t="s">
        <v>187</v>
      </c>
      <c r="C37" s="295"/>
      <c r="D37" s="295"/>
      <c r="E37" s="313">
        <f t="shared" si="0"/>
        <v>0</v>
      </c>
    </row>
    <row r="38" spans="1:5" ht="12.75">
      <c r="A38" s="81" t="s">
        <v>473</v>
      </c>
      <c r="B38" t="s">
        <v>187</v>
      </c>
      <c r="C38" s="295">
        <v>17040</v>
      </c>
      <c r="D38" s="295"/>
      <c r="E38" s="313">
        <f t="shared" si="0"/>
        <v>17040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375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444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472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313">
        <f t="shared" si="0"/>
        <v>0</v>
      </c>
    </row>
    <row r="47" spans="1:5" ht="12.75">
      <c r="A47" s="441" t="s">
        <v>383</v>
      </c>
      <c r="B47" t="s">
        <v>189</v>
      </c>
      <c r="C47" s="251">
        <f>SUM(C19:C46)</f>
        <v>18766</v>
      </c>
      <c r="D47" s="251">
        <f>SUM(D19:D46)</f>
        <v>0</v>
      </c>
      <c r="E47" s="251">
        <f>SUM(E19:E46)</f>
        <v>18766</v>
      </c>
    </row>
    <row r="48" ht="12.75">
      <c r="A48" s="67"/>
    </row>
    <row r="49" ht="12.75">
      <c r="A49" s="81" t="s">
        <v>145</v>
      </c>
    </row>
    <row r="51" spans="1:5" ht="12.75">
      <c r="A51" s="71" t="s">
        <v>376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440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377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423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431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443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439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442</v>
      </c>
      <c r="B58" s="8" t="s">
        <v>188</v>
      </c>
      <c r="C58" s="294">
        <v>908</v>
      </c>
      <c r="D58" s="294"/>
      <c r="E58" s="251">
        <f t="shared" si="1"/>
        <v>908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0" t="s">
        <v>474</v>
      </c>
      <c r="B60" s="8" t="s">
        <v>188</v>
      </c>
      <c r="C60" s="294">
        <v>13457</v>
      </c>
      <c r="D60" s="294"/>
      <c r="E60" s="251">
        <f t="shared" si="1"/>
        <v>13457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0" t="s">
        <v>375</v>
      </c>
      <c r="B62" s="8" t="s">
        <v>188</v>
      </c>
      <c r="C62" s="294">
        <v>12700</v>
      </c>
      <c r="D62" s="294"/>
      <c r="E62" s="251">
        <f aca="true" t="shared" si="2" ref="E62:E72">C62-D62</f>
        <v>12700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s="476"/>
      <c r="B64" s="8" t="s">
        <v>188</v>
      </c>
      <c r="C64" s="294"/>
      <c r="D64" s="294"/>
      <c r="E64" s="251">
        <f t="shared" si="2"/>
        <v>0</v>
      </c>
    </row>
    <row r="65" spans="1:5" ht="12.75">
      <c r="A65" s="476"/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 t="s">
        <v>475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77" t="s">
        <v>481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479" t="s">
        <v>483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79" t="s">
        <v>484</v>
      </c>
      <c r="B72" s="8" t="s">
        <v>188</v>
      </c>
      <c r="C72" s="294"/>
      <c r="D72" s="294"/>
      <c r="E72" s="279">
        <f t="shared" si="2"/>
        <v>0</v>
      </c>
    </row>
    <row r="73" spans="1:5" ht="12.75">
      <c r="A73" s="440" t="s">
        <v>382</v>
      </c>
      <c r="B73" s="8" t="s">
        <v>189</v>
      </c>
      <c r="C73" s="251">
        <f>SUM(C51:C72)</f>
        <v>27065</v>
      </c>
      <c r="D73" s="251">
        <f>SUM(D51:D72)</f>
        <v>0</v>
      </c>
      <c r="E73" s="251">
        <f>SUM(E51:E72)</f>
        <v>27065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58" bottom="0.236220472440945" header="0.21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3">
      <selection activeCell="C57" sqref="C57"/>
    </sheetView>
  </sheetViews>
  <sheetFormatPr defaultColWidth="9.140625" defaultRowHeight="12.75"/>
  <cols>
    <col min="1" max="1" width="23.8515625" style="0" customWidth="1"/>
    <col min="2" max="2" width="7.57421875" style="8" customWidth="1"/>
    <col min="3" max="3" width="10.28125" style="8" customWidth="1"/>
    <col min="4" max="4" width="6.7109375" style="8" customWidth="1"/>
    <col min="5" max="5" width="9.7109375" style="8" customWidth="1"/>
    <col min="6" max="6" width="10.421875" style="8" customWidth="1"/>
    <col min="7" max="7" width="3.421875" style="0" customWidth="1"/>
    <col min="8" max="8" width="10.140625" style="0" bestFit="1" customWidth="1"/>
    <col min="9" max="9" width="0.9921875" style="0" customWidth="1"/>
    <col min="10" max="10" width="2.00390625" style="0" customWidth="1"/>
    <col min="13" max="13" width="18.57421875" style="0" customWidth="1"/>
  </cols>
  <sheetData>
    <row r="1" spans="1:16" ht="12.75">
      <c r="A1" s="384" t="str">
        <f>REGINFO!A1</f>
        <v>PILs TAXES  EB-2011-XXXX</v>
      </c>
      <c r="B1" s="385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297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Innisfil Hydro Distribution Systems Limited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2001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327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7" t="s">
        <v>468</v>
      </c>
      <c r="B8" s="498"/>
      <c r="C8" s="498"/>
      <c r="D8" s="498"/>
      <c r="E8" s="343"/>
      <c r="F8" s="38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3">
        <v>0</v>
      </c>
      <c r="D9" s="373"/>
      <c r="E9" s="373">
        <v>50000</v>
      </c>
      <c r="F9" s="374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454</v>
      </c>
      <c r="B10" s="327"/>
      <c r="C10" s="375" t="s">
        <v>111</v>
      </c>
      <c r="D10" s="375"/>
      <c r="E10" s="375" t="s">
        <v>111</v>
      </c>
      <c r="F10" s="376" t="s">
        <v>463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7">
        <v>50000</v>
      </c>
      <c r="D11" s="377"/>
      <c r="E11" s="377">
        <v>175000</v>
      </c>
      <c r="F11" s="378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290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289</v>
      </c>
      <c r="B14" s="245"/>
      <c r="C14" s="328">
        <v>0.1312</v>
      </c>
      <c r="D14" s="328"/>
      <c r="E14" s="329">
        <v>0.2812</v>
      </c>
      <c r="F14" s="329">
        <v>0.2812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254</v>
      </c>
      <c r="B16" s="245"/>
      <c r="C16" s="332">
        <f>SUM(C14:C15)</f>
        <v>0.1912</v>
      </c>
      <c r="D16" s="332"/>
      <c r="E16" s="333">
        <f>SUM(E14:E15)</f>
        <v>0.3412</v>
      </c>
      <c r="F16" s="333">
        <f>SUM(F14:F15)</f>
        <v>0.4062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321</v>
      </c>
      <c r="B21" s="406" t="s">
        <v>464</v>
      </c>
      <c r="C21" s="473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322</v>
      </c>
      <c r="B22" s="407" t="s">
        <v>465</v>
      </c>
      <c r="C22" s="474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1" t="s">
        <v>462</v>
      </c>
      <c r="B23" s="492"/>
      <c r="C23" s="492"/>
      <c r="D23" s="492"/>
      <c r="E23" s="492"/>
      <c r="F23" s="492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9"/>
      <c r="B25" s="380"/>
      <c r="C25" s="383"/>
      <c r="D25" s="343"/>
      <c r="E25" s="343"/>
      <c r="F25" s="410" t="s">
        <v>328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7" t="s">
        <v>466</v>
      </c>
      <c r="B26" s="498"/>
      <c r="C26" s="498"/>
      <c r="D26" s="498"/>
      <c r="E26" s="498"/>
      <c r="F26" s="49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7">
        <v>0</v>
      </c>
      <c r="D27" s="367"/>
      <c r="E27" s="367">
        <v>50000</v>
      </c>
      <c r="F27" s="368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427</v>
      </c>
      <c r="B28" s="327"/>
      <c r="C28" s="369" t="s">
        <v>111</v>
      </c>
      <c r="D28" s="369"/>
      <c r="E28" s="369" t="s">
        <v>111</v>
      </c>
      <c r="F28" s="370" t="s">
        <v>463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1">
        <v>50000</v>
      </c>
      <c r="D29" s="371"/>
      <c r="E29" s="371">
        <v>175000</v>
      </c>
      <c r="F29" s="372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2001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289</v>
      </c>
      <c r="B32" s="409">
        <v>2001</v>
      </c>
      <c r="C32" s="328">
        <v>0.1312</v>
      </c>
      <c r="D32" s="328"/>
      <c r="E32" s="329">
        <v>0.2812</v>
      </c>
      <c r="F32" s="329">
        <v>0.2812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2001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254</v>
      </c>
      <c r="B34" s="409">
        <v>2001</v>
      </c>
      <c r="C34" s="332">
        <f>SUM(C32:C33)</f>
        <v>0.1912</v>
      </c>
      <c r="D34" s="332"/>
      <c r="E34" s="333">
        <f>SUM(E32:E33)</f>
        <v>0.3412</v>
      </c>
      <c r="F34" s="333">
        <f>SUM(F32:F33)</f>
        <v>0.4062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2001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2001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2001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469</v>
      </c>
      <c r="B39" s="406" t="s">
        <v>464</v>
      </c>
      <c r="C39" s="473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470</v>
      </c>
      <c r="B40" s="407" t="s">
        <v>465</v>
      </c>
      <c r="C40" s="474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3" t="s">
        <v>325</v>
      </c>
      <c r="B41" s="492"/>
      <c r="C41" s="492"/>
      <c r="D41" s="492"/>
      <c r="E41" s="492"/>
      <c r="F41" s="49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4"/>
      <c r="B42" s="494"/>
      <c r="C42" s="494"/>
      <c r="D42" s="494"/>
      <c r="E42" s="494"/>
      <c r="F42" s="49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9"/>
      <c r="B43" s="380"/>
      <c r="C43" s="381"/>
      <c r="D43" s="380"/>
      <c r="E43" s="380"/>
      <c r="F43" s="410" t="s">
        <v>329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467</v>
      </c>
      <c r="B44" s="365"/>
      <c r="C44" s="366"/>
      <c r="D44" s="365"/>
      <c r="E44" s="343"/>
      <c r="F44" s="382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7">
        <v>0</v>
      </c>
      <c r="D45" s="367"/>
      <c r="E45" s="367">
        <v>50000</v>
      </c>
      <c r="F45" s="368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69" t="s">
        <v>111</v>
      </c>
      <c r="D46" s="369"/>
      <c r="E46" s="369" t="s">
        <v>111</v>
      </c>
      <c r="F46" s="370" t="s">
        <v>463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1">
        <v>50000</v>
      </c>
      <c r="D47" s="371"/>
      <c r="E47" s="371">
        <v>175000</v>
      </c>
      <c r="F47" s="372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2001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289</v>
      </c>
      <c r="B50" s="245"/>
      <c r="C50" s="352">
        <v>0.1312</v>
      </c>
      <c r="D50" s="352"/>
      <c r="E50" s="353">
        <v>0.2212</v>
      </c>
      <c r="F50" s="353">
        <v>0.2812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254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0.4062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338</v>
      </c>
      <c r="B57" s="406" t="s">
        <v>464</v>
      </c>
      <c r="C57" s="362">
        <v>4958485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339</v>
      </c>
      <c r="B58" s="407" t="s">
        <v>465</v>
      </c>
      <c r="C58" s="362">
        <v>10000000</v>
      </c>
      <c r="D58" s="363"/>
      <c r="E58" s="364"/>
      <c r="F58" s="364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1" t="s">
        <v>340</v>
      </c>
      <c r="B59" s="495"/>
      <c r="C59" s="495"/>
      <c r="D59" s="495"/>
      <c r="E59" s="495"/>
      <c r="F59" s="49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32.25" customHeight="1">
      <c r="A60" s="496"/>
      <c r="B60" s="496"/>
      <c r="C60" s="496"/>
      <c r="D60" s="496"/>
      <c r="E60" s="496"/>
      <c r="F60" s="49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15748031496063" bottom="0.97" header="0.511811023622047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 EB-2011-XXXX</v>
      </c>
    </row>
    <row r="2" spans="1:2" ht="12.75">
      <c r="A2" s="2" t="s">
        <v>445</v>
      </c>
      <c r="B2" s="2"/>
    </row>
    <row r="3" spans="1:15" ht="12.75">
      <c r="A3" s="2" t="str">
        <f>REGINFO!A3</f>
        <v>Utility Name: Innisfil Hydro Distribution Systems Limited</v>
      </c>
      <c r="O3" s="416" t="str">
        <f>REGINFO!E1</f>
        <v>Version 2009.1</v>
      </c>
    </row>
    <row r="4" spans="1:15" ht="12.75">
      <c r="A4" s="2" t="str">
        <f>REGINFO!A4</f>
        <v>Reporting period:  2001</v>
      </c>
      <c r="E4" s="417" t="s">
        <v>310</v>
      </c>
      <c r="F4" s="398"/>
      <c r="G4" s="398"/>
      <c r="H4" s="398"/>
      <c r="I4" s="398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2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4">
        <v>0</v>
      </c>
      <c r="D11" s="390"/>
      <c r="E11" s="396">
        <f>C22</f>
        <v>0</v>
      </c>
      <c r="F11" s="419"/>
      <c r="G11" s="396">
        <f>E22</f>
        <v>0</v>
      </c>
      <c r="H11" s="419"/>
      <c r="I11" s="396">
        <f>G22</f>
        <v>0</v>
      </c>
      <c r="J11" s="390"/>
      <c r="K11" s="396">
        <f>I22</f>
        <v>0</v>
      </c>
      <c r="L11" s="390"/>
      <c r="M11" s="396">
        <f>K22</f>
        <v>0</v>
      </c>
      <c r="N11" s="390"/>
      <c r="O11" s="396">
        <f>C11</f>
        <v>0</v>
      </c>
    </row>
    <row r="12" spans="1:15" ht="27" customHeight="1">
      <c r="A12" s="81" t="s">
        <v>384</v>
      </c>
      <c r="B12" s="66" t="s">
        <v>190</v>
      </c>
      <c r="C12" s="395"/>
      <c r="D12" s="391"/>
      <c r="E12" s="395"/>
      <c r="F12" s="95"/>
      <c r="G12" s="418">
        <f>C12+E12</f>
        <v>0</v>
      </c>
      <c r="H12" s="95"/>
      <c r="I12" s="418">
        <f>(E12/12*9)+(G12/12*3)</f>
        <v>0</v>
      </c>
      <c r="J12" s="391"/>
      <c r="K12" s="418">
        <f>E12/12*3</f>
        <v>0</v>
      </c>
      <c r="L12" s="391"/>
      <c r="M12" s="418">
        <f>K13/9*12/4</f>
        <v>0</v>
      </c>
      <c r="N12" s="391"/>
      <c r="O12" s="396">
        <f aca="true" t="shared" si="0" ref="O12:O20">SUM(C12:N12)</f>
        <v>0</v>
      </c>
    </row>
    <row r="13" spans="1:15" ht="27" customHeight="1">
      <c r="A13" s="81" t="s">
        <v>426</v>
      </c>
      <c r="B13" s="66"/>
      <c r="C13" s="418"/>
      <c r="D13" s="391"/>
      <c r="E13" s="418"/>
      <c r="F13" s="95"/>
      <c r="G13" s="418"/>
      <c r="H13" s="95"/>
      <c r="I13" s="418"/>
      <c r="J13" s="391"/>
      <c r="K13" s="395"/>
      <c r="L13" s="391"/>
      <c r="M13" s="418"/>
      <c r="N13" s="391"/>
      <c r="O13" s="396">
        <f t="shared" si="0"/>
        <v>0</v>
      </c>
    </row>
    <row r="14" spans="1:15" ht="25.5">
      <c r="A14" s="81" t="s">
        <v>385</v>
      </c>
      <c r="B14" s="66" t="s">
        <v>190</v>
      </c>
      <c r="C14" s="395"/>
      <c r="D14" s="391"/>
      <c r="E14" s="395"/>
      <c r="F14" s="95"/>
      <c r="G14" s="395"/>
      <c r="H14" s="95"/>
      <c r="I14" s="395"/>
      <c r="J14" s="391"/>
      <c r="K14" s="395"/>
      <c r="L14" s="391"/>
      <c r="M14" s="395"/>
      <c r="N14" s="391"/>
      <c r="O14" s="396">
        <f t="shared" si="0"/>
        <v>0</v>
      </c>
    </row>
    <row r="15" spans="1:15" ht="27" customHeight="1">
      <c r="A15" s="81" t="s">
        <v>386</v>
      </c>
      <c r="B15" s="66" t="s">
        <v>190</v>
      </c>
      <c r="C15" s="395"/>
      <c r="D15" s="391"/>
      <c r="E15" s="395"/>
      <c r="F15" s="95"/>
      <c r="G15" s="395"/>
      <c r="H15" s="95"/>
      <c r="I15" s="395"/>
      <c r="J15" s="391"/>
      <c r="K15" s="395"/>
      <c r="L15" s="391"/>
      <c r="M15" s="418">
        <f>TAXCALC!E132</f>
        <v>0</v>
      </c>
      <c r="N15" s="391"/>
      <c r="O15" s="396">
        <f t="shared" si="0"/>
        <v>0</v>
      </c>
    </row>
    <row r="16" spans="1:15" ht="27" customHeight="1">
      <c r="A16" s="81" t="s">
        <v>387</v>
      </c>
      <c r="B16" s="66"/>
      <c r="C16" s="395"/>
      <c r="D16" s="391"/>
      <c r="E16" s="395"/>
      <c r="F16" s="95"/>
      <c r="G16" s="395"/>
      <c r="H16" s="95"/>
      <c r="I16" s="395"/>
      <c r="J16" s="391"/>
      <c r="K16" s="395"/>
      <c r="L16" s="391"/>
      <c r="M16" s="395"/>
      <c r="N16" s="391"/>
      <c r="O16" s="396">
        <f t="shared" si="0"/>
        <v>0</v>
      </c>
    </row>
    <row r="17" spans="1:15" ht="27.75" customHeight="1">
      <c r="A17" s="81" t="s">
        <v>388</v>
      </c>
      <c r="B17" s="66" t="s">
        <v>190</v>
      </c>
      <c r="C17" s="395"/>
      <c r="D17" s="391"/>
      <c r="E17" s="395"/>
      <c r="F17" s="95"/>
      <c r="G17" s="395"/>
      <c r="H17" s="95"/>
      <c r="I17" s="395"/>
      <c r="J17" s="391"/>
      <c r="K17" s="395"/>
      <c r="L17" s="391"/>
      <c r="M17" s="418">
        <f>TAXCALC!E181</f>
        <v>0</v>
      </c>
      <c r="N17" s="391"/>
      <c r="O17" s="396">
        <f t="shared" si="0"/>
        <v>0</v>
      </c>
    </row>
    <row r="18" spans="1:15" ht="25.5">
      <c r="A18" s="81" t="s">
        <v>389</v>
      </c>
      <c r="B18" s="66" t="s">
        <v>190</v>
      </c>
      <c r="C18" s="395"/>
      <c r="D18" s="391"/>
      <c r="E18" s="395"/>
      <c r="F18" s="95"/>
      <c r="G18" s="395"/>
      <c r="H18" s="95"/>
      <c r="I18" s="395"/>
      <c r="J18" s="391"/>
      <c r="K18" s="395"/>
      <c r="L18" s="391"/>
      <c r="M18" s="395"/>
      <c r="N18" s="391"/>
      <c r="O18" s="396">
        <f t="shared" si="0"/>
        <v>0</v>
      </c>
    </row>
    <row r="19" spans="1:15" ht="24" customHeight="1">
      <c r="A19" s="427" t="s">
        <v>390</v>
      </c>
      <c r="B19" s="66" t="s">
        <v>190</v>
      </c>
      <c r="C19" s="395"/>
      <c r="D19" s="391"/>
      <c r="E19" s="395"/>
      <c r="F19" s="95"/>
      <c r="G19" s="395"/>
      <c r="H19" s="95"/>
      <c r="I19" s="395"/>
      <c r="J19" s="391"/>
      <c r="K19" s="395"/>
      <c r="L19" s="391"/>
      <c r="M19" s="395"/>
      <c r="N19" s="391"/>
      <c r="O19" s="396">
        <f t="shared" si="0"/>
        <v>0</v>
      </c>
    </row>
    <row r="20" spans="1:15" ht="24.75" customHeight="1">
      <c r="A20" s="81" t="s">
        <v>457</v>
      </c>
      <c r="B20" s="66" t="s">
        <v>188</v>
      </c>
      <c r="C20" s="418">
        <v>0</v>
      </c>
      <c r="D20" s="391"/>
      <c r="E20" s="395"/>
      <c r="F20" s="95"/>
      <c r="G20" s="395"/>
      <c r="H20" s="95"/>
      <c r="I20" s="395"/>
      <c r="J20" s="391"/>
      <c r="K20" s="395"/>
      <c r="L20" s="391"/>
      <c r="M20" s="395"/>
      <c r="N20" s="391"/>
      <c r="O20" s="396">
        <f t="shared" si="0"/>
        <v>0</v>
      </c>
    </row>
    <row r="21" spans="1:15" ht="12.75">
      <c r="A21" s="65"/>
      <c r="C21" s="391"/>
      <c r="D21" s="95"/>
      <c r="E21" s="391"/>
      <c r="F21" s="95"/>
      <c r="G21" s="391"/>
      <c r="H21" s="95"/>
      <c r="I21" s="391"/>
      <c r="J21" s="391"/>
      <c r="K21" s="391"/>
      <c r="L21" s="391"/>
      <c r="M21" s="391"/>
      <c r="N21" s="391"/>
      <c r="O21" s="419"/>
    </row>
    <row r="22" spans="1:15" ht="13.5" thickBot="1">
      <c r="A22" s="81" t="s">
        <v>362</v>
      </c>
      <c r="B22" s="34"/>
      <c r="C22" s="397">
        <f>SUM(C11:C20)</f>
        <v>0</v>
      </c>
      <c r="D22" s="419"/>
      <c r="E22" s="397">
        <f>SUM(E11:E20)</f>
        <v>0</v>
      </c>
      <c r="F22" s="419"/>
      <c r="G22" s="397">
        <f>SUM(G11:G20)</f>
        <v>0</v>
      </c>
      <c r="H22" s="419"/>
      <c r="I22" s="397">
        <f>SUM(I11:I20)</f>
        <v>0</v>
      </c>
      <c r="J22" s="390"/>
      <c r="K22" s="397">
        <f>SUM(K11:K20)</f>
        <v>0</v>
      </c>
      <c r="L22" s="390"/>
      <c r="M22" s="397">
        <f>SUM(M11:M21)</f>
        <v>0</v>
      </c>
      <c r="N22" s="390"/>
      <c r="O22" s="442">
        <f>SUM(O11:O20)</f>
        <v>0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48"/>
      <c r="B24" s="449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1"/>
    </row>
    <row r="25" spans="1:15" ht="12.75">
      <c r="A25" s="428"/>
      <c r="B25" s="429"/>
      <c r="C25" s="452"/>
      <c r="D25" s="452"/>
      <c r="E25" s="452"/>
      <c r="F25" s="452"/>
      <c r="G25" s="452"/>
      <c r="H25" s="452"/>
      <c r="I25" s="452"/>
      <c r="J25" s="453"/>
      <c r="K25" s="452"/>
      <c r="L25" s="454"/>
      <c r="M25" s="455"/>
      <c r="N25" s="454"/>
      <c r="O25" s="455"/>
    </row>
    <row r="26" spans="1:15" ht="12.75">
      <c r="A26" s="428" t="s">
        <v>391</v>
      </c>
      <c r="B26" s="429"/>
      <c r="C26" s="452"/>
      <c r="D26" s="452"/>
      <c r="E26" s="452"/>
      <c r="F26" s="452"/>
      <c r="G26" s="452"/>
      <c r="H26" s="452"/>
      <c r="I26" s="452"/>
      <c r="J26" s="453"/>
      <c r="K26" s="452"/>
      <c r="L26" s="454"/>
      <c r="M26" s="455"/>
      <c r="N26" s="454"/>
      <c r="O26" s="455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392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393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3" t="s">
        <v>394</v>
      </c>
      <c r="B31" s="80"/>
      <c r="C31" s="80"/>
      <c r="D31" s="80"/>
      <c r="E31" s="80"/>
      <c r="F31" s="80"/>
      <c r="G31" s="80"/>
      <c r="H31" s="80"/>
      <c r="I31" s="439"/>
      <c r="J31" s="439"/>
      <c r="K31" s="439"/>
      <c r="L31" s="439"/>
      <c r="M31" s="439"/>
      <c r="N31" s="439"/>
      <c r="O31" s="439"/>
    </row>
    <row r="32" spans="1:15" ht="9" customHeight="1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</row>
    <row r="33" spans="1:19" ht="12.75">
      <c r="A33" s="500" t="s">
        <v>395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420"/>
      <c r="Q33" s="420"/>
      <c r="R33" s="420"/>
      <c r="S33" s="420"/>
    </row>
    <row r="34" spans="1:19" ht="12.75">
      <c r="A34" s="499" t="s">
        <v>396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420"/>
      <c r="Q34" s="420"/>
      <c r="R34" s="420"/>
      <c r="S34" s="420"/>
    </row>
    <row r="35" spans="1:19" ht="12.75">
      <c r="A35" s="499" t="s">
        <v>417</v>
      </c>
      <c r="B35" s="502"/>
      <c r="C35" s="502"/>
      <c r="D35" s="502"/>
      <c r="E35" s="502"/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420"/>
      <c r="Q35" s="420"/>
      <c r="R35" s="420"/>
      <c r="S35" s="420"/>
    </row>
    <row r="36" spans="1:19" ht="12.75">
      <c r="A36" s="499" t="s">
        <v>397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420"/>
      <c r="Q36" s="420"/>
      <c r="R36" s="420"/>
      <c r="S36" s="420"/>
    </row>
    <row r="37" spans="1:19" ht="12.75">
      <c r="A37" s="432" t="s">
        <v>359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360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398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399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400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401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402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403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404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405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406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403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407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408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409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410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411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369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412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413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371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370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372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414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415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416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499" t="s">
        <v>446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</row>
    <row r="75" spans="1:15" ht="12.75">
      <c r="A75" s="429" t="s">
        <v>361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499"/>
      <c r="D92" s="499"/>
      <c r="E92" s="499"/>
      <c r="F92" s="499"/>
      <c r="G92" s="499"/>
      <c r="H92" s="499"/>
      <c r="I92" s="499"/>
      <c r="J92" s="499"/>
      <c r="K92" s="499"/>
      <c r="L92" s="499"/>
      <c r="M92" s="499"/>
      <c r="N92" s="499"/>
      <c r="O92" s="499"/>
      <c r="P92" s="499"/>
      <c r="Q92" s="499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65" bottom="0.236220472440945" header="0.17" footer="0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 </cp:lastModifiedBy>
  <cp:lastPrinted>2010-08-24T19:25:57Z</cp:lastPrinted>
  <dcterms:created xsi:type="dcterms:W3CDTF">2001-11-07T16:15:53Z</dcterms:created>
  <dcterms:modified xsi:type="dcterms:W3CDTF">2011-09-28T14:18:58Z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