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34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<sst xmlns="http://schemas.openxmlformats.org/spreadsheetml/2006/main" count="875" uniqueCount="503">
  <si>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</si>
  <si>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</si>
  <si>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</si>
  <si>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</si>
  <si>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</si>
  <si>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</si>
  <si>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</si>
  <si>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</si>
  <si>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</si>
  <si>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</si>
  <si>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</si>
  <si>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</si>
  <si>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</si>
  <si>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</si>
  <si>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</si>
  <si>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</si>
  <si>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</si>
  <si>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</si>
  <si>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</si>
  <si>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</si>
  <si>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</si>
  <si>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</si>
  <si>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</si>
  <si>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</si>
  <si>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</si>
  <si>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</si>
  <si>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</si>
  <si>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</si>
  <si>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</si>
  <si>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</si>
  <si>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</si>
  <si>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</si>
  <si>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</si>
  <si>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</si>
  <si>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</si>
  <si>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</si>
  <si>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</si>
  <si>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</si>
  <si>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</si>
  <si>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</si>
  <si>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</si>
  <si>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</si>
  <si>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</si>
  <si>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</si>
  <si>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</si>
  <si>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</si>
  <si>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</si>
  <si>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</si>
  <si>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</si>
  <si>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</si>
  <si>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</si>
  <si>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</si>
  <si>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</si>
  <si>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</si>
  <si>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</si>
  <si>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</si>
  <si>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</si>
  <si>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</si>
  <si>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</si>
  <si>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</si>
  <si>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</si>
  <si>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</si>
  <si>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</si>
  <si>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</si>
  <si>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</si>
  <si>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</si>
  <si>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</si>
  <si>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</si>
  <si>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</si>
  <si>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</si>
  <si>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</si>
  <si>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</si>
  <si>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</si>
  <si>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</si>
  <si>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</si>
  <si>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</si>
  <si>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</si>
  <si>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</si>
  <si>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</si>
  <si>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</si>
  <si>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</si>
  <si>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</si>
  <si>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</si>
  <si>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</si>
  <si>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</si>
  <si>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</si>
  <si>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</si>
  <si>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</si>
  <si>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</si>
  <si>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</si>
  <si>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</si>
  <si>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</si>
  <si>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</si>
  <si>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</si>
  <si>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</si>
  <si>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</si>
  <si>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</si>
  <si>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</si>
  <si>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</si>
  <si>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</si>
  <si>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</si>
  <si>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</si>
  <si>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</si>
  <si>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</si>
  <si>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</si>
  <si>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</si>
  <si>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</si>
  <si>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</si>
  <si>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</si>
  <si>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</si>
  <si>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</si>
  <si>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</si>
  <si>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</si>
  <si>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</si>
  <si>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</si>
  <si>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</si>
  <si>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</si>
  <si>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</si>
  <si>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</si>
  <si>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</si>
  <si>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</si>
  <si>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</si>
  <si>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</si>
  <si>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</si>
  <si>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</si>
  <si>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</si>
  <si>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</si>
  <si>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</si>
  <si>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</si>
  <si>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</si>
  <si>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</si>
  <si>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</si>
  <si>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</si>
  <si>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</si>
  <si>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</si>
  <si>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</si>
  <si>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</si>
  <si>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</si>
  <si>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</si>
  <si>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</si>
  <si>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</si>
  <si>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</si>
  <si>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</si>
  <si>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</si>
  <si>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</si>
  <si>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</si>
  <si>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</si>
  <si>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</si>
  <si>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</si>
  <si>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</si>
  <si>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</si>
  <si>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</si>
  <si>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</si>
  <si>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</si>
  <si>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</si>
  <si>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</si>
  <si>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</si>
  <si>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</si>
  <si>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</si>
  <si>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</si>
  <si>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</si>
  <si>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</si>
  <si>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</si>
  <si>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</si>
  <si>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</si>
  <si>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</si>
  <si>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</si>
  <si>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</si>
  <si>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</si>
  <si>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</si>
  <si>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</si>
  <si>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</si>
  <si>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</si>
  <si>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</si>
  <si>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</si>
  <si>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</si>
  <si>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</si>
  <si>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</si>
  <si>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</si>
  <si>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</si>
  <si>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</si>
  <si>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</si>
  <si>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</si>
  <si>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</si>
  <si>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</si>
  <si>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</si>
  <si>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</si>
  <si>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</si>
  <si>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</si>
  <si>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</si>
  <si>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</si>
  <si>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</si>
  <si>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</si>
  <si>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</si>
  <si>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</si>
  <si>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</si>
  <si>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</si>
  <si>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</si>
  <si>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</si>
  <si>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</si>
  <si>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</si>
  <si>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</si>
  <si>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</si>
  <si>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</si>
  <si>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</si>
  <si>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</si>
  <si>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</si>
  <si>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</si>
  <si>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</si>
  <si>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</si>
  <si>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</si>
  <si>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</si>
  <si>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</si>
  <si>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</si>
  <si>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</si>
  <si>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</si>
  <si>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</si>
  <si>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</si>
  <si>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</si>
  <si>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</si>
  <si>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</si>
  <si>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</si>
  <si>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</si>
  <si>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</si>
  <si>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</si>
  <si>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</si>
  <si>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</si>
  <si>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</si>
  <si>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</si>
  <si>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</si>
  <si>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</si>
  <si>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</si>
  <si>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</si>
  <si>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</si>
  <si>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</si>
  <si>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</si>
  <si>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</si>
  <si>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</si>
  <si>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</si>
  <si>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</si>
  <si>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</si>
  <si>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</si>
  <si>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</si>
  <si>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</si>
  <si>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</si>
  <si>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</si>
  <si>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</si>
  <si>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</si>
  <si>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</si>
  <si>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</si>
  <si>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</si>
  <si>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</si>
  <si>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</si>
  <si>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</si>
  <si>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</si>
  <si>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</si>
  <si>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</si>
  <si>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</si>
  <si>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</si>
  <si>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</si>
  <si>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</si>
  <si>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</si>
  <si>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</si>
  <si>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</si>
  <si>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</si>
  <si>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</si>
  <si>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</si>
  <si>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</si>
  <si>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</si>
  <si>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</si>
  <si>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</si>
  <si>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</si>
  <si>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</si>
  <si>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</si>
  <si>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</si>
  <si>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</si>
  <si>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</si>
  <si>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</si>
  <si>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</si>
  <si>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</si>
  <si>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</si>
  <si>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</si>
  <si>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</si>
  <si>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</si>
  <si>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</si>
  <si>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</si>
  <si>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</si>
  <si>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</si>
  <si>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</si>
  <si>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</si>
  <si>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</si>
  <si>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</si>
  <si>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</si>
  <si>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</si>
  <si>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</si>
  <si>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</si>
  <si>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</si>
  <si>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</si>
  <si>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</si>
  <si>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</si>
  <si>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</si>
  <si>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</si>
  <si>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</si>
  <si>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</si>
  <si>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</si>
  <si>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</si>
  <si>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</si>
  <si>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</si>
  <si>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</si>
  <si>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</si>
  <si>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</si>
  <si>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</si>
  <si>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</si>
  <si>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</si>
  <si>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</si>
  <si>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</si>
  <si>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</si>
  <si>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</si>
  <si>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</si>
  <si>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</si>
  <si>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</si>
  <si>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</si>
  <si>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</si>
  <si>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</si>
  <si>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</si>
  <si>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</si>
  <si>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</si>
  <si>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</si>
  <si>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</si>
  <si>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</si>
  <si>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</si>
  <si>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</si>
  <si>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</si>
  <si>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</si>
  <si>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</si>
  <si>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</si>
  <si>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</si>
  <si>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</si>
  <si>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</si>
  <si>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</si>
  <si>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</si>
  <si>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</si>
  <si>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</si>
  <si>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</si>
  <si>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</si>
  <si>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</si>
  <si>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</si>
  <si>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</si>
  <si>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</si>
  <si>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</si>
  <si>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</si>
  <si>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</si>
  <si>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</si>
  <si>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</si>
  <si>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</si>
  <si>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</si>
  <si>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</si>
  <si>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</si>
  <si>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</si>
  <si>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</si>
  <si>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</si>
  <si>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</si>
  <si>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</si>
  <si>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</si>
  <si>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</si>
  <si>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</si>
  <si>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</si>
  <si>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</si>
  <si>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</si>
  <si>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</si>
  <si>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</si>
  <si>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</si>
  <si>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</si>
  <si>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</si>
  <si>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</si>
  <si>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</si>
  <si>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</si>
  <si>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</si>
  <si>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</si>
  <si>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</si>
  <si>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</si>
  <si>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</si>
  <si>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</si>
  <si>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</si>
  <si>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</si>
  <si>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</si>
  <si>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</si>
  <si>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</si>
  <si>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</si>
  <si>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</si>
  <si>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</si>
  <si>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</si>
  <si>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</si>
  <si>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</si>
  <si>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</si>
  <si>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</si>
  <si>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</si>
  <si>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</si>
  <si>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</si>
  <si>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</si>
  <si>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</si>
  <si>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</si>
  <si>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</si>
  <si>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</si>
  <si>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</si>
  <si>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</si>
  <si>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</si>
  <si>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</si>
  <si>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</si>
  <si>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</si>
  <si>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</si>
  <si>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</si>
  <si>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</si>
  <si>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</si>
  <si>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</si>
  <si>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</si>
  <si>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</si>
  <si>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</si>
  <si>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</si>
  <si>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</si>
  <si>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</si>
  <si>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</si>
  <si>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</si>
  <si>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</si>
  <si>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</si>
  <si>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</si>
  <si>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</si>
  <si>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</si>
  <si>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</si>
  <si>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</si>
  <si>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</si>
  <si>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</si>
  <si>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</si>
  <si>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</si>
  <si>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</si>
  <si>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</si>
  <si>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</si>
  <si>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</si>
  <si>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</si>
  <si>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</si>
  <si>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</si>
  <si>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</si>
  <si>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</si>
  <si>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</si>
  <si>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</si>
  <si>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</si>
  <si>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</si>
  <si>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</si>
  <si>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</si>
  <si>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</si>
  <si>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</si>
  <si>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</si>
  <si>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</si>
  <si>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</si>
  <si>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</si>
  <si>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</si>
  <si>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</si>
  <si>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</si>
  <si>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</si>
  <si>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</si>
  <si>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</si>
  <si>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</si>
  <si>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</si>
  <si>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</si>
  <si>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</si>
  <si>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</si>
  <si>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</si>
  <si>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</si>
  <si>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</si>
  <si>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</si>
  <si>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</si>
  <si>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</si>
  <si>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</si>
  <si>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</si>
  <si>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</si>
  <si>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</si>
  <si>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</si>
  <si>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</si>
  <si>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</si>
  <si>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</si>
  <si>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</si>
  <si>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</si>
  <si>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</si>
  <si>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</si>
  <si>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</si>
  <si>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</si>
  <si>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</si>
  <si>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</si>
  <si>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</si>
  <si>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</si>
  <si>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</si>
  <si>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</si>
  <si>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</si>
  <si>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</si>
  <si>
    <t>Utility Name: Innisfil Hydro Distribution Systems Limited</t>
  </si>
  <si>
    <t>Y</t>
  </si>
  <si>
    <t>N</t>
  </si>
  <si>
    <t>Interest Adjustment for Tax Purposes  (carry forward to Cell E112)</t>
  </si>
  <si>
    <t>TRUE-UP VARIANCE (from cell E132)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</si>
  <si>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</si>
  <si>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Other - Severence</t>
  </si>
  <si>
    <t>Contributions in Aid of Construction</t>
  </si>
  <si>
    <t>PILs TAXES - EB-2011-XXXX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</si>
</sst>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502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55" t="s">
        <v>445</v>
      </c>
      <c r="E3" s="8"/>
      <c r="F3" s="8"/>
      <c r="G3" s="8"/>
      <c r="H3" s="8"/>
    </row>
    <row r="4" spans="1:8" ht="12.75">
      <c r="A4" s="2" t="s">
        <v>480</v>
      </c>
      <c r="C4" s="8"/>
      <c r="D4" s="454" t="s">
        <v>440</v>
      </c>
      <c r="E4" s="428"/>
      <c r="H4" s="8"/>
    </row>
    <row r="5" spans="1:8" ht="12.75">
      <c r="A5" s="52"/>
      <c r="C5" s="8"/>
      <c r="D5" s="453" t="s">
        <v>441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2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2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2" t="s">
        <v>496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493" t="s">
        <v>496</v>
      </c>
    </row>
    <row r="20" spans="1:4" ht="13.5" thickBot="1">
      <c r="A20" s="498"/>
      <c r="B20" s="8" t="s">
        <v>314</v>
      </c>
      <c r="C20" s="8" t="s">
        <v>64</v>
      </c>
      <c r="D20" s="492" t="s">
        <v>496</v>
      </c>
    </row>
    <row r="21" spans="1:4" ht="12.75">
      <c r="A21" s="497" t="s">
        <v>312</v>
      </c>
      <c r="B21" s="8" t="s">
        <v>313</v>
      </c>
      <c r="C21" s="8"/>
      <c r="D21" s="423">
        <v>1</v>
      </c>
    </row>
    <row r="22" spans="1:4" ht="12.75">
      <c r="A22" s="497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481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20162592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1726926.0048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1152733</v>
      </c>
      <c r="E43" s="387">
        <f>D43</f>
        <v>1152733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574193.0048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191398</v>
      </c>
      <c r="E47" s="387">
        <f aca="true" t="shared" si="0" ref="E47:E53">D47</f>
        <v>191398</v>
      </c>
      <c r="H47" s="40"/>
      <c r="J47" s="5"/>
      <c r="K47" s="5"/>
    </row>
    <row r="48" spans="1:11" ht="12.75">
      <c r="A48" t="s">
        <v>290</v>
      </c>
      <c r="D48" s="426">
        <v>191398</v>
      </c>
      <c r="E48" s="387">
        <f>D48</f>
        <v>191398</v>
      </c>
      <c r="F48" s="22"/>
      <c r="H48" s="40"/>
      <c r="J48" s="5"/>
      <c r="K48" s="5"/>
    </row>
    <row r="49" spans="1:11" ht="12.75">
      <c r="A49" t="s">
        <v>291</v>
      </c>
      <c r="D49" s="427">
        <v>191398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460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1535529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10081296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996032.0448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10081296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730893.96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568882.0636310566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649888.2224168126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649888.2224168126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730893.96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54">
      <selection activeCell="G77" sqref="G77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EB-2011-XXXX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Innisfil Hydro Distribution Systems Limited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1535529</v>
      </c>
      <c r="D16" s="17"/>
      <c r="E16" s="266">
        <f>G16-C16</f>
        <v>301027</v>
      </c>
      <c r="F16" s="3"/>
      <c r="G16" s="266">
        <f>TAXREC!E50</f>
        <v>1836556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1222162</v>
      </c>
      <c r="D20" s="18"/>
      <c r="E20" s="266">
        <f>G20-C20</f>
        <v>230131</v>
      </c>
      <c r="F20" s="6"/>
      <c r="G20" s="266">
        <f>TAXREC!E61</f>
        <v>1452293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65000</v>
      </c>
      <c r="F23" s="6"/>
      <c r="G23" s="266">
        <f>TAXREC!E64</f>
        <v>65000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2087</v>
      </c>
      <c r="F27" s="6"/>
      <c r="G27" s="266">
        <f>TAXREC!E93</f>
        <v>2087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359401</v>
      </c>
      <c r="F28" s="6"/>
      <c r="G28" s="266">
        <f>TAXREC!E67</f>
        <v>359401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82" t="s">
        <v>393</v>
      </c>
      <c r="B30" s="127"/>
      <c r="C30" s="258"/>
      <c r="D30" s="18"/>
      <c r="E30" s="266">
        <f>G30-C30</f>
        <v>104956</v>
      </c>
      <c r="F30" s="6"/>
      <c r="G30" s="266">
        <f>TAXREC!E66</f>
        <v>104956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777095</v>
      </c>
      <c r="D33" s="132"/>
      <c r="E33" s="266">
        <f aca="true" t="shared" si="0" ref="E33:E42">G33-C33</f>
        <v>256398</v>
      </c>
      <c r="F33" s="6"/>
      <c r="G33" s="266">
        <f>TAXREC!E97+TAXREC!E98</f>
        <v>1033493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649888.2224168126</v>
      </c>
      <c r="D37" s="132"/>
      <c r="E37" s="266">
        <f t="shared" si="0"/>
        <v>298337.77758318745</v>
      </c>
      <c r="F37" s="6"/>
      <c r="G37" s="266">
        <f>TAXREC!E51</f>
        <v>948226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359401</v>
      </c>
      <c r="F46" s="6"/>
      <c r="G46" s="251">
        <f>TAXREC!E110</f>
        <v>359401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393</v>
      </c>
      <c r="B48" s="127"/>
      <c r="C48" s="258"/>
      <c r="D48" s="132"/>
      <c r="E48" s="266">
        <f>G48-C48</f>
        <v>102845.353</v>
      </c>
      <c r="F48" s="6"/>
      <c r="G48" s="251">
        <f>TAXREC!E108</f>
        <v>102845.353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1330707.7775831874</v>
      </c>
      <c r="D50" s="102"/>
      <c r="E50" s="262">
        <f>E16+SUM(E20:E30)-SUM(E33:E48)</f>
        <v>45619.86941681255</v>
      </c>
      <c r="F50" s="431"/>
      <c r="G50" s="262">
        <f>G16+SUM(G20:G30)-SUM(G33:G48)</f>
        <v>1376327.6469999999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0.3862</v>
      </c>
      <c r="D53" s="102"/>
      <c r="E53" s="267">
        <f>+G53-C53</f>
        <v>-0.024999999999999967</v>
      </c>
      <c r="F53" s="114"/>
      <c r="G53" s="473">
        <f>TAXREC!E151</f>
        <v>0.3612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513919.343702627</v>
      </c>
      <c r="D55" s="102"/>
      <c r="E55" s="266">
        <f>G55-C55</f>
        <v>-11012.343702626997</v>
      </c>
      <c r="F55" s="431"/>
      <c r="G55" s="263">
        <f>TAXREC!E144</f>
        <v>502907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/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513919.343702627</v>
      </c>
      <c r="D60" s="133"/>
      <c r="E60" s="268">
        <f>+E55-E58</f>
        <v>-11012.343702626997</v>
      </c>
      <c r="F60" s="431"/>
      <c r="G60" s="268">
        <f>+G55-G58</f>
        <v>502907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20162592</v>
      </c>
      <c r="D66" s="102"/>
      <c r="E66" s="266">
        <f>G66-C66</f>
        <v>3453359</v>
      </c>
      <c r="F66" s="6"/>
      <c r="G66" s="475">
        <v>23615951</v>
      </c>
      <c r="H66" s="151"/>
      <c r="I66" s="476" t="s">
        <v>472</v>
      </c>
    </row>
    <row r="67" spans="1:10" ht="12.75">
      <c r="A67" s="152" t="s">
        <v>360</v>
      </c>
      <c r="B67" s="125">
        <v>16</v>
      </c>
      <c r="C67" s="259">
        <f>IF(C66&gt;0,'Tax Rates'!C21,0)</f>
        <v>5000000</v>
      </c>
      <c r="D67" s="102"/>
      <c r="E67" s="266">
        <f>G67-C67</f>
        <v>-63500</v>
      </c>
      <c r="F67" s="6"/>
      <c r="G67" s="266">
        <f>'Tax Rates'!C57</f>
        <v>4936500</v>
      </c>
      <c r="H67" s="151"/>
      <c r="I67" s="476" t="s">
        <v>472</v>
      </c>
      <c r="J67" s="477" t="s">
        <v>473</v>
      </c>
    </row>
    <row r="68" spans="1:8" ht="12.75">
      <c r="A68" s="152" t="s">
        <v>42</v>
      </c>
      <c r="B68" s="125"/>
      <c r="C68" s="263">
        <f>IF((C66-C67)&gt;0,C66-C67,0)</f>
        <v>15162592</v>
      </c>
      <c r="D68" s="102"/>
      <c r="E68" s="266">
        <f>SUM(E66:E67)</f>
        <v>3389859</v>
      </c>
      <c r="F68" s="114"/>
      <c r="G68" s="263">
        <f>G66-G67</f>
        <v>18679451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45487.776</v>
      </c>
      <c r="D72" s="101"/>
      <c r="E72" s="266">
        <f>+G72-C72</f>
        <v>10550.577000000012</v>
      </c>
      <c r="F72" s="478"/>
      <c r="G72" s="263">
        <f>IF(G68&gt;0,G68*G70,0)*REGINFO!$B$6/REGINFO!$B$7</f>
        <v>56038.35300000001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20162592</v>
      </c>
      <c r="D75" s="102"/>
      <c r="E75" s="266">
        <f>+G75-C75</f>
        <v>2719145</v>
      </c>
      <c r="F75" s="6"/>
      <c r="G75" s="475">
        <v>22881737</v>
      </c>
      <c r="H75" s="151"/>
      <c r="I75" s="476" t="s">
        <v>472</v>
      </c>
    </row>
    <row r="76" spans="1:9" ht="12.75">
      <c r="A76" s="152" t="s">
        <v>360</v>
      </c>
      <c r="B76" s="125">
        <v>19</v>
      </c>
      <c r="C76" s="259">
        <f>IF(C75&gt;0,'Tax Rates'!C22,0)</f>
        <v>10000000</v>
      </c>
      <c r="D76" s="18"/>
      <c r="E76" s="266">
        <f>+G76-C76</f>
        <v>39000000</v>
      </c>
      <c r="F76" s="6"/>
      <c r="G76" s="266">
        <f>'Tax Rates'!C58</f>
        <v>49000000</v>
      </c>
      <c r="H76" s="151"/>
      <c r="I76" s="476" t="s">
        <v>472</v>
      </c>
    </row>
    <row r="77" spans="1:8" ht="12.75">
      <c r="A77" s="152" t="s">
        <v>42</v>
      </c>
      <c r="B77" s="125"/>
      <c r="C77" s="263">
        <f>IF((C75-C76)&gt;0,C75-C76,0)</f>
        <v>10162592</v>
      </c>
      <c r="D77" s="19"/>
      <c r="E77" s="266">
        <f>SUM(E75:E76)</f>
        <v>41719145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22865.832</v>
      </c>
      <c r="D81" s="102"/>
      <c r="E81" s="266">
        <f>+G81-C81</f>
        <v>-22865.832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14903.927108931699</v>
      </c>
      <c r="D82" s="102"/>
      <c r="E82" s="266">
        <f>+G82-C82</f>
        <v>-14903.927108931699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7961.9048910683</v>
      </c>
      <c r="D84" s="16"/>
      <c r="E84" s="266">
        <f>E81-E82</f>
        <v>-7961.9048910683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3">
        <f>C60/(1-C88)</f>
        <v>822270.9499242032</v>
      </c>
      <c r="D90" s="20"/>
      <c r="E90" s="139"/>
      <c r="F90" s="430" t="s">
        <v>483</v>
      </c>
      <c r="G90" s="269">
        <f>TAXREC!E156</f>
        <v>502907</v>
      </c>
      <c r="H90" s="151"/>
    </row>
    <row r="91" spans="1:8" ht="12.75">
      <c r="A91" s="158" t="s">
        <v>368</v>
      </c>
      <c r="B91" s="127">
        <v>23</v>
      </c>
      <c r="C91" s="263">
        <f>C84/(1-C88)</f>
        <v>12739.04782570928</v>
      </c>
      <c r="D91" s="20"/>
      <c r="E91" s="139"/>
      <c r="F91" s="430" t="s">
        <v>483</v>
      </c>
      <c r="G91" s="269">
        <f>TAXREC!E158</f>
        <v>0</v>
      </c>
      <c r="H91" s="151"/>
    </row>
    <row r="92" spans="1:8" ht="12.75">
      <c r="A92" s="158" t="s">
        <v>348</v>
      </c>
      <c r="B92" s="127">
        <v>24</v>
      </c>
      <c r="C92" s="263">
        <f>C72</f>
        <v>45487.776</v>
      </c>
      <c r="D92" s="20"/>
      <c r="E92" s="139"/>
      <c r="F92" s="430" t="s">
        <v>483</v>
      </c>
      <c r="G92" s="269">
        <f>TAXREC!E157</f>
        <v>56038.35300000001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477</v>
      </c>
      <c r="B95" s="125">
        <v>25</v>
      </c>
      <c r="C95" s="268">
        <f>SUM(C90:C93)</f>
        <v>880497.7737499125</v>
      </c>
      <c r="D95" s="6"/>
      <c r="E95" s="139"/>
      <c r="F95" s="430" t="s">
        <v>483</v>
      </c>
      <c r="G95" s="413">
        <f>SUM(G90:G94)</f>
        <v>558945.353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65000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359401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94" t="s">
        <v>499</v>
      </c>
      <c r="B112" s="127">
        <v>11</v>
      </c>
      <c r="C112" s="112"/>
      <c r="D112" s="3"/>
      <c r="E112" s="472">
        <f>E206</f>
        <v>217332.04000000004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359401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-152332.04000000004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69">
        <f>+'Tax Rates'!F52</f>
        <v>0.3612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-55022.33284800002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-55022.33284800002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-84649.74284307697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1330707.7775831874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480651.6492630473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480651.6492630473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513919.343702627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-33267.694439579675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20162592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15162592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45487.776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45487.776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20162592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-29837408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7961.9048910683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-7961.9048910683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0.35000000000000003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-51181.06836858412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-12739.04782570928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-63920.1161942934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498</v>
      </c>
      <c r="B183" s="130"/>
      <c r="C183" s="112"/>
      <c r="D183" s="119" t="s">
        <v>187</v>
      </c>
      <c r="E183" s="485">
        <f>E132</f>
        <v>-84649.74284307697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-148569.85903737036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730893.96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649888.2224168126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81005.73758318741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948226</v>
      </c>
      <c r="F201" s="3"/>
      <c r="G201" s="490"/>
      <c r="H201" s="164"/>
    </row>
    <row r="202" spans="1:8" ht="12.75">
      <c r="A202" s="155" t="s">
        <v>493</v>
      </c>
      <c r="B202" s="127"/>
      <c r="C202" s="112"/>
      <c r="D202" s="120"/>
      <c r="E202" s="307">
        <f>REGINFO!D62</f>
        <v>730893.96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217332.04000000004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471">
        <f>IF((E201-E202)&gt;0,E201-E202,0)</f>
        <v>217332.04000000004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-136326.30241681263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07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f>0.0025*Ratebase*REGINFO!D33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14504235</v>
      </c>
      <c r="D31" s="285"/>
      <c r="E31" s="283">
        <f>C31-D31</f>
        <v>14504235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5436305</v>
      </c>
      <c r="D32" s="285"/>
      <c r="E32" s="283">
        <f>C32-D32</f>
        <v>5436305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581235</v>
      </c>
      <c r="D33" s="285"/>
      <c r="E33" s="283">
        <f>C33-D33</f>
        <v>581235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14504235</v>
      </c>
      <c r="D39" s="285"/>
      <c r="E39" s="283">
        <f>C39-D39</f>
        <v>14504235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4180984-C43-C44</f>
        <v>2672835</v>
      </c>
      <c r="D40" s="285"/>
      <c r="E40" s="283">
        <f aca="true" t="shared" si="0" ref="E40:E48">C40-D40</f>
        <v>2672835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/>
      <c r="D42" s="285"/>
      <c r="E42" s="283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1452293</v>
      </c>
      <c r="D43" s="285"/>
      <c r="E43" s="283">
        <f t="shared" si="0"/>
        <v>1452293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55856</v>
      </c>
      <c r="D44" s="285"/>
      <c r="E44" s="283">
        <f t="shared" si="0"/>
        <v>55856</v>
      </c>
      <c r="F44" s="11"/>
      <c r="G44" s="11"/>
      <c r="H44" s="6"/>
      <c r="I44" s="6"/>
    </row>
    <row r="45" spans="1:11" ht="12.75">
      <c r="A45" s="4" t="s">
        <v>491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1836556</v>
      </c>
      <c r="D50" s="280">
        <f>SUM(D31:D36)-SUM(D39:D49)</f>
        <v>0</v>
      </c>
      <c r="E50" s="280">
        <f>SUM(E31:E35)-SUM(E39:E48)</f>
        <v>1836556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948226</v>
      </c>
      <c r="D51" s="284"/>
      <c r="E51" s="281">
        <f>+C51-D51</f>
        <v>948226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470877</v>
      </c>
      <c r="D52" s="284"/>
      <c r="E52" s="282">
        <f>+C52-D52</f>
        <v>470877</v>
      </c>
      <c r="F52" s="8"/>
      <c r="G52" s="415"/>
    </row>
    <row r="53" spans="1:6" ht="12.75">
      <c r="A53" s="2" t="s">
        <v>131</v>
      </c>
      <c r="B53" s="8" t="s">
        <v>189</v>
      </c>
      <c r="C53" s="280">
        <f>C50-C51-C52</f>
        <v>417453</v>
      </c>
      <c r="D53" s="280">
        <f>D50-D51-D52</f>
        <v>0</v>
      </c>
      <c r="E53" s="280">
        <f>E50-E51-E52</f>
        <v>417453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470877</v>
      </c>
      <c r="D59" s="286">
        <f>D52</f>
        <v>0</v>
      </c>
      <c r="E59" s="271">
        <f>+C59-D59</f>
        <v>470877</v>
      </c>
      <c r="F59" s="8"/>
      <c r="G59" s="415"/>
    </row>
    <row r="60" spans="1:6" ht="12.75">
      <c r="A60" s="4" t="s">
        <v>327</v>
      </c>
      <c r="B60" s="8" t="s">
        <v>187</v>
      </c>
      <c r="C60" s="317"/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1452293</v>
      </c>
      <c r="D61" s="286">
        <f>D43</f>
        <v>0</v>
      </c>
      <c r="E61" s="271">
        <f>+C61-D61</f>
        <v>1452293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65000</v>
      </c>
      <c r="D64" s="316">
        <f>'Tax Reserves'!D63</f>
        <v>0</v>
      </c>
      <c r="E64" s="271">
        <f>+C64-D64</f>
        <v>65000</v>
      </c>
      <c r="F64" s="8"/>
    </row>
    <row r="65" spans="1:6" ht="12.75">
      <c r="A65" t="s">
        <v>442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104956</v>
      </c>
      <c r="D66" s="446">
        <f>'TAXREC 3 No True-up'!D47</f>
        <v>0</v>
      </c>
      <c r="E66" s="271">
        <f>+C66-D66</f>
        <v>104956</v>
      </c>
      <c r="F66" s="8"/>
    </row>
    <row r="67" spans="1:6" ht="12.75">
      <c r="A67" t="s">
        <v>160</v>
      </c>
      <c r="B67" s="8" t="s">
        <v>187</v>
      </c>
      <c r="C67" s="251">
        <f>'TAXREC 2'!C77</f>
        <v>359401</v>
      </c>
      <c r="D67" s="251">
        <f>'TAXREC 2'!D77</f>
        <v>0</v>
      </c>
      <c r="E67" s="271">
        <f>+C67-D67</f>
        <v>359401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2452527</v>
      </c>
      <c r="D70" s="271">
        <f>SUM(D59:D68)</f>
        <v>0</v>
      </c>
      <c r="E70" s="271">
        <f>SUM(E59:E68)</f>
        <v>2452527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2087</v>
      </c>
      <c r="D74" s="293"/>
      <c r="E74" s="271">
        <f t="shared" si="1"/>
        <v>2087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/>
      <c r="D76" s="293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2087</v>
      </c>
      <c r="D80" s="251">
        <f>SUM(D73:D79)</f>
        <v>0</v>
      </c>
      <c r="E80" s="251">
        <f>SUM(E73:E79)</f>
        <v>2087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2454614</v>
      </c>
      <c r="D82" s="251">
        <f>D70+D80</f>
        <v>0</v>
      </c>
      <c r="E82" s="251">
        <f>E70+E80</f>
        <v>2454614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430</v>
      </c>
      <c r="B93" s="272"/>
      <c r="C93" s="251">
        <f>C80-C92</f>
        <v>2087</v>
      </c>
      <c r="D93" s="251">
        <f>D80-D92</f>
        <v>0</v>
      </c>
      <c r="E93" s="251">
        <f>E80-E92</f>
        <v>2087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2087</v>
      </c>
      <c r="D94" s="251">
        <f>D92+D93</f>
        <v>0</v>
      </c>
      <c r="E94" s="251">
        <f>E92+E93</f>
        <v>2087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996526</v>
      </c>
      <c r="D97" s="293"/>
      <c r="E97" s="271">
        <f>+C97-D97</f>
        <v>996526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36967</v>
      </c>
      <c r="D98" s="293"/>
      <c r="E98" s="271">
        <f>+C98-D98</f>
        <v>36967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393</v>
      </c>
      <c r="B108" s="8"/>
      <c r="C108" s="254">
        <f>'TAXREC 3 No True-up'!C73</f>
        <v>102845.353</v>
      </c>
      <c r="D108" s="254">
        <f>'TAXREC 3 No True-up'!D73</f>
        <v>0</v>
      </c>
      <c r="E108" s="271">
        <f t="shared" si="5"/>
        <v>102845.353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359401</v>
      </c>
      <c r="D110" s="251">
        <f>'TAXREC 2'!D119</f>
        <v>0</v>
      </c>
      <c r="E110" s="251">
        <f>'TAXREC 2'!E119</f>
        <v>359401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1495739.3530000001</v>
      </c>
      <c r="D113" s="251">
        <f>SUM(D97:D111)</f>
        <v>0</v>
      </c>
      <c r="E113" s="251">
        <f>SUM(E97:E111)</f>
        <v>1495739.3530000001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1495739.3530000001</v>
      </c>
      <c r="D122" s="251">
        <f>D113+D120</f>
        <v>0</v>
      </c>
      <c r="E122" s="251">
        <f>+E113+E120</f>
        <v>1495739.3530000001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1376327.6469999999</v>
      </c>
      <c r="D134" s="251">
        <f>D53+D82-D122</f>
        <v>0</v>
      </c>
      <c r="E134" s="251">
        <f>E53+E82-E122</f>
        <v>1376327.6469999999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1376327.6469999999</v>
      </c>
      <c r="D139" s="252">
        <f>D134-D136-D137-D138</f>
        <v>0</v>
      </c>
      <c r="E139" s="252">
        <f>E134-E136-E137-E138</f>
        <v>1376327.6469999999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310221</v>
      </c>
      <c r="D142" s="487">
        <f>D139*C149</f>
        <v>0</v>
      </c>
      <c r="E142" s="252">
        <f>C142-D142</f>
        <v>310221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192686</v>
      </c>
      <c r="D143" s="487">
        <f>D139*C150</f>
        <v>0</v>
      </c>
      <c r="E143" s="291">
        <f>C143-D143</f>
        <v>192686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502907</v>
      </c>
      <c r="D144" s="252">
        <f>D142+D143</f>
        <v>0</v>
      </c>
      <c r="E144" s="252">
        <f>E142+E143</f>
        <v>502907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48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502907</v>
      </c>
      <c r="D146" s="252">
        <f>D144-D145</f>
        <v>0</v>
      </c>
      <c r="E146" s="252">
        <f>E144-E145</f>
        <v>502907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+'Tax Rates'!F50</f>
        <v>0.2212</v>
      </c>
      <c r="D149" s="5"/>
      <c r="E149" s="405">
        <f>C149</f>
        <v>0.2212</v>
      </c>
      <c r="F149" s="8"/>
      <c r="G149" s="484" t="s">
        <v>467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+'Tax Rates'!F51</f>
        <v>0.14</v>
      </c>
      <c r="D150" s="5"/>
      <c r="E150" s="405">
        <f>C150</f>
        <v>0.14</v>
      </c>
      <c r="F150" s="8"/>
      <c r="G150" s="484" t="s">
        <v>468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0.3612</v>
      </c>
      <c r="D151" s="5"/>
      <c r="E151" s="405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502907</v>
      </c>
      <c r="D156" s="251">
        <f>D146</f>
        <v>0</v>
      </c>
      <c r="E156" s="251">
        <f>E146</f>
        <v>502907</v>
      </c>
    </row>
    <row r="157" spans="1:5" ht="12.75">
      <c r="A157" t="s">
        <v>20</v>
      </c>
      <c r="B157" s="86" t="s">
        <v>187</v>
      </c>
      <c r="C157" s="251">
        <f>TAXCALC!G72</f>
        <v>56038.35300000001</v>
      </c>
      <c r="D157" s="251"/>
      <c r="E157" s="251">
        <f>C157+D157</f>
        <v>56038.35300000001</v>
      </c>
    </row>
    <row r="158" spans="1:5" ht="12.75">
      <c r="A158" t="s">
        <v>218</v>
      </c>
      <c r="B158" s="86" t="s">
        <v>187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558945.353</v>
      </c>
      <c r="D160" s="251">
        <f>D156+D157+D158</f>
        <v>0</v>
      </c>
      <c r="E160" s="251">
        <f>E156+E157+E158</f>
        <v>558945.353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447</v>
      </c>
      <c r="B18" s="61"/>
      <c r="C18" s="293"/>
      <c r="D18" s="293"/>
      <c r="E18" s="251">
        <f t="shared" si="0"/>
        <v>0</v>
      </c>
    </row>
    <row r="19" spans="1:5" ht="12.75">
      <c r="A19" s="61" t="s">
        <v>447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447</v>
      </c>
      <c r="B30" s="61"/>
      <c r="C30" s="293"/>
      <c r="D30" s="293"/>
      <c r="E30" s="251">
        <f t="shared" si="1"/>
        <v>0</v>
      </c>
    </row>
    <row r="31" spans="1:5" ht="12.75">
      <c r="A31" s="61" t="s">
        <v>447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/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447</v>
      </c>
      <c r="B47" s="61"/>
      <c r="C47" s="293"/>
      <c r="D47" s="293"/>
      <c r="E47" s="251">
        <f t="shared" si="2"/>
        <v>0</v>
      </c>
    </row>
    <row r="48" spans="1:5" ht="12.75">
      <c r="A48" s="61" t="s">
        <v>447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/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495" t="s">
        <v>500</v>
      </c>
      <c r="B59" s="61"/>
      <c r="C59" s="293">
        <v>65000</v>
      </c>
      <c r="D59" s="293"/>
      <c r="E59" s="251">
        <f t="shared" si="3"/>
        <v>65000</v>
      </c>
    </row>
    <row r="60" spans="1:5" ht="12.75">
      <c r="A60" s="61" t="s">
        <v>447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65000</v>
      </c>
      <c r="D63" s="251">
        <f>SUM(D53:D61)</f>
        <v>0</v>
      </c>
      <c r="E63" s="251">
        <f>SUM(E53:E61)</f>
        <v>65000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37" sqref="A3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448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496" t="s">
        <v>501</v>
      </c>
      <c r="B37" t="s">
        <v>187</v>
      </c>
      <c r="C37" s="294">
        <v>359401</v>
      </c>
      <c r="D37" s="294"/>
      <c r="E37" s="312">
        <f t="shared" si="0"/>
        <v>359401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359401</v>
      </c>
      <c r="D46" s="251">
        <f>SUM(D17:D45)</f>
        <v>0</v>
      </c>
      <c r="E46" s="251">
        <f>SUM(E17:E45)</f>
        <v>359401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Contributions in Aid of Construction</v>
      </c>
      <c r="B68" s="272"/>
      <c r="C68" s="251">
        <f t="shared" si="3"/>
        <v>359401</v>
      </c>
      <c r="D68" s="251">
        <f t="shared" si="3"/>
        <v>0</v>
      </c>
      <c r="E68" s="251">
        <f t="shared" si="3"/>
        <v>359401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359401</v>
      </c>
      <c r="D77" s="251">
        <f>SUM(D49:D75)</f>
        <v>0</v>
      </c>
      <c r="E77" s="251">
        <f>SUM(E49:E75)</f>
        <v>359401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359401</v>
      </c>
      <c r="D79" s="314">
        <f>D77+D78</f>
        <v>0</v>
      </c>
      <c r="E79" s="314">
        <f>E77+E78</f>
        <v>359401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1:5" ht="12.75">
      <c r="A92" s="496" t="s">
        <v>501</v>
      </c>
      <c r="B92" s="8" t="s">
        <v>188</v>
      </c>
      <c r="C92" s="293">
        <v>359401</v>
      </c>
      <c r="D92" s="293"/>
      <c r="E92" s="251">
        <f t="shared" si="5"/>
        <v>359401</v>
      </c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3"/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359401</v>
      </c>
      <c r="D99" s="251">
        <f>SUM(D82:D98)</f>
        <v>0</v>
      </c>
      <c r="E99" s="251">
        <f>SUM(E82:E98)</f>
        <v>359401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IF($E92&gt;$C$11,A92," ")</f>
        <v>Contributions in Aid of Construction</v>
      </c>
      <c r="B112" s="272"/>
      <c r="C112" s="251">
        <f t="shared" si="7"/>
        <v>359401</v>
      </c>
      <c r="D112" s="251">
        <f t="shared" si="7"/>
        <v>0</v>
      </c>
      <c r="E112" s="251">
        <f t="shared" si="7"/>
        <v>359401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359401</v>
      </c>
      <c r="D119" s="251">
        <f>SUM(D102:D118)</f>
        <v>0</v>
      </c>
      <c r="E119" s="251">
        <f>SUM(E102:E118)</f>
        <v>359401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359401</v>
      </c>
      <c r="D121" s="251">
        <f>D119+D120</f>
        <v>0</v>
      </c>
      <c r="E121" s="251">
        <f>E119+E120</f>
        <v>359401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4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60" sqref="C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EB-2011-XXXX</v>
      </c>
    </row>
    <row r="3" spans="1:5" ht="12.75">
      <c r="A3" s="2" t="s">
        <v>383</v>
      </c>
      <c r="E3" s="92"/>
    </row>
    <row r="4" spans="1:6" ht="15.7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389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390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453</v>
      </c>
      <c r="B24" t="s">
        <v>187</v>
      </c>
      <c r="C24" s="294">
        <v>3652</v>
      </c>
      <c r="D24" s="294"/>
      <c r="E24" s="312">
        <f t="shared" si="0"/>
        <v>3652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436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388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387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449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450</v>
      </c>
      <c r="C35" s="294"/>
      <c r="D35" s="294"/>
      <c r="E35" s="312">
        <f t="shared" si="0"/>
        <v>0</v>
      </c>
    </row>
    <row r="36" spans="1:5" ht="12.75">
      <c r="A36" s="67" t="s">
        <v>433</v>
      </c>
      <c r="C36" s="294">
        <v>2091</v>
      </c>
      <c r="D36" s="294"/>
      <c r="E36" s="312">
        <f t="shared" si="0"/>
        <v>2091</v>
      </c>
    </row>
    <row r="37" spans="1:5" ht="12.75">
      <c r="A37" s="67" t="s">
        <v>434</v>
      </c>
      <c r="C37" s="294"/>
      <c r="D37" s="294"/>
      <c r="E37" s="312">
        <f t="shared" si="0"/>
        <v>0</v>
      </c>
    </row>
    <row r="38" spans="1:5" ht="12.75">
      <c r="A38" s="81" t="s">
        <v>391</v>
      </c>
      <c r="C38" s="294">
        <v>55856</v>
      </c>
      <c r="D38" s="294"/>
      <c r="E38" s="312">
        <f t="shared" si="0"/>
        <v>55856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385</v>
      </c>
      <c r="B40" t="s">
        <v>187</v>
      </c>
      <c r="C40" s="294">
        <v>43357</v>
      </c>
      <c r="D40" s="294"/>
      <c r="E40" s="312">
        <f t="shared" si="0"/>
        <v>43357</v>
      </c>
    </row>
    <row r="41" spans="1:5" ht="12.75">
      <c r="A41" s="67" t="s">
        <v>456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2:5" ht="12.75"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395</v>
      </c>
      <c r="B47" t="s">
        <v>189</v>
      </c>
      <c r="C47" s="251">
        <f>SUM(C19:C46)</f>
        <v>104956</v>
      </c>
      <c r="D47" s="251">
        <f>SUM(D19:D46)</f>
        <v>0</v>
      </c>
      <c r="E47" s="251">
        <f>SUM(E19:E46)</f>
        <v>104956</v>
      </c>
    </row>
    <row r="48" ht="12.75">
      <c r="A48" s="67"/>
    </row>
    <row r="49" ht="12.75">
      <c r="A49" s="81" t="s">
        <v>145</v>
      </c>
    </row>
    <row r="51" spans="1:5" ht="12.75">
      <c r="A51" s="71" t="s">
        <v>386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452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387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435</v>
      </c>
      <c r="B54" s="8" t="s">
        <v>188</v>
      </c>
      <c r="C54" s="293">
        <v>3450</v>
      </c>
      <c r="D54" s="293"/>
      <c r="E54" s="251">
        <f t="shared" si="1"/>
        <v>3450</v>
      </c>
    </row>
    <row r="55" spans="1:5" ht="12.75">
      <c r="A55" s="67" t="s">
        <v>443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455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451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454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8" t="s">
        <v>392</v>
      </c>
      <c r="B60" s="8" t="s">
        <v>188</v>
      </c>
      <c r="C60" s="251">
        <f>TAXCALC!G72</f>
        <v>56038.35300000001</v>
      </c>
      <c r="D60" s="293"/>
      <c r="E60" s="251">
        <f t="shared" si="1"/>
        <v>56038.35300000001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8" t="s">
        <v>385</v>
      </c>
      <c r="B62" s="8" t="s">
        <v>188</v>
      </c>
      <c r="C62" s="293">
        <v>43357</v>
      </c>
      <c r="D62" s="293"/>
      <c r="E62" s="251">
        <f aca="true" t="shared" si="2" ref="E62:E72">C62-D62</f>
        <v>43357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t="s">
        <v>492</v>
      </c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189</v>
      </c>
      <c r="C73" s="251">
        <f>SUM(C51:C72)</f>
        <v>102845.353</v>
      </c>
      <c r="D73" s="251">
        <f>SUM(D51:D72)</f>
        <v>0</v>
      </c>
      <c r="E73" s="251">
        <f>SUM(E51:E72)</f>
        <v>102845.353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0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EB-2011-XXXX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Innisfil Hydro Distribution Systems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478</v>
      </c>
      <c r="B8" s="506"/>
      <c r="C8" s="506"/>
      <c r="D8" s="506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466</v>
      </c>
      <c r="B10" s="326"/>
      <c r="C10" s="375" t="s">
        <v>111</v>
      </c>
      <c r="D10" s="375"/>
      <c r="E10" s="375" t="s">
        <v>111</v>
      </c>
      <c r="F10" s="376" t="s">
        <v>479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470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471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490</v>
      </c>
      <c r="B23" s="500"/>
      <c r="C23" s="500"/>
      <c r="D23" s="500"/>
      <c r="E23" s="500"/>
      <c r="F23" s="500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5" t="s">
        <v>486</v>
      </c>
      <c r="B26" s="506"/>
      <c r="C26" s="506"/>
      <c r="D26" s="506"/>
      <c r="E26" s="506"/>
      <c r="F26" s="50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439</v>
      </c>
      <c r="B28" s="326"/>
      <c r="C28" s="369" t="s">
        <v>111</v>
      </c>
      <c r="D28" s="369" t="s">
        <v>111</v>
      </c>
      <c r="E28" s="369" t="s">
        <v>111</v>
      </c>
      <c r="F28" s="370" t="s">
        <v>489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487</v>
      </c>
      <c r="B39" s="406" t="s">
        <v>470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488</v>
      </c>
      <c r="B40" s="407" t="s">
        <v>485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335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484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0.2229</v>
      </c>
      <c r="F50" s="352">
        <v>0.2212</v>
      </c>
      <c r="G50" s="194"/>
      <c r="H50" s="491">
        <v>0.2212</v>
      </c>
      <c r="I50" s="491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0.1377</v>
      </c>
      <c r="F51" s="354">
        <v>0.14</v>
      </c>
      <c r="G51" s="194"/>
      <c r="H51" s="491">
        <v>0.14</v>
      </c>
      <c r="I51" s="491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491">
        <f>+H50+H51</f>
        <v>0.3612</v>
      </c>
      <c r="I52" s="491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470</v>
      </c>
      <c r="C57" s="361">
        <v>4936500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485</v>
      </c>
      <c r="C58" s="362">
        <v>49000000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351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EB-2011-XXXX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Innisfil Hydro Distribution Systems Limited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396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397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398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-84649.74284307697</v>
      </c>
      <c r="N15" s="391"/>
      <c r="O15" s="396">
        <f t="shared" si="0"/>
        <v>-84649.74284307697</v>
      </c>
    </row>
    <row r="16" spans="1:15" ht="27" customHeight="1">
      <c r="A16" s="81" t="s">
        <v>399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400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-63920.1161942934</v>
      </c>
      <c r="N17" s="391"/>
      <c r="O17" s="396">
        <f t="shared" si="0"/>
        <v>-63920.1161942934</v>
      </c>
    </row>
    <row r="18" spans="1:15" ht="25.5">
      <c r="A18" s="81" t="s">
        <v>401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402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372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-148569.85903737036</v>
      </c>
      <c r="N22" s="390"/>
      <c r="O22" s="450">
        <f>SUM(O11:O20)</f>
        <v>-148569.85903737036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406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8" t="s">
        <v>407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420"/>
      <c r="Q33" s="420"/>
      <c r="R33" s="420"/>
      <c r="S33" s="420"/>
    </row>
    <row r="34" spans="1:19" ht="12.75">
      <c r="A34" s="507" t="s">
        <v>408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420"/>
      <c r="Q34" s="420"/>
      <c r="R34" s="420"/>
      <c r="S34" s="420"/>
    </row>
    <row r="35" spans="1:19" ht="12.75">
      <c r="A35" s="507" t="s">
        <v>429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420"/>
      <c r="Q35" s="420"/>
      <c r="R35" s="420"/>
      <c r="S35" s="420"/>
    </row>
    <row r="36" spans="1:19" ht="12.75">
      <c r="A36" s="507" t="s">
        <v>409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7" t="s">
        <v>458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42" bottom="0.3937007874015748" header="0.17" footer="0"/>
  <pageSetup fitToHeight="1" fitToWidth="1" horizontalDpi="600" verticalDpi="600" orientation="portrait" scale="71" r:id="rId1"/>
  <headerFooter alignWithMargins="0"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2011-09-30T17:12:04Z</cp:lastPrinted>
  <dcterms:created xsi:type="dcterms:W3CDTF">2001-11-07T16:15:53Z</dcterms:created>
  <dcterms:modified xsi:type="dcterms:W3CDTF">2011-09-30T17:12:11Z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