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4850" windowHeight="14295" tabRatio="901" firstSheet="2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  <externalReference r:id="rId12"/>
    <externalReference r:id="rId13"/>
    <externalReference r:id="rId14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True-up'!$A$1:$F$74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<sst xmlns="http://schemas.openxmlformats.org/spreadsheetml/2006/main" count="884" uniqueCount="505">
  <si>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</si>
  <si>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</si>
  <si>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</si>
  <si>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</si>
  <si>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</si>
  <si>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</si>
  <si>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</si>
  <si>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</si>
  <si>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</si>
  <si>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</si>
  <si>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</si>
  <si>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</si>
  <si>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</si>
  <si>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</si>
  <si>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</si>
  <si>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</si>
  <si>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</si>
  <si>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</si>
  <si>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</si>
  <si>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</si>
  <si>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</si>
  <si>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</si>
  <si>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</si>
  <si>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</si>
  <si>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</si>
  <si>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</si>
  <si>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</si>
  <si>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</si>
  <si>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</si>
  <si>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</si>
  <si>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</si>
  <si>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</si>
  <si>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</si>
  <si>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</si>
  <si>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</si>
  <si>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</si>
  <si>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</si>
  <si>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</si>
  <si>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</si>
  <si>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</si>
  <si>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</si>
  <si>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</si>
  <si>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</si>
  <si>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</si>
  <si>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</si>
  <si>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</si>
  <si>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</si>
  <si>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</si>
  <si>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</si>
  <si>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</si>
  <si>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</si>
  <si>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</si>
  <si>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</si>
  <si>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</si>
  <si>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</si>
  <si>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</si>
  <si>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</si>
  <si>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</si>
  <si>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</si>
  <si>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</si>
  <si>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</si>
  <si>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</si>
  <si>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</si>
  <si>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</si>
  <si>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</si>
  <si>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</si>
  <si>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</si>
  <si>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</si>
  <si>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</si>
  <si>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</si>
  <si>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</si>
  <si>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</si>
  <si>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</si>
  <si>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</si>
  <si>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</si>
  <si>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</si>
  <si>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</si>
  <si>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</si>
  <si>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</si>
  <si>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</si>
  <si>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</si>
  <si>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</si>
  <si>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</si>
  <si>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</si>
  <si>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</si>
  <si>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</si>
  <si>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</si>
  <si>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</si>
  <si>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</si>
  <si>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</si>
  <si>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</si>
  <si>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</si>
  <si>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</si>
  <si>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</si>
  <si>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</si>
  <si>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</si>
  <si>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</si>
  <si>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</si>
  <si>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</si>
  <si>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</si>
  <si>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</si>
  <si>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</si>
  <si>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</si>
  <si>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</si>
  <si>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</si>
  <si>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</si>
  <si>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</si>
  <si>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</si>
  <si>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</si>
  <si>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</si>
  <si>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</si>
  <si>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</si>
  <si>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</si>
  <si>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</si>
  <si>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</si>
  <si>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</si>
  <si>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</si>
  <si>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</si>
  <si>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</si>
  <si>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</si>
  <si>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</si>
  <si>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</si>
  <si>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</si>
  <si>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</si>
  <si>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</si>
  <si>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</si>
  <si>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</si>
  <si>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</si>
  <si>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</si>
  <si>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</si>
  <si>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</si>
  <si>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</si>
  <si>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</si>
  <si>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</si>
  <si>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</si>
  <si>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</si>
  <si>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</si>
  <si>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</si>
  <si>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</si>
  <si>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</si>
  <si>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</si>
  <si>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</si>
  <si>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</si>
  <si>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</si>
  <si>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</si>
  <si>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</si>
  <si>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</si>
  <si>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</si>
  <si>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</si>
  <si>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</si>
  <si>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</si>
  <si>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</si>
  <si>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</si>
  <si>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</si>
  <si>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</si>
  <si>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</si>
  <si>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</si>
  <si>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</si>
  <si>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</si>
  <si>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</si>
  <si>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</si>
  <si>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</si>
  <si>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</si>
  <si>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</si>
  <si>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</si>
  <si>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</si>
  <si>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</si>
  <si>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</si>
  <si>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</si>
  <si>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</si>
  <si>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</si>
  <si>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</si>
  <si>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</si>
  <si>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</si>
  <si>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</si>
  <si>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</si>
  <si>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</si>
  <si>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</si>
  <si>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</si>
  <si>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</si>
  <si>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</si>
  <si>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</si>
  <si>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</si>
  <si>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</si>
  <si>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</si>
  <si>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</si>
  <si>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</si>
  <si>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</si>
  <si>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</si>
  <si>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</si>
  <si>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</si>
  <si>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</si>
  <si>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</si>
  <si>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</si>
  <si>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</si>
  <si>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</si>
  <si>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</si>
  <si>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</si>
  <si>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</si>
  <si>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</si>
  <si>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</si>
  <si>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</si>
  <si>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</si>
  <si>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</si>
  <si>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</si>
  <si>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</si>
  <si>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</si>
  <si>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</si>
  <si>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</si>
  <si>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</si>
  <si>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</si>
  <si>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</si>
  <si>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</si>
  <si>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</si>
  <si>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</si>
  <si>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</si>
  <si>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</si>
  <si>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</si>
  <si>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</si>
  <si>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</si>
  <si>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</si>
  <si>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</si>
  <si>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</si>
  <si>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</si>
  <si>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</si>
  <si>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</si>
  <si>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</si>
  <si>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</si>
  <si>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</si>
  <si>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</si>
  <si>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</si>
  <si>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</si>
  <si>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</si>
  <si>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</si>
  <si>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</si>
  <si>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</si>
  <si>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</si>
  <si>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</si>
  <si>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</si>
  <si>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</si>
  <si>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</si>
  <si>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</si>
  <si>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</si>
  <si>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</si>
  <si>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</si>
  <si>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</si>
  <si>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</si>
  <si>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</si>
  <si>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</si>
  <si>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</si>
  <si>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</si>
  <si>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</si>
  <si>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</si>
  <si>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</si>
  <si>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</si>
  <si>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</si>
  <si>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</si>
  <si>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</si>
  <si>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</si>
  <si>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</si>
  <si>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</si>
  <si>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</si>
  <si>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</si>
  <si>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</si>
  <si>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</si>
  <si>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</si>
  <si>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</si>
  <si>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</si>
  <si>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</si>
  <si>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</si>
  <si>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</si>
  <si>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</si>
  <si>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</si>
  <si>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</si>
  <si>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</si>
  <si>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</si>
  <si>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</si>
  <si>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</si>
  <si>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</si>
  <si>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</si>
  <si>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</si>
  <si>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</si>
  <si>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</si>
  <si>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</si>
  <si>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</si>
  <si>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</si>
  <si>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</si>
  <si>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</si>
  <si>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</si>
  <si>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</si>
  <si>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</si>
  <si>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</si>
  <si>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</si>
  <si>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</si>
  <si>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</si>
  <si>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</si>
  <si>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</si>
  <si>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</si>
  <si>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</si>
  <si>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</si>
  <si>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</si>
  <si>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</si>
  <si>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</si>
  <si>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</si>
  <si>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</si>
  <si>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</si>
  <si>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</si>
  <si>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</si>
  <si>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</si>
  <si>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</si>
  <si>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</si>
  <si>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</si>
  <si>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</si>
  <si>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</si>
  <si>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</si>
  <si>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</si>
  <si>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</si>
  <si>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</si>
  <si>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</si>
  <si>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</si>
  <si>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</si>
  <si>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</si>
  <si>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</si>
  <si>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</si>
  <si>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</si>
  <si>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</si>
  <si>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</si>
  <si>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</si>
  <si>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</si>
  <si>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</si>
  <si>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</si>
  <si>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</si>
  <si>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</si>
  <si>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</si>
  <si>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</si>
  <si>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</si>
  <si>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</si>
  <si>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</si>
  <si>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</si>
  <si>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</si>
  <si>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</si>
  <si>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</si>
  <si>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</si>
  <si>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</si>
  <si>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</si>
  <si>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</si>
  <si>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</si>
  <si>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</si>
  <si>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</si>
  <si>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</si>
  <si>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</si>
  <si>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</si>
  <si>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</si>
  <si>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</si>
  <si>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</si>
  <si>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</si>
  <si>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</si>
  <si>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</si>
  <si>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</si>
  <si>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</si>
  <si>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</si>
  <si>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</si>
  <si>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</si>
  <si>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</si>
  <si>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</si>
  <si>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</si>
  <si>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</si>
  <si>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</si>
  <si>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</si>
  <si>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</si>
  <si>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</si>
  <si>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</si>
  <si>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</si>
  <si>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</si>
  <si>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</si>
  <si>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</si>
  <si>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</si>
  <si>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</si>
  <si>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</si>
  <si>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</si>
  <si>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</si>
  <si>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</si>
  <si>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</si>
  <si>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</si>
  <si>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</si>
  <si>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</si>
  <si>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</si>
  <si>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</si>
  <si>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</si>
  <si>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</si>
  <si>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</si>
  <si>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</si>
  <si>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</si>
  <si>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</si>
  <si>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</si>
  <si>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</si>
  <si>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</si>
  <si>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</si>
  <si>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</si>
  <si>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</si>
  <si>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</si>
  <si>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</si>
  <si>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</si>
  <si>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</si>
  <si>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</si>
  <si>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</si>
  <si>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</si>
  <si>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</si>
  <si>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</si>
  <si>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</si>
  <si>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</si>
  <si>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</si>
  <si>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</si>
  <si>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</si>
  <si>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</si>
  <si>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</si>
  <si>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</si>
  <si>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</si>
  <si>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</si>
  <si>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</si>
  <si>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</si>
  <si>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</si>
  <si>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</si>
  <si>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</si>
  <si>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</si>
  <si>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</si>
  <si>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</si>
  <si>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</si>
  <si>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</si>
  <si>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</si>
  <si>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</si>
  <si>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</si>
  <si>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</si>
  <si>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</si>
  <si>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</si>
  <si>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</si>
  <si>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</si>
  <si>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</si>
  <si>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</si>
  <si>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</si>
  <si>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</si>
  <si>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</si>
  <si>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</si>
  <si>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</si>
  <si>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</si>
  <si>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</si>
  <si>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</si>
  <si>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</si>
  <si>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</si>
  <si>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</si>
  <si>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</si>
  <si>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</si>
  <si>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</si>
  <si>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</si>
  <si>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</si>
  <si>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</si>
  <si>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</si>
  <si>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</si>
  <si>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</si>
  <si>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</si>
  <si>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</si>
  <si>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</si>
  <si>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</si>
  <si>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</si>
  <si>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</si>
  <si>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</si>
  <si>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Divide federal income tax by the taxable income</t>
  </si>
  <si>
    <t>Divide Ontario income tax by the taxable income</t>
  </si>
  <si>
    <t>PILs billed to (collected from) customers             (8)</t>
  </si>
  <si>
    <t>Enter from tax return</t>
  </si>
  <si>
    <t>No entry on tax return</t>
  </si>
  <si>
    <t>Provision for bad debts</t>
  </si>
  <si>
    <t>Non-taxable load transfers</t>
  </si>
  <si>
    <t xml:space="preserve">RECAP </t>
  </si>
  <si>
    <t>MAX $50MM</t>
  </si>
  <si>
    <t>&gt;1,128,000</t>
  </si>
  <si>
    <t>Reporting period:  2005</t>
  </si>
  <si>
    <t>12-31-2005</t>
  </si>
  <si>
    <t xml:space="preserve">     Capitalized</t>
  </si>
  <si>
    <t>Rates Used in 2005 RAM PILs Applications for 2005</t>
  </si>
  <si>
    <t>MAX $7.5MM</t>
  </si>
  <si>
    <t>RAM 2005</t>
  </si>
  <si>
    <t>Expected Income Tax Rates for 2005 and Capital Tax Exemptions for 2005</t>
  </si>
  <si>
    <t>Input Information from Utility's Actual 2005 Tax Returns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</si>
  <si>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</si>
  <si>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</si>
  <si>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</si>
  <si>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</si>
  <si>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</si>
  <si>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 xml:space="preserve">     Recovery of Regulatory Assets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</si>
  <si>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2005 </t>
    </r>
    <r>
      <rPr>
        <sz val="10"/>
        <rFont val="Arial"/>
        <family val="0"/>
      </rPr>
      <t>Utility's tax return</t>
    </r>
  </si>
  <si>
    <t>Actual Interest Paid</t>
  </si>
  <si>
    <t>Y</t>
  </si>
  <si>
    <t>N</t>
  </si>
  <si>
    <t>TRUE-UP VARIANCE (from cell E132)</t>
  </si>
  <si>
    <t>Contributions in Aid of Construction</t>
  </si>
  <si>
    <t>Other - Severence</t>
  </si>
  <si>
    <t>Co-operative Education Tax Credit Claimed</t>
  </si>
  <si>
    <r>
      <t xml:space="preserve">Interest Adjustment for tax purposes   </t>
    </r>
    <r>
      <rPr>
        <b/>
        <sz val="10"/>
        <rFont val="Arial"/>
        <family val="2"/>
      </rPr>
      <t>(See Below - cell E206)</t>
    </r>
  </si>
  <si>
    <t>Interest Adjustment for Tax Purposes  (carry forward to Cell E112)</t>
  </si>
  <si>
    <t>Utility Name: Innisfil Hydro Distribution Systems Limited</t>
  </si>
  <si>
    <t>PILs TAXES  EB-2011-XXXX</t>
  </si>
  <si>
    <t>Writedown of transition costs</t>
  </si>
  <si>
    <t xml:space="preserve">  CDM 2005 incremental OM&amp;A expenses per 2005 RAM/PILs model</t>
  </si>
  <si>
    <t>PILs proxy from April 1, 2005 - input 9/12 of amount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</si>
</sst>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14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41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41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1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1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8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78" fontId="0" fillId="41" borderId="44" xfId="0" applyNumberFormat="1" applyFill="1" applyBorder="1" applyAlignment="1" applyProtection="1">
      <alignment horizontal="center" vertical="top"/>
      <protection locked="0"/>
    </xf>
    <xf numFmtId="178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4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1" borderId="0" xfId="0" applyNumberFormat="1" applyFill="1" applyAlignment="1" applyProtection="1">
      <alignment/>
      <protection/>
    </xf>
    <xf numFmtId="3" fontId="0" fillId="41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1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1" borderId="0" xfId="0" applyNumberFormat="1" applyFill="1" applyAlignment="1">
      <alignment vertical="top"/>
    </xf>
    <xf numFmtId="10" fontId="0" fillId="41" borderId="0" xfId="0" applyNumberFormat="1" applyFill="1" applyAlignment="1">
      <alignment vertical="top"/>
    </xf>
    <xf numFmtId="9" fontId="0" fillId="41" borderId="0" xfId="0" applyNumberFormat="1" applyFill="1" applyAlignment="1">
      <alignment horizontal="center" vertical="top"/>
    </xf>
    <xf numFmtId="16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1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1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19" fillId="0" borderId="0" xfId="0" applyNumberFormat="1" applyFont="1" applyBorder="1" applyAlignment="1">
      <alignment horizontal="left" vertical="top"/>
    </xf>
    <xf numFmtId="3" fontId="19" fillId="42" borderId="17" xfId="0" applyNumberFormat="1" applyFon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36" borderId="59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64" fontId="0" fillId="0" borderId="0" xfId="45" applyNumberFormat="1" applyFont="1" applyBorder="1" applyAlignment="1" applyProtection="1">
      <alignment vertical="top"/>
      <protection locked="0"/>
    </xf>
    <xf numFmtId="10" fontId="0" fillId="0" borderId="0" xfId="63" applyFont="1" applyAlignment="1" applyProtection="1">
      <alignment vertical="top"/>
      <protection locked="0"/>
    </xf>
    <xf numFmtId="0" fontId="0" fillId="41" borderId="17" xfId="0" applyFont="1" applyFill="1" applyBorder="1" applyAlignment="1">
      <alignment horizontal="center" vertical="top"/>
    </xf>
    <xf numFmtId="0" fontId="0" fillId="41" borderId="0" xfId="0" applyFont="1" applyFill="1" applyAlignment="1">
      <alignment horizontal="center" vertical="top"/>
    </xf>
    <xf numFmtId="3" fontId="0" fillId="41" borderId="0" xfId="42" applyNumberFormat="1" applyFont="1" applyFill="1" applyAlignment="1" applyProtection="1">
      <alignment vertical="top"/>
      <protection locked="0"/>
    </xf>
    <xf numFmtId="0" fontId="0" fillId="0" borderId="0" xfId="0" applyFont="1" applyAlignment="1">
      <alignment vertical="top" wrapText="1"/>
    </xf>
    <xf numFmtId="0" fontId="0" fillId="0" borderId="14" xfId="0" applyFont="1" applyBorder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0" fontId="8" fillId="0" borderId="24" xfId="0" applyFont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HDSL%20PILs%20Rate%20Slivers%20(Revenues)%20compared%20to%20GL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01-2012%20PILs%20Continuity%20and%20Carrying%20Chg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auriec\My%20Documents\Financial%20Data\PILs%20trueup\Backup\2001-2012%20PILs%20Continuity%20and%20Carrying%20Chg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LS 2002-2003"/>
      <sheetName val="PILS 2004"/>
      <sheetName val="PILS 2005"/>
      <sheetName val="PILS 2006"/>
      <sheetName val="Volumes"/>
    </sheetNames>
    <sheetDataSet>
      <sheetData sheetId="0">
        <row r="17">
          <cell r="F17">
            <v>862161.4198725559</v>
          </cell>
          <cell r="H17">
            <v>1208971.0692</v>
          </cell>
        </row>
      </sheetData>
      <sheetData sheetId="1">
        <row r="17">
          <cell r="I17">
            <v>992129.5232125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Ls Continuity Schedule"/>
      <sheetName val="Revenue by yr by mth"/>
      <sheetName val="Proxy Trueup Interest"/>
    </sheetNames>
    <sheetDataSet>
      <sheetData sheetId="0">
        <row r="10">
          <cell r="H10">
            <v>1722.9736894977168</v>
          </cell>
        </row>
        <row r="27">
          <cell r="H27">
            <v>29053.415219139406</v>
          </cell>
        </row>
        <row r="44">
          <cell r="H44">
            <v>13152.968536962317</v>
          </cell>
        </row>
        <row r="61">
          <cell r="H61">
            <v>-2973.798978705383</v>
          </cell>
        </row>
        <row r="78">
          <cell r="H78">
            <v>-21441.48361177532</v>
          </cell>
        </row>
        <row r="83">
          <cell r="H83">
            <v>-2217.0624474133383</v>
          </cell>
        </row>
        <row r="84">
          <cell r="H84">
            <v>-2115.2800916395036</v>
          </cell>
        </row>
        <row r="85">
          <cell r="H85">
            <v>-2454.25633747521</v>
          </cell>
        </row>
        <row r="86">
          <cell r="H86">
            <v>-1412.677858595943</v>
          </cell>
        </row>
        <row r="87">
          <cell r="H87">
            <v>-1476.836092073525</v>
          </cell>
        </row>
        <row r="88">
          <cell r="H88">
            <v>-1656.6829239745732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ILs Continuity Schedule"/>
      <sheetName val="Revenue by yr by mth"/>
      <sheetName val="Proxy Trueup Interest"/>
    </sheetNames>
    <sheetDataSet>
      <sheetData sheetId="0">
        <row r="78">
          <cell r="C78">
            <v>-948945.0979177777</v>
          </cell>
        </row>
        <row r="95">
          <cell r="C95">
            <v>-417783.1714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17">
      <selection activeCell="A1" sqref="A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5" t="s">
        <v>501</v>
      </c>
      <c r="C1" s="8"/>
      <c r="E1" s="2" t="s">
        <v>459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500</v>
      </c>
      <c r="C3" s="8"/>
      <c r="D3" s="454" t="s">
        <v>445</v>
      </c>
      <c r="E3" s="8"/>
      <c r="F3" s="8"/>
      <c r="G3" s="8"/>
      <c r="H3" s="8"/>
    </row>
    <row r="4" spans="1:8" ht="12.75">
      <c r="A4" s="2" t="s">
        <v>476</v>
      </c>
      <c r="C4" s="8"/>
      <c r="D4" s="453" t="s">
        <v>440</v>
      </c>
      <c r="E4" s="428"/>
      <c r="H4" s="8"/>
    </row>
    <row r="5" spans="1:8" ht="12.75">
      <c r="A5" s="52"/>
      <c r="C5" s="8"/>
      <c r="D5" s="452" t="s">
        <v>441</v>
      </c>
      <c r="E5" s="398"/>
      <c r="H5" s="8"/>
    </row>
    <row r="6" spans="1:8" ht="12.75">
      <c r="A6" s="2" t="s">
        <v>126</v>
      </c>
      <c r="B6" s="388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93" t="s">
        <v>492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93" t="s">
        <v>493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493" t="s">
        <v>493</v>
      </c>
    </row>
    <row r="18" spans="1:4" ht="15" customHeight="1">
      <c r="A18" s="389" t="s">
        <v>315</v>
      </c>
      <c r="C18" s="8"/>
      <c r="D18" s="8"/>
    </row>
    <row r="19" spans="1:4" ht="15" customHeight="1">
      <c r="A19" s="500" t="s">
        <v>316</v>
      </c>
      <c r="B19" s="8" t="s">
        <v>313</v>
      </c>
      <c r="C19" s="8" t="s">
        <v>64</v>
      </c>
      <c r="D19" s="494" t="s">
        <v>493</v>
      </c>
    </row>
    <row r="20" spans="1:4" ht="13.5" thickBot="1">
      <c r="A20" s="501"/>
      <c r="B20" s="8" t="s">
        <v>314</v>
      </c>
      <c r="C20" s="8" t="s">
        <v>64</v>
      </c>
      <c r="D20" s="493" t="s">
        <v>493</v>
      </c>
    </row>
    <row r="21" spans="1:4" ht="12.75">
      <c r="A21" s="500" t="s">
        <v>312</v>
      </c>
      <c r="B21" s="8" t="s">
        <v>313</v>
      </c>
      <c r="C21" s="8"/>
      <c r="D21" s="423">
        <v>1</v>
      </c>
    </row>
    <row r="22" spans="1:4" ht="12.75">
      <c r="A22" s="500"/>
      <c r="B22" s="8" t="s">
        <v>314</v>
      </c>
      <c r="C22" s="8"/>
      <c r="D22" s="423">
        <v>1</v>
      </c>
    </row>
    <row r="23" spans="1:4" ht="7.5" customHeight="1">
      <c r="A23" s="45"/>
      <c r="C23" s="8"/>
      <c r="D23" s="388"/>
    </row>
    <row r="24" spans="1:4" ht="12.75">
      <c r="A24" s="45" t="s">
        <v>212</v>
      </c>
      <c r="C24" s="8" t="s">
        <v>213</v>
      </c>
      <c r="D24" s="424" t="s">
        <v>477</v>
      </c>
    </row>
    <row r="25" ht="6.75" customHeight="1" thickBot="1">
      <c r="A25" s="12"/>
    </row>
    <row r="26" spans="1:5" ht="12.75">
      <c r="A26" s="255" t="s">
        <v>67</v>
      </c>
      <c r="C26" s="8"/>
      <c r="E26" s="443" t="s">
        <v>297</v>
      </c>
    </row>
    <row r="27" spans="1:5" ht="12.75">
      <c r="A27" s="256" t="s">
        <v>68</v>
      </c>
      <c r="C27" s="8"/>
      <c r="E27" s="444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1">
        <v>20162592</v>
      </c>
      <c r="H31" s="5"/>
    </row>
    <row r="32" ht="6" customHeight="1"/>
    <row r="33" spans="1:8" ht="12.75">
      <c r="A33" t="s">
        <v>71</v>
      </c>
      <c r="D33" s="422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2">
        <v>0.0988</v>
      </c>
      <c r="H37" s="41"/>
    </row>
    <row r="38" ht="4.5" customHeight="1">
      <c r="H38" s="34"/>
    </row>
    <row r="39" spans="1:8" ht="12.75">
      <c r="A39" t="s">
        <v>74</v>
      </c>
      <c r="D39" s="422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1726926.0048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5">
        <v>1152733</v>
      </c>
      <c r="E43" s="387">
        <f>D43</f>
        <v>1152733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574193.0048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6">
        <v>191398</v>
      </c>
      <c r="E47" s="387">
        <f aca="true" t="shared" si="0" ref="E47:E53">D47</f>
        <v>191398</v>
      </c>
      <c r="H47" s="40"/>
      <c r="J47" s="5"/>
      <c r="K47" s="5"/>
    </row>
    <row r="48" spans="1:11" ht="12.75">
      <c r="A48" t="s">
        <v>290</v>
      </c>
      <c r="D48" s="426">
        <v>191398</v>
      </c>
      <c r="E48" s="387">
        <f>D48</f>
        <v>191398</v>
      </c>
      <c r="F48" s="22"/>
      <c r="H48" s="40"/>
      <c r="J48" s="5"/>
      <c r="K48" s="5"/>
    </row>
    <row r="49" spans="1:11" ht="12.75">
      <c r="A49" t="s">
        <v>291</v>
      </c>
      <c r="D49" s="427"/>
      <c r="E49" s="387">
        <f>D49</f>
        <v>0</v>
      </c>
      <c r="F49" s="22"/>
      <c r="H49" s="40"/>
      <c r="J49" s="5"/>
      <c r="K49" s="5"/>
    </row>
    <row r="50" spans="1:11" ht="12.75">
      <c r="A50" t="s">
        <v>292</v>
      </c>
      <c r="D50" s="428"/>
      <c r="E50" s="387">
        <f t="shared" si="0"/>
        <v>0</v>
      </c>
      <c r="H50" s="40"/>
      <c r="J50" s="5"/>
      <c r="K50" s="5"/>
    </row>
    <row r="51" spans="1:11" ht="12.75">
      <c r="A51" t="s">
        <v>438</v>
      </c>
      <c r="D51" s="495">
        <v>191398</v>
      </c>
      <c r="E51" s="387">
        <f t="shared" si="0"/>
        <v>191398</v>
      </c>
      <c r="G51" s="3"/>
      <c r="H51" s="40"/>
      <c r="J51" s="5"/>
      <c r="K51" s="5"/>
    </row>
    <row r="52" spans="1:11" ht="12.75">
      <c r="A52" t="s">
        <v>460</v>
      </c>
      <c r="D52" s="495">
        <v>74117</v>
      </c>
      <c r="E52" s="387">
        <f t="shared" si="0"/>
        <v>74117</v>
      </c>
      <c r="G52" s="491"/>
      <c r="H52" s="40"/>
      <c r="J52" s="5"/>
      <c r="K52" s="5"/>
    </row>
    <row r="53" spans="4:11" ht="12.75">
      <c r="D53" s="428"/>
      <c r="E53" s="387">
        <f t="shared" si="0"/>
        <v>0</v>
      </c>
      <c r="G53" s="3"/>
      <c r="H53" s="40"/>
      <c r="J53" s="5"/>
      <c r="K53" s="5"/>
    </row>
    <row r="54" spans="1:11" ht="12.75">
      <c r="A54" s="2" t="s">
        <v>293</v>
      </c>
      <c r="E54" s="254">
        <f>SUM(E43:E53)</f>
        <v>1801044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10081296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996032.0448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10081296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730893.96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568882.0636310566</v>
      </c>
      <c r="F64" s="5"/>
      <c r="H64" s="32"/>
      <c r="J64" s="5"/>
      <c r="K64" s="5"/>
    </row>
    <row r="65" spans="1:11" ht="12.75">
      <c r="A65" s="33" t="s">
        <v>377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649888.2224168126</v>
      </c>
      <c r="F66" s="5"/>
      <c r="H66" s="32"/>
      <c r="J66" s="5"/>
      <c r="K66" s="5"/>
    </row>
    <row r="67" spans="1:11" ht="12.75">
      <c r="A67" s="33" t="s">
        <v>378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649888.2224168126</v>
      </c>
      <c r="F68" s="5"/>
      <c r="H68" s="32"/>
      <c r="J68" s="5"/>
    </row>
    <row r="69" spans="1:10" ht="12.75">
      <c r="A69" s="33" t="s">
        <v>379</v>
      </c>
      <c r="B69" s="5"/>
      <c r="C69" s="5"/>
      <c r="D69" s="5"/>
      <c r="F69" s="5"/>
      <c r="H69" s="32"/>
      <c r="J69" s="5"/>
    </row>
    <row r="70" spans="1:10" ht="12.75">
      <c r="A70" s="45" t="s">
        <v>446</v>
      </c>
      <c r="B70" s="5"/>
      <c r="C70" s="5"/>
      <c r="D70" s="253">
        <f>D62</f>
        <v>730893.96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3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PageLayoutView="0" workbookViewId="0" topLeftCell="A61">
      <selection activeCell="C95" sqref="C95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 EB-2011-XXXX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462</v>
      </c>
      <c r="H1" s="210"/>
    </row>
    <row r="2" spans="1:8" ht="12.75">
      <c r="A2" s="211" t="s">
        <v>461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463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/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Innisfil Hydro Distribution Systems Limited</v>
      </c>
      <c r="B6" s="115"/>
      <c r="D6" s="137"/>
      <c r="E6" s="115"/>
      <c r="G6" s="115"/>
      <c r="H6" s="464"/>
    </row>
    <row r="7" spans="1:8" ht="12.75">
      <c r="A7" s="211" t="str">
        <f>REGINFO!A4</f>
        <v>Reporting period:  2005</v>
      </c>
      <c r="B7" s="115"/>
      <c r="D7" s="137"/>
      <c r="E7" s="115"/>
      <c r="G7" s="115"/>
      <c r="H7" s="464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9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29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58">
        <f>REGINFO!E54</f>
        <v>1801044</v>
      </c>
      <c r="D16" s="17"/>
      <c r="E16" s="266">
        <f>G16-C16</f>
        <v>-33833</v>
      </c>
      <c r="F16" s="3"/>
      <c r="G16" s="266">
        <f>TAXREC!E50</f>
        <v>1767211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0">
        <v>1222162</v>
      </c>
      <c r="D20" s="18"/>
      <c r="E20" s="266">
        <f>G20-C20</f>
        <v>263813</v>
      </c>
      <c r="F20" s="6"/>
      <c r="G20" s="266">
        <f>TAXREC!E61</f>
        <v>1485975</v>
      </c>
      <c r="H20" s="151"/>
    </row>
    <row r="21" spans="1:8" ht="12.75">
      <c r="A21" s="158" t="s">
        <v>56</v>
      </c>
      <c r="B21" s="127">
        <v>3</v>
      </c>
      <c r="C21" s="260"/>
      <c r="D21" s="18"/>
      <c r="E21" s="266">
        <f>G21-C21</f>
        <v>0</v>
      </c>
      <c r="F21" s="6"/>
      <c r="G21" s="266">
        <f>TAXREC!E62</f>
        <v>0</v>
      </c>
      <c r="H21" s="151"/>
    </row>
    <row r="22" spans="1:8" ht="12.75">
      <c r="A22" s="158" t="s">
        <v>264</v>
      </c>
      <c r="B22" s="127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1"/>
    </row>
    <row r="23" spans="1:8" ht="12.75">
      <c r="A23" s="158" t="s">
        <v>263</v>
      </c>
      <c r="B23" s="127">
        <v>4</v>
      </c>
      <c r="C23" s="260"/>
      <c r="D23" s="18"/>
      <c r="E23" s="266">
        <f>G23-C23</f>
        <v>0</v>
      </c>
      <c r="F23" s="6"/>
      <c r="G23" s="266">
        <f>TAXREC!E64</f>
        <v>0</v>
      </c>
      <c r="H23" s="151"/>
    </row>
    <row r="24" spans="1:8" ht="12.75">
      <c r="A24" s="158" t="s">
        <v>265</v>
      </c>
      <c r="B24" s="127">
        <v>5</v>
      </c>
      <c r="C24" s="260"/>
      <c r="D24" s="18"/>
      <c r="E24" s="266">
        <f>G24-C24</f>
        <v>0</v>
      </c>
      <c r="F24" s="6"/>
      <c r="G24" s="266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51"/>
    </row>
    <row r="27" spans="1:8" ht="12.75">
      <c r="A27" s="158" t="s">
        <v>159</v>
      </c>
      <c r="B27" s="127">
        <v>6</v>
      </c>
      <c r="C27" s="260"/>
      <c r="D27" s="18"/>
      <c r="E27" s="266">
        <f>G27-C27</f>
        <v>2306</v>
      </c>
      <c r="F27" s="6"/>
      <c r="G27" s="266">
        <f>TAXREC!E93</f>
        <v>2306</v>
      </c>
      <c r="H27" s="151"/>
    </row>
    <row r="28" spans="1:8" ht="12.75">
      <c r="A28" s="158" t="s">
        <v>158</v>
      </c>
      <c r="B28" s="127">
        <v>6</v>
      </c>
      <c r="C28" s="260"/>
      <c r="D28" s="18"/>
      <c r="E28" s="266">
        <f>G28-C28</f>
        <v>248035</v>
      </c>
      <c r="F28" s="6"/>
      <c r="G28" s="266">
        <f>TAXREC!E67</f>
        <v>248035</v>
      </c>
      <c r="H28" s="151"/>
    </row>
    <row r="29" spans="1:8" ht="12.75">
      <c r="A29" s="158" t="s">
        <v>157</v>
      </c>
      <c r="B29" s="127">
        <v>6</v>
      </c>
      <c r="C29" s="260"/>
      <c r="D29" s="18"/>
      <c r="E29" s="266">
        <f>G29-C29</f>
        <v>7705</v>
      </c>
      <c r="F29" s="6"/>
      <c r="G29" s="266">
        <f>TAXREC!E68</f>
        <v>7705</v>
      </c>
      <c r="H29" s="151"/>
    </row>
    <row r="30" spans="1:8" ht="15.75">
      <c r="A30" s="481" t="s">
        <v>394</v>
      </c>
      <c r="B30" s="127"/>
      <c r="C30" s="258"/>
      <c r="D30" s="18"/>
      <c r="E30" s="266">
        <f>G30-C30</f>
        <v>125935</v>
      </c>
      <c r="F30" s="6"/>
      <c r="G30" s="266">
        <f>TAXREC!E66</f>
        <v>125935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0">
        <v>777095</v>
      </c>
      <c r="D33" s="132"/>
      <c r="E33" s="266">
        <f aca="true" t="shared" si="0" ref="E33:E42">G33-C33</f>
        <v>287399</v>
      </c>
      <c r="F33" s="6"/>
      <c r="G33" s="266">
        <f>TAXREC!E97+TAXREC!E98</f>
        <v>1064494</v>
      </c>
      <c r="H33" s="151"/>
    </row>
    <row r="34" spans="1:8" ht="12.75">
      <c r="A34" s="158" t="s">
        <v>57</v>
      </c>
      <c r="B34" s="127">
        <v>8</v>
      </c>
      <c r="C34" s="260"/>
      <c r="D34" s="132"/>
      <c r="E34" s="266">
        <f t="shared" si="0"/>
        <v>0</v>
      </c>
      <c r="F34" s="6"/>
      <c r="G34" s="266">
        <f>TAXREC!E99</f>
        <v>0</v>
      </c>
      <c r="H34" s="151"/>
    </row>
    <row r="35" spans="1:8" ht="12.75">
      <c r="A35" s="158" t="s">
        <v>45</v>
      </c>
      <c r="B35" s="127">
        <v>9</v>
      </c>
      <c r="C35" s="260"/>
      <c r="D35" s="132"/>
      <c r="E35" s="266">
        <f t="shared" si="0"/>
        <v>0</v>
      </c>
      <c r="F35" s="6"/>
      <c r="G35" s="266">
        <f>TAXREC!E100</f>
        <v>0</v>
      </c>
      <c r="H35" s="151"/>
    </row>
    <row r="36" spans="1:8" ht="12.75">
      <c r="A36" s="158" t="s">
        <v>266</v>
      </c>
      <c r="B36" s="127">
        <v>10</v>
      </c>
      <c r="C36" s="260"/>
      <c r="D36" s="132"/>
      <c r="E36" s="266">
        <f t="shared" si="0"/>
        <v>0</v>
      </c>
      <c r="F36" s="6"/>
      <c r="G36" s="266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59">
        <f>REGINFO!D70</f>
        <v>730893.96</v>
      </c>
      <c r="D37" s="132"/>
      <c r="E37" s="266">
        <f t="shared" si="0"/>
        <v>164716.04000000004</v>
      </c>
      <c r="F37" s="6"/>
      <c r="G37" s="266">
        <f>TAXREC!E51</f>
        <v>895610</v>
      </c>
      <c r="H37" s="151"/>
    </row>
    <row r="38" spans="1:8" ht="12.75">
      <c r="A38" s="155" t="s">
        <v>262</v>
      </c>
      <c r="B38" s="125">
        <v>4</v>
      </c>
      <c r="C38" s="260"/>
      <c r="D38" s="132"/>
      <c r="E38" s="266">
        <f t="shared" si="0"/>
        <v>0</v>
      </c>
      <c r="F38" s="6"/>
      <c r="G38" s="266">
        <f>TAXREC!E104</f>
        <v>0</v>
      </c>
      <c r="H38" s="151"/>
    </row>
    <row r="39" spans="1:8" ht="12.75">
      <c r="A39" s="155" t="s">
        <v>261</v>
      </c>
      <c r="B39" s="125">
        <v>4</v>
      </c>
      <c r="C39" s="260"/>
      <c r="D39" s="132"/>
      <c r="E39" s="266">
        <f t="shared" si="0"/>
        <v>65000</v>
      </c>
      <c r="F39" s="6"/>
      <c r="G39" s="266">
        <f>TAXREC!E105</f>
        <v>65000</v>
      </c>
      <c r="H39" s="151"/>
    </row>
    <row r="40" spans="1:8" ht="12.75">
      <c r="A40" s="155" t="s">
        <v>12</v>
      </c>
      <c r="B40" s="125">
        <v>3</v>
      </c>
      <c r="C40" s="260"/>
      <c r="D40" s="132"/>
      <c r="E40" s="266">
        <f t="shared" si="0"/>
        <v>0</v>
      </c>
      <c r="F40" s="6"/>
      <c r="G40" s="266">
        <f>TAXREC!E106</f>
        <v>0</v>
      </c>
      <c r="H40" s="151"/>
    </row>
    <row r="41" spans="1:8" ht="12.75">
      <c r="A41" s="155" t="s">
        <v>13</v>
      </c>
      <c r="B41" s="125">
        <v>3</v>
      </c>
      <c r="C41" s="260"/>
      <c r="D41" s="132"/>
      <c r="E41" s="266">
        <f t="shared" si="0"/>
        <v>0</v>
      </c>
      <c r="F41" s="6"/>
      <c r="G41" s="266">
        <f>TAXREC!E107</f>
        <v>0</v>
      </c>
      <c r="H41" s="151"/>
    </row>
    <row r="42" spans="1:8" ht="12.75">
      <c r="A42" s="155" t="s">
        <v>184</v>
      </c>
      <c r="B42" s="125">
        <v>11</v>
      </c>
      <c r="C42" s="260"/>
      <c r="D42" s="132"/>
      <c r="E42" s="266">
        <f t="shared" si="0"/>
        <v>0</v>
      </c>
      <c r="F42" s="6"/>
      <c r="G42" s="266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499" t="s">
        <v>503</v>
      </c>
      <c r="B44" s="127">
        <v>12</v>
      </c>
      <c r="C44" s="260">
        <v>39000</v>
      </c>
      <c r="D44" s="132"/>
      <c r="E44" s="266">
        <f>G44-C44</f>
        <v>-39000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0"/>
      <c r="D45" s="132"/>
      <c r="E45" s="266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0"/>
      <c r="D46" s="132"/>
      <c r="E46" s="266">
        <f>G46-C46</f>
        <v>248035</v>
      </c>
      <c r="F46" s="6"/>
      <c r="G46" s="251">
        <f>TAXREC!E110</f>
        <v>248035</v>
      </c>
      <c r="H46" s="151"/>
    </row>
    <row r="47" spans="1:8" ht="12.75">
      <c r="A47" s="158" t="s">
        <v>154</v>
      </c>
      <c r="B47" s="127">
        <v>12</v>
      </c>
      <c r="C47" s="260"/>
      <c r="D47" s="132"/>
      <c r="E47" s="266">
        <f>G47-C47</f>
        <v>0</v>
      </c>
      <c r="F47" s="6"/>
      <c r="G47" s="251">
        <f>TAXREC!E111</f>
        <v>0</v>
      </c>
      <c r="H47" s="151"/>
    </row>
    <row r="48" spans="1:8" ht="15.75">
      <c r="A48" s="481" t="s">
        <v>394</v>
      </c>
      <c r="B48" s="127"/>
      <c r="C48" s="258"/>
      <c r="D48" s="132"/>
      <c r="E48" s="266">
        <f>G48-C48</f>
        <v>849630.93</v>
      </c>
      <c r="F48" s="6"/>
      <c r="G48" s="251">
        <f>TAXREC!E108</f>
        <v>849630.93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2">
        <f>C16+SUM(C20:C30)-SUM(C33:C48)</f>
        <v>1476217.04</v>
      </c>
      <c r="D50" s="102"/>
      <c r="E50" s="262">
        <f>E16+SUM(E20:E30)-SUM(E33:E48)</f>
        <v>-961819.9700000002</v>
      </c>
      <c r="F50" s="431"/>
      <c r="G50" s="262">
        <f>G16+SUM(G20:G30)-SUM(G33:G48)</f>
        <v>514397.06999999983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1">
        <f>IF($C$50&gt;'Tax Rates'!$E$11,'Tax Rates'!$F$16,IF($C$50&gt;'Tax Rates'!$C$11,'Tax Rates'!$E$16,'Tax Rates'!$C$16))</f>
        <v>0.3612</v>
      </c>
      <c r="D53" s="102"/>
      <c r="E53" s="267">
        <f>+G53-C53</f>
        <v>0</v>
      </c>
      <c r="F53" s="114"/>
      <c r="G53" s="472">
        <f>+'Tax Rates'!F52</f>
        <v>0.3612</v>
      </c>
      <c r="H53" s="151"/>
      <c r="I53" s="469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3">
        <f>IF(C50&gt;0,C50*C53,0)</f>
        <v>533209.5948480001</v>
      </c>
      <c r="D55" s="102"/>
      <c r="E55" s="266">
        <f>G55-C55</f>
        <v>-375494.5948480001</v>
      </c>
      <c r="F55" s="431" t="s">
        <v>367</v>
      </c>
      <c r="G55" s="263">
        <f>TAXREC!E144</f>
        <v>157715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4"/>
      <c r="D58" s="132"/>
      <c r="E58" s="266">
        <f>+G58-C58</f>
        <v>0</v>
      </c>
      <c r="F58" s="431" t="s">
        <v>367</v>
      </c>
      <c r="G58" s="269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5">
        <f>+C55-C58</f>
        <v>533209.5948480001</v>
      </c>
      <c r="D60" s="133"/>
      <c r="E60" s="268">
        <f>+E55-E58</f>
        <v>-375494.5948480001</v>
      </c>
      <c r="F60" s="431" t="s">
        <v>367</v>
      </c>
      <c r="G60" s="268">
        <f>+G55-G58</f>
        <v>157715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3">
        <f>Ratebase</f>
        <v>20162592</v>
      </c>
      <c r="D66" s="102"/>
      <c r="E66" s="266">
        <f>G66-C66</f>
        <v>3086559</v>
      </c>
      <c r="F66" s="6"/>
      <c r="G66" s="474">
        <v>23249151</v>
      </c>
      <c r="H66" s="151"/>
      <c r="I66" s="475" t="s">
        <v>469</v>
      </c>
    </row>
    <row r="67" spans="1:10" ht="12.75">
      <c r="A67" s="152" t="s">
        <v>360</v>
      </c>
      <c r="B67" s="125">
        <v>16</v>
      </c>
      <c r="C67" s="259">
        <f>IF(C66&gt;0,'Tax Rates'!C21,0)</f>
        <v>7425000</v>
      </c>
      <c r="D67" s="102"/>
      <c r="E67" s="266">
        <f>G67-C67</f>
        <v>-32159</v>
      </c>
      <c r="F67" s="6"/>
      <c r="G67" s="266">
        <f>'Tax Rates'!C57</f>
        <v>7392841</v>
      </c>
      <c r="H67" s="151"/>
      <c r="I67" s="475" t="s">
        <v>469</v>
      </c>
      <c r="J67" s="476" t="s">
        <v>470</v>
      </c>
    </row>
    <row r="68" spans="1:8" ht="12.75">
      <c r="A68" s="152" t="s">
        <v>42</v>
      </c>
      <c r="B68" s="125"/>
      <c r="C68" s="263">
        <f>IF((C66-C67)&gt;0,C66-C67,0)</f>
        <v>12737592</v>
      </c>
      <c r="D68" s="102"/>
      <c r="E68" s="266">
        <f>SUM(E66:E67)</f>
        <v>3054400</v>
      </c>
      <c r="F68" s="114"/>
      <c r="G68" s="263">
        <f>G66-G67</f>
        <v>15856310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361</v>
      </c>
      <c r="B70" s="125">
        <v>17</v>
      </c>
      <c r="C70" s="300">
        <f>'Tax Rates'!C18</f>
        <v>0.003</v>
      </c>
      <c r="D70" s="102"/>
      <c r="E70" s="267">
        <f>+G70-C70</f>
        <v>0</v>
      </c>
      <c r="F70" s="6"/>
      <c r="G70" s="300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3">
        <f>IF(C68&gt;0,C68*C70,0)*REGINFO!$B$6/REGINFO!$B$7</f>
        <v>38212.776</v>
      </c>
      <c r="D72" s="101"/>
      <c r="E72" s="266">
        <f>+G72-C72</f>
        <v>9356.154000000002</v>
      </c>
      <c r="F72" s="477"/>
      <c r="G72" s="263">
        <f>IF(G68&gt;0,G68*G70,0)*REGINFO!$B$6/REGINFO!$B$7</f>
        <v>47568.93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3">
        <f>Ratebase</f>
        <v>20162592</v>
      </c>
      <c r="D75" s="102"/>
      <c r="E75" s="266">
        <f>+G75-C75</f>
        <v>-20162592</v>
      </c>
      <c r="F75" s="6"/>
      <c r="G75" s="474">
        <v>0</v>
      </c>
      <c r="H75" s="151"/>
      <c r="I75" s="475" t="s">
        <v>469</v>
      </c>
    </row>
    <row r="76" spans="1:9" ht="12.75">
      <c r="A76" s="152" t="s">
        <v>360</v>
      </c>
      <c r="B76" s="125">
        <v>19</v>
      </c>
      <c r="C76" s="259">
        <f>IF(C75&gt;0,'Tax Rates'!C22,0)</f>
        <v>50000000</v>
      </c>
      <c r="D76" s="18"/>
      <c r="E76" s="266">
        <f>+G76-C76</f>
        <v>0</v>
      </c>
      <c r="F76" s="6"/>
      <c r="G76" s="266">
        <f>'Tax Rates'!C58</f>
        <v>50000000</v>
      </c>
      <c r="H76" s="151"/>
      <c r="I76" s="475" t="s">
        <v>469</v>
      </c>
    </row>
    <row r="77" spans="1:8" ht="12.75">
      <c r="A77" s="152" t="s">
        <v>42</v>
      </c>
      <c r="B77" s="125"/>
      <c r="C77" s="263">
        <f>IF((C75-C76)&gt;0,C75-C76,0)</f>
        <v>0</v>
      </c>
      <c r="D77" s="19"/>
      <c r="E77" s="266">
        <f>SUM(E75:E76)</f>
        <v>-20162592</v>
      </c>
      <c r="F77" s="114"/>
      <c r="G77" s="263">
        <f>IF(G76&gt;G75,0,G75-G76)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361</v>
      </c>
      <c r="B79" s="125">
        <v>20</v>
      </c>
      <c r="C79" s="300">
        <f>'Tax Rates'!C19</f>
        <v>0.00175</v>
      </c>
      <c r="D79" s="102"/>
      <c r="E79" s="267">
        <f>G79-C79</f>
        <v>0.00025</v>
      </c>
      <c r="F79" s="6"/>
      <c r="G79" s="267">
        <f>'Tax Rates'!C55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3">
        <f>IF(C77&gt;0,C77*C79,0)*REGINFO!$B$6/REGINFO!$B$7</f>
        <v>0</v>
      </c>
      <c r="D81" s="102"/>
      <c r="E81" s="266">
        <f>+G81-C81</f>
        <v>0</v>
      </c>
      <c r="F81" s="6"/>
      <c r="G81" s="263">
        <f>G77*G79*B9/B10</f>
        <v>0</v>
      </c>
      <c r="H81" s="151"/>
    </row>
    <row r="82" spans="1:8" ht="12.75">
      <c r="A82" s="152" t="s">
        <v>319</v>
      </c>
      <c r="B82" s="125">
        <v>21</v>
      </c>
      <c r="C82" s="299">
        <f>IF(C77&gt;0,IF(C60&gt;0,C50*'Tax Rates'!C20,0),0)</f>
        <v>0</v>
      </c>
      <c r="D82" s="102"/>
      <c r="E82" s="266">
        <f>+G82-C82</f>
        <v>0</v>
      </c>
      <c r="F82" s="6"/>
      <c r="G82" s="299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3">
        <f>C81-C82</f>
        <v>0</v>
      </c>
      <c r="D84" s="16"/>
      <c r="E84" s="266">
        <f>E81-E82</f>
        <v>0</v>
      </c>
      <c r="F84" s="103"/>
      <c r="G84" s="263">
        <f>G81-G82</f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1">
        <f>IF($C$50&gt;'Tax Rates'!$E$11,'Tax Rates'!$F$16,IF(AND($C$50&gt;='Tax Rates'!$C$11,$C$50&lt;='Tax Rates'!E11),'Tax Rates'!$E$16,'Tax Rates'!$C$16))</f>
        <v>0.3612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368</v>
      </c>
      <c r="B90" s="127">
        <v>22</v>
      </c>
      <c r="C90" s="263">
        <f>C60/(1-C88)</f>
        <v>834705.0639448968</v>
      </c>
      <c r="D90" s="20"/>
      <c r="E90" s="139"/>
      <c r="F90" s="430" t="s">
        <v>487</v>
      </c>
      <c r="G90" s="269">
        <f>TAXREC!E156</f>
        <v>157715</v>
      </c>
      <c r="H90" s="151"/>
    </row>
    <row r="91" spans="1:8" ht="12.75">
      <c r="A91" s="158" t="s">
        <v>369</v>
      </c>
      <c r="B91" s="127">
        <v>23</v>
      </c>
      <c r="C91" s="263">
        <f>C84/(1-C88)</f>
        <v>0</v>
      </c>
      <c r="D91" s="20"/>
      <c r="E91" s="139"/>
      <c r="F91" s="430" t="s">
        <v>487</v>
      </c>
      <c r="G91" s="269">
        <f>TAXREC!E158</f>
        <v>0</v>
      </c>
      <c r="H91" s="151"/>
    </row>
    <row r="92" spans="1:8" ht="12.75">
      <c r="A92" s="158" t="s">
        <v>348</v>
      </c>
      <c r="B92" s="127">
        <v>24</v>
      </c>
      <c r="C92" s="263">
        <f>C72</f>
        <v>38212.776</v>
      </c>
      <c r="D92" s="20"/>
      <c r="E92" s="139"/>
      <c r="F92" s="430" t="s">
        <v>487</v>
      </c>
      <c r="G92" s="269">
        <f>TAXREC!E157</f>
        <v>47568.93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488</v>
      </c>
      <c r="B95" s="125">
        <v>25</v>
      </c>
      <c r="C95" s="268">
        <f>SUM(C90:C93)</f>
        <v>872917.8399448968</v>
      </c>
      <c r="D95" s="6"/>
      <c r="E95" s="139"/>
      <c r="F95" s="430" t="s">
        <v>487</v>
      </c>
      <c r="G95" s="413">
        <f>SUM(G90:G94)</f>
        <v>205283.93</v>
      </c>
      <c r="H95" s="164"/>
    </row>
    <row r="96" spans="1:8" ht="12.75">
      <c r="A96" s="403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346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363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364</v>
      </c>
      <c r="B107" s="127">
        <v>6</v>
      </c>
      <c r="C107" s="112"/>
      <c r="D107" s="3"/>
      <c r="E107" s="251">
        <f>E28</f>
        <v>248035</v>
      </c>
      <c r="F107" s="37"/>
      <c r="G107" s="201"/>
      <c r="H107" s="164"/>
    </row>
    <row r="108" spans="1:8" ht="12.75">
      <c r="A108" s="156" t="s">
        <v>362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498" t="s">
        <v>498</v>
      </c>
      <c r="B112" s="127">
        <v>11</v>
      </c>
      <c r="C112" s="112"/>
      <c r="D112" s="3"/>
      <c r="E112" s="471">
        <f>E206</f>
        <v>164716.04000000004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65000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365</v>
      </c>
      <c r="B117" s="127">
        <v>12</v>
      </c>
      <c r="C117" s="112"/>
      <c r="D117" s="3"/>
      <c r="E117" s="251">
        <f>E44</f>
        <v>-39000</v>
      </c>
      <c r="F117" s="37"/>
      <c r="G117" s="201"/>
      <c r="H117" s="164"/>
    </row>
    <row r="118" spans="1:8" ht="12.75">
      <c r="A118" s="158" t="s">
        <v>366</v>
      </c>
      <c r="B118" s="127">
        <v>12</v>
      </c>
      <c r="C118" s="112"/>
      <c r="D118" s="3"/>
      <c r="E118" s="251">
        <f>E46</f>
        <v>248035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3">
        <f>SUM(E102:E107)-SUM(E109:E118)</f>
        <v>-190716.04000000004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490</v>
      </c>
      <c r="B122" s="127"/>
      <c r="C122" s="112"/>
      <c r="D122" s="3" t="s">
        <v>231</v>
      </c>
      <c r="E122" s="468">
        <f>+'Tax Rates'!F52</f>
        <v>0.3612</v>
      </c>
      <c r="F122" s="469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3">
        <f>E120*E122</f>
        <v>-68886.63364800002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3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3">
        <f>E124-E126</f>
        <v>-68886.63364800002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1">
        <f>IF((E120+C50)&gt;'Tax Rates'!$E$47,'Tax Rates'!$F$52-1.12%,IF((E120+C50)&gt;'Tax Rates'!$D$47,'Tax Rates'!$E$52-1.12%,IF((E120+C50)&gt;'Tax Rates'!$C$47,'Tax Rates'!$D$52-1.12%,'Tax Rates'!$C$52-1.12%)))</f>
        <v>0.35000000000000003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352</v>
      </c>
      <c r="B132" s="130"/>
      <c r="C132" s="112"/>
      <c r="D132" s="3"/>
      <c r="E132" s="485">
        <f>E128/(1-E130)</f>
        <v>-105979.4363815385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355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1">
        <f>C50</f>
        <v>1476217.04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1">
        <f>IF((E120+E136)&gt;'Tax Rates'!E47,'Tax Rates'!F52,IF((E120+E136)&gt;'Tax Rates'!D47,'Tax Rates'!E52,IF((E120+E136)&gt;'Tax Rates'!C47,'Tax Rates'!D52,'Tax Rates'!C52)))</f>
        <v>0.3612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2">
        <f>IF(E136&gt;0,E136*E138,0)</f>
        <v>533209.5948480001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3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1">
        <f>E140-E142</f>
        <v>533209.5948480001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1">
        <f>C60</f>
        <v>533209.5948480001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1">
        <f>E144-E146</f>
        <v>0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6" t="s">
        <v>20</v>
      </c>
      <c r="B150" s="130"/>
      <c r="C150" s="112"/>
      <c r="D150" s="119"/>
      <c r="E150" s="480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1">
        <f>C66</f>
        <v>20162592</v>
      </c>
      <c r="F151" s="37"/>
      <c r="G151" s="201"/>
      <c r="H151" s="164"/>
    </row>
    <row r="152" spans="1:8" ht="12.75">
      <c r="A152" s="171" t="s">
        <v>358</v>
      </c>
      <c r="B152" s="130"/>
      <c r="C152" s="112"/>
      <c r="D152" s="118" t="s">
        <v>188</v>
      </c>
      <c r="E152" s="304">
        <f>IF(E151&gt;0,'Tax Rates'!C39,0)</f>
        <v>7500000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1">
        <f>E151-E152</f>
        <v>12662592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359</v>
      </c>
      <c r="B155" s="130"/>
      <c r="C155" s="112"/>
      <c r="D155" s="119" t="s">
        <v>231</v>
      </c>
      <c r="E155" s="305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1">
        <f>IF(E153&gt;0,E153*E155*B9/B10,0)</f>
        <v>37987.776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4">
        <f>C72</f>
        <v>38212.776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3">
        <f>E157-E158</f>
        <v>-225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6" t="s">
        <v>236</v>
      </c>
      <c r="B161" s="130"/>
      <c r="C161" s="112"/>
      <c r="D161" s="119"/>
      <c r="E161" s="303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1">
        <f>C75</f>
        <v>20162592</v>
      </c>
      <c r="F162" s="37"/>
      <c r="G162" s="201"/>
      <c r="H162" s="164"/>
    </row>
    <row r="163" spans="1:8" ht="12.75">
      <c r="A163" s="171" t="s">
        <v>357</v>
      </c>
      <c r="B163" s="130"/>
      <c r="C163" s="112"/>
      <c r="D163" s="118" t="s">
        <v>188</v>
      </c>
      <c r="E163" s="304">
        <f>IF(E162&gt;0,'Tax Rates'!C40,0)</f>
        <v>50000000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1">
        <f>E162-E163</f>
        <v>-29837408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5">
        <f>'Tax Rates'!C55</f>
        <v>0.002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1">
        <f>IF(E164&gt;0,E164*E166*B9/B10,0)</f>
        <v>0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6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1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347</v>
      </c>
      <c r="B172" s="130"/>
      <c r="C172" s="112"/>
      <c r="D172" s="118" t="s">
        <v>188</v>
      </c>
      <c r="E172" s="304">
        <f>C84</f>
        <v>0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3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345</v>
      </c>
      <c r="B175" s="130"/>
      <c r="C175" s="112"/>
      <c r="D175" s="119"/>
      <c r="E175" s="468">
        <f>IF((E120+G50)&gt;'Tax Rates'!E47,'Tax Rates'!F52-1.12%,IF((E120+G50)&gt;'Tax Rates'!D47,'Tax Rates'!E52-1.12%,IF((E120+G50)&gt;'Tax Rates'!C47,'Tax Rates'!D52,'Tax Rates'!C52-1.12%)))</f>
        <v>0.2762</v>
      </c>
      <c r="F175" s="469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1">
        <f>E148/(1-E175)</f>
        <v>0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1">
        <f>IF(E164&gt;0,E173/(1-E175),-C91)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1">
        <f>E159</f>
        <v>-225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353</v>
      </c>
      <c r="B181" s="130"/>
      <c r="C181" s="112"/>
      <c r="D181" s="119" t="s">
        <v>189</v>
      </c>
      <c r="E181" s="484">
        <f>SUM(E177:E179)</f>
        <v>-225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494</v>
      </c>
      <c r="B183" s="130"/>
      <c r="C183" s="112"/>
      <c r="D183" s="119" t="s">
        <v>187</v>
      </c>
      <c r="E183" s="484">
        <f>E132</f>
        <v>-105979.4363815385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354</v>
      </c>
      <c r="B185" s="130"/>
      <c r="C185" s="112"/>
      <c r="D185" s="119" t="s">
        <v>189</v>
      </c>
      <c r="E185" s="484">
        <f>E181+E183</f>
        <v>-106204.4363815385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7">
        <f>REGINFO!D62</f>
        <v>730893.96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7">
        <f>REGINFO!D66</f>
        <v>649888.2224168126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7">
        <f>E193-E194</f>
        <v>81005.73758318741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90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90"/>
      <c r="H200" s="164"/>
    </row>
    <row r="201" spans="1:8" ht="12.75">
      <c r="A201" s="155" t="s">
        <v>252</v>
      </c>
      <c r="B201" s="127"/>
      <c r="C201" s="112"/>
      <c r="D201" s="120"/>
      <c r="E201" s="307">
        <f>G37+G42</f>
        <v>895610</v>
      </c>
      <c r="F201" s="3"/>
      <c r="G201" s="490"/>
      <c r="H201" s="164"/>
    </row>
    <row r="202" spans="1:8" ht="12.75">
      <c r="A202" s="155" t="s">
        <v>491</v>
      </c>
      <c r="B202" s="127"/>
      <c r="C202" s="112"/>
      <c r="D202" s="120"/>
      <c r="E202" s="307">
        <f>REGINFO!D62</f>
        <v>730893.96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2">
        <f>IF((E201-E202)&gt;0,E201-E202,0)</f>
        <v>164716.04000000004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499</v>
      </c>
      <c r="B206" s="127"/>
      <c r="C206" s="112"/>
      <c r="D206" s="120"/>
      <c r="E206" s="470">
        <f>IF((E201-E202)&gt;0,E201-E202,0)</f>
        <v>164716.04000000004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8">
        <f>+E196-E204</f>
        <v>-83710.30241681263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47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PageLayoutView="0" workbookViewId="0" topLeftCell="A114">
      <selection activeCell="C149" sqref="C149:C150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 EB-2011-XXXX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/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Innisfil Hydro Distribution Systems Limited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5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87">
        <f>0.0025*Ratebase*REGINFO!D33</f>
        <v>25203.24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8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326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259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223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324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325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4">
        <v>17757193</v>
      </c>
      <c r="D31" s="285"/>
      <c r="E31" s="283">
        <f>C31-D31</f>
        <v>17757193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4">
        <v>5508051</v>
      </c>
      <c r="D32" s="285"/>
      <c r="E32" s="283">
        <f>C32-D32</f>
        <v>5508051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4">
        <v>507942</v>
      </c>
      <c r="D33" s="285"/>
      <c r="E33" s="283">
        <f>C33-D33</f>
        <v>507942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4"/>
      <c r="D34" s="285"/>
      <c r="E34" s="283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4">
        <v>17757193</v>
      </c>
      <c r="D39" s="285"/>
      <c r="E39" s="283">
        <f>C39-D39</f>
        <v>17757193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4">
        <f>4248782-C43-C44</f>
        <v>2706767</v>
      </c>
      <c r="D40" s="285"/>
      <c r="E40" s="283">
        <f aca="true" t="shared" si="0" ref="E40:E48">C40-D40</f>
        <v>2706767</v>
      </c>
      <c r="F40" s="11"/>
      <c r="G40" s="486"/>
      <c r="H40" s="6"/>
      <c r="I40" s="6"/>
    </row>
    <row r="41" spans="1:9" ht="12.75">
      <c r="A41" s="4" t="s">
        <v>275</v>
      </c>
      <c r="B41" s="23" t="s">
        <v>188</v>
      </c>
      <c r="C41" s="284"/>
      <c r="D41" s="285"/>
      <c r="E41" s="283">
        <f t="shared" si="0"/>
        <v>0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4"/>
      <c r="D42" s="285"/>
      <c r="E42" s="283">
        <f t="shared" si="0"/>
        <v>0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4">
        <v>1485975</v>
      </c>
      <c r="D43" s="285"/>
      <c r="E43" s="283">
        <f t="shared" si="0"/>
        <v>1485975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4">
        <v>56040</v>
      </c>
      <c r="D44" s="285"/>
      <c r="E44" s="283">
        <f t="shared" si="0"/>
        <v>56040</v>
      </c>
      <c r="F44" s="11"/>
      <c r="G44" s="11"/>
      <c r="H44" s="6"/>
      <c r="I44" s="6"/>
    </row>
    <row r="45" spans="1:11" ht="12.75">
      <c r="A45" s="4" t="s">
        <v>478</v>
      </c>
      <c r="B45" s="23" t="s">
        <v>188</v>
      </c>
      <c r="C45" s="284"/>
      <c r="D45" s="285"/>
      <c r="E45" s="283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" t="s">
        <v>489</v>
      </c>
      <c r="B46" s="23" t="s">
        <v>188</v>
      </c>
      <c r="C46" s="284"/>
      <c r="D46" s="285"/>
      <c r="E46" s="283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4"/>
      <c r="D47" s="285"/>
      <c r="E47" s="283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0">
        <f>SUM(C31:C36)-SUM(C39:C49)</f>
        <v>1767211</v>
      </c>
      <c r="D50" s="280">
        <f>SUM(D31:D36)-SUM(D39:D49)</f>
        <v>0</v>
      </c>
      <c r="E50" s="280">
        <f>SUM(E31:E35)-SUM(E39:E48)</f>
        <v>1767211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4">
        <v>895610</v>
      </c>
      <c r="D51" s="284"/>
      <c r="E51" s="281">
        <f>+C51-D51</f>
        <v>895610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4">
        <v>159000</v>
      </c>
      <c r="D52" s="284"/>
      <c r="E52" s="282">
        <f>+C52-D52</f>
        <v>159000</v>
      </c>
      <c r="F52" s="8"/>
      <c r="G52" s="415"/>
    </row>
    <row r="53" spans="1:6" ht="12.75">
      <c r="A53" s="2" t="s">
        <v>131</v>
      </c>
      <c r="B53" s="8" t="s">
        <v>189</v>
      </c>
      <c r="C53" s="280">
        <f>C50-C51-C52</f>
        <v>712601</v>
      </c>
      <c r="D53" s="280">
        <f>D50-D51-D52</f>
        <v>0</v>
      </c>
      <c r="E53" s="280">
        <f>E50-E51-E52</f>
        <v>712601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6">
        <f>C52</f>
        <v>159000</v>
      </c>
      <c r="D59" s="286">
        <f>D52</f>
        <v>0</v>
      </c>
      <c r="E59" s="271">
        <f>+C59-D59</f>
        <v>159000</v>
      </c>
      <c r="F59" s="8"/>
      <c r="G59" s="415"/>
    </row>
    <row r="60" spans="1:6" ht="12.75">
      <c r="A60" s="4" t="s">
        <v>327</v>
      </c>
      <c r="B60" s="8" t="s">
        <v>187</v>
      </c>
      <c r="C60" s="317"/>
      <c r="D60" s="317"/>
      <c r="E60" s="271">
        <f>+C60-D60</f>
        <v>0</v>
      </c>
      <c r="F60" s="8"/>
    </row>
    <row r="61" spans="1:7" ht="12.75">
      <c r="A61" t="s">
        <v>4</v>
      </c>
      <c r="B61" s="8" t="s">
        <v>187</v>
      </c>
      <c r="C61" s="286">
        <f>C43</f>
        <v>1485975</v>
      </c>
      <c r="D61" s="286">
        <f>D43</f>
        <v>0</v>
      </c>
      <c r="E61" s="271">
        <f>+C61-D61</f>
        <v>1485975</v>
      </c>
      <c r="F61" s="8"/>
      <c r="G61" s="415"/>
    </row>
    <row r="62" spans="1:6" ht="12.75">
      <c r="A62" t="s">
        <v>6</v>
      </c>
      <c r="B62" s="8" t="s">
        <v>187</v>
      </c>
      <c r="C62" s="317"/>
      <c r="D62" s="286">
        <v>0</v>
      </c>
      <c r="E62" s="271">
        <f>+C62-D62</f>
        <v>0</v>
      </c>
      <c r="F62" s="8"/>
    </row>
    <row r="63" spans="1:6" ht="12.75">
      <c r="A63" s="31" t="s">
        <v>279</v>
      </c>
      <c r="B63" s="8" t="s">
        <v>187</v>
      </c>
      <c r="C63" s="315">
        <f>'Tax Reserves'!C22</f>
        <v>0</v>
      </c>
      <c r="D63" s="316">
        <f>'Tax Reserves'!D22</f>
        <v>0</v>
      </c>
      <c r="E63" s="271">
        <f>C63-D63</f>
        <v>0</v>
      </c>
      <c r="F63" s="8"/>
    </row>
    <row r="64" spans="1:6" ht="12.75">
      <c r="A64" s="4" t="s">
        <v>52</v>
      </c>
      <c r="B64" s="8" t="s">
        <v>187</v>
      </c>
      <c r="C64" s="315">
        <f>'Tax Reserves'!C63</f>
        <v>0</v>
      </c>
      <c r="D64" s="316">
        <f>'Tax Reserves'!D63</f>
        <v>0</v>
      </c>
      <c r="E64" s="271">
        <f>+C64-D64</f>
        <v>0</v>
      </c>
      <c r="F64" s="8"/>
    </row>
    <row r="65" spans="1:6" ht="12.75">
      <c r="A65" t="s">
        <v>442</v>
      </c>
      <c r="B65" s="8" t="s">
        <v>187</v>
      </c>
      <c r="C65" s="285"/>
      <c r="D65" s="285"/>
      <c r="E65" s="271">
        <f>+C65-D65</f>
        <v>0</v>
      </c>
      <c r="F65" s="8"/>
    </row>
    <row r="66" spans="1:6" ht="15">
      <c r="A66" s="466" t="s">
        <v>394</v>
      </c>
      <c r="B66" s="8"/>
      <c r="C66" s="446">
        <f>'TAXREC 3 No True-up'!C46</f>
        <v>125935</v>
      </c>
      <c r="D66" s="446">
        <f>'TAXREC 3 No True-up'!D46</f>
        <v>0</v>
      </c>
      <c r="E66" s="271">
        <f>+C66-D66</f>
        <v>125935</v>
      </c>
      <c r="F66" s="8"/>
    </row>
    <row r="67" spans="1:6" ht="12.75">
      <c r="A67" t="s">
        <v>160</v>
      </c>
      <c r="B67" s="8" t="s">
        <v>187</v>
      </c>
      <c r="C67" s="251">
        <f>'TAXREC 2'!C77</f>
        <v>248035</v>
      </c>
      <c r="D67" s="251">
        <f>'TAXREC 2'!D77</f>
        <v>0</v>
      </c>
      <c r="E67" s="271">
        <f>+C67-D67</f>
        <v>248035</v>
      </c>
      <c r="F67" s="8"/>
    </row>
    <row r="68" spans="1:11" ht="12.75">
      <c r="A68" t="s">
        <v>161</v>
      </c>
      <c r="B68" s="8" t="s">
        <v>187</v>
      </c>
      <c r="C68" s="251">
        <f>'TAXREC 2'!C78</f>
        <v>7705</v>
      </c>
      <c r="D68" s="251">
        <f>'TAXREC 2'!D78</f>
        <v>0</v>
      </c>
      <c r="E68" s="271">
        <f>+C68-D68</f>
        <v>7705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1">
        <f>SUM(C59:C68)</f>
        <v>2026650</v>
      </c>
      <c r="D70" s="271">
        <f>SUM(D59:D68)</f>
        <v>0</v>
      </c>
      <c r="E70" s="271">
        <f>SUM(E59:E68)</f>
        <v>2026650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3">
        <v>2306</v>
      </c>
      <c r="D74" s="293"/>
      <c r="E74" s="271">
        <f t="shared" si="1"/>
        <v>2306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3"/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82"/>
      <c r="D76" s="293"/>
      <c r="E76" s="478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2306</v>
      </c>
      <c r="D80" s="251">
        <f>SUM(D73:D79)</f>
        <v>0</v>
      </c>
      <c r="E80" s="251">
        <f>SUM(E73:E79)</f>
        <v>2306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2028956</v>
      </c>
      <c r="D82" s="251">
        <f>D70+D80</f>
        <v>0</v>
      </c>
      <c r="E82" s="251">
        <f>E70+E80</f>
        <v>2028956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151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431</v>
      </c>
      <c r="B93" s="272"/>
      <c r="C93" s="251">
        <f>C80-C92</f>
        <v>2306</v>
      </c>
      <c r="D93" s="251">
        <f>D80-D92</f>
        <v>0</v>
      </c>
      <c r="E93" s="251">
        <f>E80-E92</f>
        <v>2306</v>
      </c>
      <c r="F93" s="8"/>
      <c r="G93" s="45"/>
      <c r="H93" s="45"/>
      <c r="I93" s="45"/>
      <c r="J93" s="45"/>
      <c r="K93" s="45"/>
    </row>
    <row r="94" spans="1:11" ht="12.75">
      <c r="A94" s="272" t="s">
        <v>197</v>
      </c>
      <c r="B94" s="272"/>
      <c r="C94" s="251">
        <f>C92+C93</f>
        <v>2306</v>
      </c>
      <c r="D94" s="251">
        <f>D92+D93</f>
        <v>0</v>
      </c>
      <c r="E94" s="251">
        <f>E92+E93</f>
        <v>2306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3">
        <v>1030115</v>
      </c>
      <c r="D97" s="293"/>
      <c r="E97" s="271">
        <f>+C97-D97</f>
        <v>1030115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3">
        <v>34379</v>
      </c>
      <c r="D98" s="293"/>
      <c r="E98" s="271">
        <f>+C98-D98</f>
        <v>34379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3"/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8">
        <f>'Tax Reserves'!C35</f>
        <v>0</v>
      </c>
      <c r="D104" s="318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8">
        <f>'Tax Reserves'!C50</f>
        <v>65000</v>
      </c>
      <c r="D105" s="318">
        <f>'Tax Reserves'!D50</f>
        <v>0</v>
      </c>
      <c r="E105" s="281">
        <f t="shared" si="5"/>
        <v>65000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6" t="s">
        <v>394</v>
      </c>
      <c r="B108" s="8"/>
      <c r="C108" s="254">
        <f>'TAXREC 3 No True-up'!C72</f>
        <v>849630.93</v>
      </c>
      <c r="D108" s="254">
        <f>'TAXREC 3 No True-up'!D72</f>
        <v>0</v>
      </c>
      <c r="E108" s="271">
        <f t="shared" si="5"/>
        <v>849630.93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248035</v>
      </c>
      <c r="D110" s="251">
        <f>'TAXREC 2'!D119</f>
        <v>0</v>
      </c>
      <c r="E110" s="251">
        <f>'TAXREC 2'!E119</f>
        <v>248035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2227159.93</v>
      </c>
      <c r="D113" s="251">
        <f>SUM(D97:D111)</f>
        <v>0</v>
      </c>
      <c r="E113" s="251">
        <f>SUM(E97:E111)</f>
        <v>2227159.93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3"/>
      <c r="D116" s="293"/>
      <c r="E116" s="271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3"/>
      <c r="D117" s="293"/>
      <c r="E117" s="271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3"/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3"/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2227159.93</v>
      </c>
      <c r="D122" s="251">
        <f>D113+D120</f>
        <v>0</v>
      </c>
      <c r="E122" s="251">
        <f>+E113+E120</f>
        <v>2227159.93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199</v>
      </c>
      <c r="B130" s="272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200</v>
      </c>
      <c r="B131" s="272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198</v>
      </c>
      <c r="B132" s="272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514397.06999999983</v>
      </c>
      <c r="D134" s="251">
        <f>D53+D82-D122</f>
        <v>0</v>
      </c>
      <c r="E134" s="251">
        <f>E53+E82-E122</f>
        <v>514397.06999999983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374</v>
      </c>
      <c r="B136" s="8" t="s">
        <v>188</v>
      </c>
      <c r="C136" s="293"/>
      <c r="D136" s="293"/>
      <c r="E136" s="263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375</v>
      </c>
      <c r="B137" s="8" t="s">
        <v>188</v>
      </c>
      <c r="C137" s="309"/>
      <c r="D137" s="309"/>
      <c r="E137" s="393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9"/>
      <c r="D138" s="309"/>
      <c r="E138" s="393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514397.06999999983</v>
      </c>
      <c r="D139" s="252">
        <f>D134-D136-D137-D138</f>
        <v>0</v>
      </c>
      <c r="E139" s="252">
        <f>E134-E136-E137-E138</f>
        <v>514397.06999999983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7">
        <v>119669</v>
      </c>
      <c r="D142" s="297">
        <f>D139*C149</f>
        <v>0</v>
      </c>
      <c r="E142" s="252">
        <f>C142-D142</f>
        <v>119669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7">
        <v>38046</v>
      </c>
      <c r="D143" s="297">
        <f>D139*C150</f>
        <v>0</v>
      </c>
      <c r="E143" s="291">
        <f>C143-D143</f>
        <v>38046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157715</v>
      </c>
      <c r="D144" s="252">
        <f>D142+D143</f>
        <v>0</v>
      </c>
      <c r="E144" s="252">
        <f>E142+E143</f>
        <v>157715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7"/>
      <c r="D145" s="297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99</v>
      </c>
      <c r="B146" s="8" t="s">
        <v>189</v>
      </c>
      <c r="C146" s="252">
        <f>C144-C145</f>
        <v>157715</v>
      </c>
      <c r="D146" s="252">
        <f>D144-D145</f>
        <v>0</v>
      </c>
      <c r="E146" s="252">
        <f>E144-E145</f>
        <v>157715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4">
        <f>C142/C139</f>
        <v>0.23263934998696637</v>
      </c>
      <c r="D149" s="5"/>
      <c r="E149" s="405">
        <f>C149</f>
        <v>0.23263934998696637</v>
      </c>
      <c r="F149" s="8"/>
      <c r="G149" s="483" t="s">
        <v>466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4">
        <f>C143/C139</f>
        <v>0.07396231864228933</v>
      </c>
      <c r="D150" s="5"/>
      <c r="E150" s="405">
        <f>C150</f>
        <v>0.07396231864228933</v>
      </c>
      <c r="F150" s="8"/>
      <c r="G150" s="483" t="s">
        <v>467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5">
        <f>SUM(C149:C150)</f>
        <v>0.3066016686292557</v>
      </c>
      <c r="D151" s="5"/>
      <c r="E151" s="405">
        <f>SUM(E149:E150)</f>
        <v>0.3066016686292557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473</v>
      </c>
      <c r="B155" s="8"/>
    </row>
    <row r="156" spans="1:5" ht="12.75">
      <c r="A156" t="s">
        <v>219</v>
      </c>
      <c r="B156" s="86" t="s">
        <v>187</v>
      </c>
      <c r="C156" s="251">
        <f>C146</f>
        <v>157715</v>
      </c>
      <c r="D156" s="251">
        <f>D146</f>
        <v>0</v>
      </c>
      <c r="E156" s="251">
        <f>E146</f>
        <v>157715</v>
      </c>
    </row>
    <row r="157" spans="1:5" ht="12.75">
      <c r="A157" t="s">
        <v>20</v>
      </c>
      <c r="B157" s="86" t="s">
        <v>187</v>
      </c>
      <c r="C157" s="479">
        <f>TAXCALC!G72</f>
        <v>47568.93</v>
      </c>
      <c r="D157" s="251"/>
      <c r="E157" s="251">
        <f>C157+D157</f>
        <v>47568.93</v>
      </c>
    </row>
    <row r="158" spans="1:5" ht="12.75">
      <c r="A158" t="s">
        <v>218</v>
      </c>
      <c r="B158" s="86" t="s">
        <v>187</v>
      </c>
      <c r="C158" s="479"/>
      <c r="D158" s="251"/>
      <c r="E158" s="251">
        <f>C158+D158</f>
        <v>0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205283.93</v>
      </c>
      <c r="D160" s="251">
        <f>D156+D157+D158</f>
        <v>0</v>
      </c>
      <c r="E160" s="251">
        <f>E156+E157+E158</f>
        <v>205283.93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65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9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 EB-2011-XXXX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/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Innisfil Hydro Distribution Systems Limited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51">
        <f>C13-D13</f>
        <v>0</v>
      </c>
    </row>
    <row r="14" spans="1:5" ht="12.75">
      <c r="A14" s="61" t="s">
        <v>281</v>
      </c>
      <c r="B14" s="61"/>
      <c r="C14" s="293"/>
      <c r="D14" s="293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3"/>
      <c r="D15" s="293"/>
      <c r="E15" s="251">
        <f t="shared" si="0"/>
        <v>0</v>
      </c>
    </row>
    <row r="16" spans="1:5" ht="12.75">
      <c r="A16" s="61" t="s">
        <v>283</v>
      </c>
      <c r="B16" s="61"/>
      <c r="C16" s="293"/>
      <c r="D16" s="293"/>
      <c r="E16" s="251">
        <f t="shared" si="0"/>
        <v>0</v>
      </c>
    </row>
    <row r="17" spans="1:5" ht="12.75">
      <c r="A17" s="61" t="s">
        <v>284</v>
      </c>
      <c r="B17" s="61"/>
      <c r="C17" s="293"/>
      <c r="D17" s="293"/>
      <c r="E17" s="251">
        <f t="shared" si="0"/>
        <v>0</v>
      </c>
    </row>
    <row r="18" spans="1:5" ht="12.75">
      <c r="A18" s="61" t="s">
        <v>447</v>
      </c>
      <c r="B18" s="61"/>
      <c r="C18" s="293"/>
      <c r="D18" s="293"/>
      <c r="E18" s="251">
        <f t="shared" si="0"/>
        <v>0</v>
      </c>
    </row>
    <row r="19" spans="1:5" ht="12.75">
      <c r="A19" s="61" t="s">
        <v>447</v>
      </c>
      <c r="B19" s="61"/>
      <c r="C19" s="293"/>
      <c r="D19" s="293"/>
      <c r="E19" s="251">
        <f t="shared" si="0"/>
        <v>0</v>
      </c>
    </row>
    <row r="20" spans="1:5" ht="12.75">
      <c r="A20" s="61"/>
      <c r="B20" s="61"/>
      <c r="C20" s="293"/>
      <c r="D20" s="293"/>
      <c r="E20" s="251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3"/>
      <c r="D25" s="293"/>
      <c r="E25" s="251">
        <f>C25-D25</f>
        <v>0</v>
      </c>
    </row>
    <row r="26" spans="1:5" ht="12.75">
      <c r="A26" s="61" t="s">
        <v>281</v>
      </c>
      <c r="B26" s="61"/>
      <c r="C26" s="293"/>
      <c r="D26" s="293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3"/>
      <c r="D27" s="293"/>
      <c r="E27" s="251">
        <f t="shared" si="1"/>
        <v>0</v>
      </c>
    </row>
    <row r="28" spans="1:5" ht="12.75">
      <c r="A28" s="61" t="s">
        <v>283</v>
      </c>
      <c r="B28" s="61"/>
      <c r="C28" s="293"/>
      <c r="D28" s="293"/>
      <c r="E28" s="251">
        <f t="shared" si="1"/>
        <v>0</v>
      </c>
    </row>
    <row r="29" spans="1:5" ht="12.75">
      <c r="A29" s="61" t="s">
        <v>284</v>
      </c>
      <c r="B29" s="61"/>
      <c r="C29" s="293"/>
      <c r="D29" s="293"/>
      <c r="E29" s="251">
        <f t="shared" si="1"/>
        <v>0</v>
      </c>
    </row>
    <row r="30" spans="1:5" ht="12.75">
      <c r="A30" s="61" t="s">
        <v>447</v>
      </c>
      <c r="B30" s="61"/>
      <c r="C30" s="293"/>
      <c r="D30" s="293"/>
      <c r="E30" s="251">
        <f t="shared" si="1"/>
        <v>0</v>
      </c>
    </row>
    <row r="31" spans="1:5" ht="12.75">
      <c r="A31" s="61" t="s">
        <v>447</v>
      </c>
      <c r="B31" s="61"/>
      <c r="C31" s="293"/>
      <c r="D31" s="293"/>
      <c r="E31" s="251">
        <f t="shared" si="1"/>
        <v>0</v>
      </c>
    </row>
    <row r="32" spans="1:5" ht="12.75">
      <c r="A32" s="61"/>
      <c r="B32" s="61"/>
      <c r="C32" s="293"/>
      <c r="D32" s="293"/>
      <c r="E32" s="251">
        <f t="shared" si="1"/>
        <v>0</v>
      </c>
    </row>
    <row r="33" spans="1:5" ht="13.5" thickBot="1">
      <c r="A33" s="62"/>
      <c r="B33" s="61"/>
      <c r="C33" s="293"/>
      <c r="D33" s="293"/>
      <c r="E33" s="251">
        <f t="shared" si="1"/>
        <v>0</v>
      </c>
    </row>
    <row r="34" spans="1:5" ht="12.75">
      <c r="A34" s="56" t="s">
        <v>132</v>
      </c>
      <c r="C34" s="22"/>
      <c r="D34" s="22"/>
      <c r="E34" s="278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3"/>
      <c r="D41" s="293"/>
      <c r="E41" s="251">
        <f>C41-D41</f>
        <v>0</v>
      </c>
    </row>
    <row r="42" spans="1:5" ht="12.75">
      <c r="A42" s="61"/>
      <c r="B42" s="61"/>
      <c r="C42" s="293"/>
      <c r="D42" s="293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3"/>
      <c r="D43" s="293"/>
      <c r="E43" s="251">
        <f t="shared" si="2"/>
        <v>0</v>
      </c>
    </row>
    <row r="44" spans="1:5" ht="12.75">
      <c r="A44" s="61" t="s">
        <v>268</v>
      </c>
      <c r="B44" s="61"/>
      <c r="C44" s="293"/>
      <c r="D44" s="293"/>
      <c r="E44" s="251">
        <f t="shared" si="2"/>
        <v>0</v>
      </c>
    </row>
    <row r="45" spans="1:5" ht="12.75">
      <c r="A45" s="61" t="s">
        <v>269</v>
      </c>
      <c r="B45" s="61"/>
      <c r="C45" s="293"/>
      <c r="D45" s="293"/>
      <c r="E45" s="251">
        <f t="shared" si="2"/>
        <v>0</v>
      </c>
    </row>
    <row r="46" spans="1:5" ht="12.75">
      <c r="A46" s="61" t="s">
        <v>270</v>
      </c>
      <c r="B46" s="61"/>
      <c r="C46" s="293"/>
      <c r="D46" s="293"/>
      <c r="E46" s="251">
        <f t="shared" si="2"/>
        <v>0</v>
      </c>
    </row>
    <row r="47" spans="1:5" ht="12.75">
      <c r="A47" s="497" t="s">
        <v>496</v>
      </c>
      <c r="B47" s="61"/>
      <c r="C47" s="293">
        <v>65000</v>
      </c>
      <c r="D47" s="293"/>
      <c r="E47" s="251">
        <f t="shared" si="2"/>
        <v>65000</v>
      </c>
    </row>
    <row r="48" spans="1:5" ht="12.75">
      <c r="A48" s="61" t="s">
        <v>447</v>
      </c>
      <c r="B48" s="61"/>
      <c r="C48" s="293"/>
      <c r="D48" s="293"/>
      <c r="E48" s="251">
        <f t="shared" si="2"/>
        <v>0</v>
      </c>
    </row>
    <row r="49" spans="1:5" ht="12.75">
      <c r="A49" s="61"/>
      <c r="B49" s="61"/>
      <c r="C49" s="309"/>
      <c r="D49" s="309"/>
      <c r="E49" s="278">
        <f t="shared" si="2"/>
        <v>0</v>
      </c>
    </row>
    <row r="50" spans="1:5" ht="12.75">
      <c r="A50" s="2" t="s">
        <v>180</v>
      </c>
      <c r="C50" s="251">
        <f>SUM(C41:C49)</f>
        <v>65000</v>
      </c>
      <c r="D50" s="251">
        <f>SUM(D41:D49)</f>
        <v>0</v>
      </c>
      <c r="E50" s="251">
        <f>SUM(E41:E49)</f>
        <v>65000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3"/>
      <c r="D53" s="293"/>
      <c r="E53" s="251">
        <f>C53-D53</f>
        <v>0</v>
      </c>
    </row>
    <row r="54" spans="1:5" ht="12.75">
      <c r="A54" s="246"/>
      <c r="B54" s="61"/>
      <c r="C54" s="293"/>
      <c r="D54" s="293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3"/>
      <c r="D55" s="293"/>
      <c r="E55" s="251">
        <f t="shared" si="3"/>
        <v>0</v>
      </c>
    </row>
    <row r="56" spans="1:5" ht="12.75">
      <c r="A56" s="246" t="s">
        <v>268</v>
      </c>
      <c r="B56" s="61"/>
      <c r="C56" s="293"/>
      <c r="D56" s="293"/>
      <c r="E56" s="251">
        <f t="shared" si="3"/>
        <v>0</v>
      </c>
    </row>
    <row r="57" spans="1:5" ht="12.75">
      <c r="A57" s="246" t="s">
        <v>269</v>
      </c>
      <c r="B57" s="61"/>
      <c r="C57" s="293"/>
      <c r="D57" s="293"/>
      <c r="E57" s="251">
        <f t="shared" si="3"/>
        <v>0</v>
      </c>
    </row>
    <row r="58" spans="1:5" ht="12.75">
      <c r="A58" s="246" t="s">
        <v>270</v>
      </c>
      <c r="B58" s="61"/>
      <c r="C58" s="293"/>
      <c r="D58" s="293"/>
      <c r="E58" s="251">
        <f t="shared" si="3"/>
        <v>0</v>
      </c>
    </row>
    <row r="59" spans="1:5" ht="12.75">
      <c r="A59" s="61" t="s">
        <v>447</v>
      </c>
      <c r="B59" s="61"/>
      <c r="C59" s="293"/>
      <c r="D59" s="293"/>
      <c r="E59" s="251">
        <f t="shared" si="3"/>
        <v>0</v>
      </c>
    </row>
    <row r="60" spans="1:5" ht="12.75">
      <c r="A60" s="61" t="s">
        <v>447</v>
      </c>
      <c r="B60" s="61"/>
      <c r="C60" s="293"/>
      <c r="D60" s="293"/>
      <c r="E60" s="251">
        <f t="shared" si="3"/>
        <v>0</v>
      </c>
    </row>
    <row r="61" spans="1:5" ht="13.5" thickBot="1">
      <c r="A61" s="62"/>
      <c r="B61" s="61"/>
      <c r="C61" s="293"/>
      <c r="D61" s="293"/>
      <c r="E61" s="251">
        <f t="shared" si="3"/>
        <v>0</v>
      </c>
    </row>
    <row r="62" spans="1:5" ht="12.75">
      <c r="A62" s="56" t="s">
        <v>132</v>
      </c>
      <c r="C62" s="22"/>
      <c r="D62" s="22"/>
      <c r="E62" s="278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PageLayoutView="0" workbookViewId="0" topLeftCell="A1">
      <pane xSplit="1" ySplit="6" topLeftCell="B7" activePane="bottomRight" state="frozen"/>
      <selection pane="topLeft" activeCell="A5" sqref="A5"/>
      <selection pane="topRight" activeCell="A5" sqref="A5"/>
      <selection pane="bottomLeft" activeCell="A5" sqref="A5"/>
      <selection pane="bottomRight" activeCell="B7" sqref="B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 EB-2011-XXXX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465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464</v>
      </c>
      <c r="B5" s="8"/>
      <c r="C5" s="8" t="s">
        <v>2</v>
      </c>
      <c r="D5" s="8"/>
      <c r="E5" s="8"/>
      <c r="F5" s="8"/>
    </row>
    <row r="6" spans="1:6" ht="12.75">
      <c r="A6" s="415" t="s">
        <v>444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Innisfil Hydro Distribution Systems Limited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0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488">
        <f>TAXREC!C13</f>
        <v>25203.24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4"/>
      <c r="D17" s="294"/>
      <c r="E17" s="312">
        <f>C17-D17</f>
        <v>0</v>
      </c>
    </row>
    <row r="18" spans="1:5" ht="12.75">
      <c r="A18" s="67" t="s">
        <v>253</v>
      </c>
      <c r="B18" t="s">
        <v>187</v>
      </c>
      <c r="C18" s="294"/>
      <c r="D18" s="294"/>
      <c r="E18" s="312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4"/>
      <c r="D19" s="294"/>
      <c r="E19" s="312">
        <f t="shared" si="0"/>
        <v>0</v>
      </c>
    </row>
    <row r="20" spans="1:5" ht="12.75">
      <c r="A20" s="67" t="s">
        <v>448</v>
      </c>
      <c r="B20" t="s">
        <v>187</v>
      </c>
      <c r="C20" s="294"/>
      <c r="D20" s="313"/>
      <c r="E20" s="312">
        <f t="shared" si="0"/>
        <v>0</v>
      </c>
    </row>
    <row r="21" spans="1:5" ht="12.75">
      <c r="A21" s="67" t="s">
        <v>8</v>
      </c>
      <c r="B21" t="s">
        <v>187</v>
      </c>
      <c r="C21" s="294"/>
      <c r="D21" s="294"/>
      <c r="E21" s="312">
        <f t="shared" si="0"/>
        <v>0</v>
      </c>
    </row>
    <row r="22" spans="1:5" ht="12.75">
      <c r="A22" s="67"/>
      <c r="B22" t="s">
        <v>187</v>
      </c>
      <c r="C22" s="294"/>
      <c r="D22" s="294"/>
      <c r="E22" s="312">
        <f t="shared" si="0"/>
        <v>0</v>
      </c>
    </row>
    <row r="23" spans="1:5" ht="12.75">
      <c r="A23" s="67" t="s">
        <v>137</v>
      </c>
      <c r="B23" t="s">
        <v>187</v>
      </c>
      <c r="C23" s="294"/>
      <c r="D23" s="294"/>
      <c r="E23" s="312">
        <f t="shared" si="0"/>
        <v>0</v>
      </c>
    </row>
    <row r="24" spans="1:5" ht="12.75">
      <c r="A24" s="67" t="s">
        <v>138</v>
      </c>
      <c r="B24" t="s">
        <v>187</v>
      </c>
      <c r="C24" s="294"/>
      <c r="D24" s="294"/>
      <c r="E24" s="312">
        <f t="shared" si="0"/>
        <v>0</v>
      </c>
    </row>
    <row r="25" spans="1:5" ht="12.75">
      <c r="A25" s="67" t="s">
        <v>9</v>
      </c>
      <c r="B25" t="s">
        <v>187</v>
      </c>
      <c r="C25" s="294"/>
      <c r="D25" s="294"/>
      <c r="E25" s="312">
        <f t="shared" si="0"/>
        <v>0</v>
      </c>
    </row>
    <row r="26" spans="1:5" ht="12.75">
      <c r="A26" s="67" t="s">
        <v>191</v>
      </c>
      <c r="B26" t="s">
        <v>187</v>
      </c>
      <c r="C26" s="294"/>
      <c r="D26" s="294"/>
      <c r="E26" s="312">
        <f t="shared" si="0"/>
        <v>0</v>
      </c>
    </row>
    <row r="27" spans="1:5" ht="12.75">
      <c r="A27" s="67" t="s">
        <v>7</v>
      </c>
      <c r="B27" t="s">
        <v>187</v>
      </c>
      <c r="C27" s="294"/>
      <c r="D27" s="294"/>
      <c r="E27" s="312">
        <f t="shared" si="0"/>
        <v>0</v>
      </c>
    </row>
    <row r="28" spans="1:5" ht="12.75">
      <c r="A28" s="67" t="s">
        <v>124</v>
      </c>
      <c r="B28" t="s">
        <v>187</v>
      </c>
      <c r="C28" s="294"/>
      <c r="D28" s="294"/>
      <c r="E28" s="312">
        <f t="shared" si="0"/>
        <v>0</v>
      </c>
    </row>
    <row r="29" spans="1:5" ht="12.75">
      <c r="A29" s="67" t="s">
        <v>139</v>
      </c>
      <c r="B29" t="s">
        <v>187</v>
      </c>
      <c r="C29" s="294"/>
      <c r="D29" s="294"/>
      <c r="E29" s="312">
        <f t="shared" si="0"/>
        <v>0</v>
      </c>
    </row>
    <row r="30" spans="1:5" ht="12.75">
      <c r="A30" s="67" t="s">
        <v>140</v>
      </c>
      <c r="B30" t="s">
        <v>187</v>
      </c>
      <c r="C30" s="294"/>
      <c r="D30" s="294"/>
      <c r="E30" s="312">
        <f t="shared" si="0"/>
        <v>0</v>
      </c>
    </row>
    <row r="31" spans="1:5" ht="12.75">
      <c r="A31" s="67" t="s">
        <v>254</v>
      </c>
      <c r="B31" t="s">
        <v>187</v>
      </c>
      <c r="C31" s="294"/>
      <c r="D31" s="294"/>
      <c r="E31" s="312">
        <f t="shared" si="0"/>
        <v>0</v>
      </c>
    </row>
    <row r="32" spans="1:5" ht="12.75">
      <c r="A32" s="67" t="s">
        <v>141</v>
      </c>
      <c r="B32" t="s">
        <v>187</v>
      </c>
      <c r="C32" s="294"/>
      <c r="D32" s="294"/>
      <c r="E32" s="312">
        <f t="shared" si="0"/>
        <v>0</v>
      </c>
    </row>
    <row r="33" spans="1:5" ht="12.75">
      <c r="A33" s="67" t="s">
        <v>142</v>
      </c>
      <c r="B33" t="s">
        <v>187</v>
      </c>
      <c r="C33" s="294"/>
      <c r="D33" s="294"/>
      <c r="E33" s="312">
        <f t="shared" si="0"/>
        <v>0</v>
      </c>
    </row>
    <row r="34" spans="1:5" ht="12.75">
      <c r="A34" s="67" t="s">
        <v>143</v>
      </c>
      <c r="B34" t="s">
        <v>187</v>
      </c>
      <c r="C34" s="294"/>
      <c r="D34" s="294"/>
      <c r="E34" s="312">
        <f t="shared" si="0"/>
        <v>0</v>
      </c>
    </row>
    <row r="35" spans="1:5" ht="12.75">
      <c r="A35" s="67" t="s">
        <v>193</v>
      </c>
      <c r="B35" t="s">
        <v>187</v>
      </c>
      <c r="C35" s="294"/>
      <c r="D35" s="294"/>
      <c r="E35" s="312">
        <f t="shared" si="0"/>
        <v>0</v>
      </c>
    </row>
    <row r="36" spans="1:5" ht="12.75">
      <c r="A36" s="67" t="s">
        <v>471</v>
      </c>
      <c r="B36" t="s">
        <v>187</v>
      </c>
      <c r="C36" s="294"/>
      <c r="D36" s="294"/>
      <c r="E36" s="312">
        <f t="shared" si="0"/>
        <v>0</v>
      </c>
    </row>
    <row r="37" spans="1:5" ht="12.75">
      <c r="A37" s="496" t="s">
        <v>495</v>
      </c>
      <c r="B37" t="s">
        <v>187</v>
      </c>
      <c r="C37" s="294">
        <v>248035</v>
      </c>
      <c r="D37" s="294"/>
      <c r="E37" s="312">
        <f t="shared" si="0"/>
        <v>248035</v>
      </c>
    </row>
    <row r="38" spans="2:5" ht="12.75">
      <c r="B38" t="s">
        <v>187</v>
      </c>
      <c r="C38" s="294"/>
      <c r="D38" s="294"/>
      <c r="E38" s="251">
        <f t="shared" si="0"/>
        <v>0</v>
      </c>
    </row>
    <row r="39" spans="2:5" ht="12.75">
      <c r="B39" t="s">
        <v>187</v>
      </c>
      <c r="C39" s="293"/>
      <c r="D39" s="294"/>
      <c r="E39" s="251">
        <f t="shared" si="0"/>
        <v>0</v>
      </c>
    </row>
    <row r="40" spans="1:5" ht="12.75">
      <c r="A40" s="68" t="s">
        <v>204</v>
      </c>
      <c r="B40" t="s">
        <v>187</v>
      </c>
      <c r="C40" s="293"/>
      <c r="D40" s="293"/>
      <c r="E40" s="251">
        <f t="shared" si="0"/>
        <v>0</v>
      </c>
    </row>
    <row r="41" spans="1:5" ht="12.75">
      <c r="A41" s="496" t="s">
        <v>497</v>
      </c>
      <c r="B41" t="s">
        <v>187</v>
      </c>
      <c r="C41" s="293">
        <v>7705</v>
      </c>
      <c r="D41" s="293"/>
      <c r="E41" s="251">
        <f t="shared" si="0"/>
        <v>7705</v>
      </c>
    </row>
    <row r="42" spans="1:5" ht="12.75">
      <c r="A42" s="67"/>
      <c r="B42" t="s">
        <v>187</v>
      </c>
      <c r="C42" s="293"/>
      <c r="D42" s="293"/>
      <c r="E42" s="251">
        <f t="shared" si="0"/>
        <v>0</v>
      </c>
    </row>
    <row r="43" spans="1:5" ht="12.75">
      <c r="A43" s="67"/>
      <c r="B43" t="s">
        <v>187</v>
      </c>
      <c r="C43" s="293"/>
      <c r="D43" s="293"/>
      <c r="E43" s="251">
        <f t="shared" si="0"/>
        <v>0</v>
      </c>
    </row>
    <row r="44" spans="1:5" ht="12.75">
      <c r="A44" s="67"/>
      <c r="B44" t="s">
        <v>187</v>
      </c>
      <c r="C44" s="293"/>
      <c r="D44" s="293"/>
      <c r="E44" s="251">
        <f t="shared" si="0"/>
        <v>0</v>
      </c>
    </row>
    <row r="45" spans="1:5" ht="12.75">
      <c r="A45" s="67"/>
      <c r="B45" t="s">
        <v>187</v>
      </c>
      <c r="C45" s="293"/>
      <c r="D45" s="293"/>
      <c r="E45" s="278"/>
    </row>
    <row r="46" spans="1:5" ht="12.75">
      <c r="A46" s="70" t="s">
        <v>170</v>
      </c>
      <c r="B46" t="s">
        <v>189</v>
      </c>
      <c r="C46" s="251">
        <f>SUM(C17:C45)</f>
        <v>255740</v>
      </c>
      <c r="D46" s="251">
        <f>SUM(D17:D45)</f>
        <v>0</v>
      </c>
      <c r="E46" s="251">
        <f>SUM(E17:E45)</f>
        <v>255740</v>
      </c>
    </row>
    <row r="47" ht="12.75">
      <c r="A47" s="67"/>
    </row>
    <row r="48" ht="12.75">
      <c r="A48" s="67" t="s">
        <v>172</v>
      </c>
    </row>
    <row r="49" spans="1:5" ht="12.75">
      <c r="A49" s="274" t="str">
        <f>IF($E17&gt;$C$11,A17," ")</f>
        <v> </v>
      </c>
      <c r="B49" s="272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4" t="str">
        <f>IF($E18&gt;$C$11,A18," ")</f>
        <v> </v>
      </c>
      <c r="B50" s="272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4" t="str">
        <f>IF($E19&gt;$C$11,#REF!," ")</f>
        <v> </v>
      </c>
      <c r="B51" s="272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4" t="str">
        <f>IF($E20&gt;$C$11,#REF!," ")</f>
        <v> </v>
      </c>
      <c r="B52" s="272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4" t="str">
        <f t="shared" si="2"/>
        <v> </v>
      </c>
      <c r="B54" s="272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4" t="str">
        <f t="shared" si="2"/>
        <v> </v>
      </c>
      <c r="B55" s="272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4" t="str">
        <f t="shared" si="2"/>
        <v> </v>
      </c>
      <c r="B56" s="272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4" t="str">
        <f t="shared" si="2"/>
        <v> </v>
      </c>
      <c r="B57" s="272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4" t="str">
        <f t="shared" si="2"/>
        <v> </v>
      </c>
      <c r="B58" s="272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4" t="str">
        <f t="shared" si="2"/>
        <v> </v>
      </c>
      <c r="B59" s="272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4" t="str">
        <f>IF($E28&gt;$C$11,A28," ")</f>
        <v> </v>
      </c>
      <c r="B60" s="272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4" t="str">
        <f>IF($E29&gt;$C$11,#REF!," ")</f>
        <v> </v>
      </c>
      <c r="B61" s="272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4" t="str">
        <f>IF($E30&gt;$C$11,#REF!," ")</f>
        <v> </v>
      </c>
      <c r="B62" s="272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4" t="str">
        <f>IF($E31&gt;$C$11,A26," ")</f>
        <v> </v>
      </c>
      <c r="B63" s="272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4" t="str">
        <f>IF($E33&gt;$C$11,#REF!," ")</f>
        <v> </v>
      </c>
      <c r="B64" s="272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4" t="str">
        <f>IF($E34&gt;$C$11,#REF!," ")</f>
        <v> </v>
      </c>
      <c r="B65" s="272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4" t="str">
        <f>IF($E35&gt;$C$11,#REF!," ")</f>
        <v> </v>
      </c>
      <c r="B66" s="272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4" t="str">
        <f>IF($E36&gt;$C$11,A36," ")</f>
        <v> </v>
      </c>
      <c r="B67" s="272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4" t="str">
        <f>IF($E37&gt;$C$11,A37," ")</f>
        <v>Contributions in Aid of Construction</v>
      </c>
      <c r="B68" s="272"/>
      <c r="C68" s="251">
        <f t="shared" si="3"/>
        <v>248035</v>
      </c>
      <c r="D68" s="251">
        <f t="shared" si="3"/>
        <v>0</v>
      </c>
      <c r="E68" s="251">
        <f t="shared" si="3"/>
        <v>248035</v>
      </c>
    </row>
    <row r="69" spans="1:5" ht="12.75">
      <c r="A69" s="274" t="str">
        <f>IF($E38&gt;$C$11,A29," ")</f>
        <v> </v>
      </c>
      <c r="B69" s="272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4" t="str">
        <f>IF($E39&gt;$C$11,A35," ")</f>
        <v> </v>
      </c>
      <c r="B70" s="272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4" t="str">
        <f t="shared" si="4"/>
        <v> </v>
      </c>
      <c r="B72" s="272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4" t="str">
        <f t="shared" si="4"/>
        <v> </v>
      </c>
      <c r="B73" s="272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4" t="str">
        <f t="shared" si="4"/>
        <v> </v>
      </c>
      <c r="B74" s="272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4" t="str">
        <f t="shared" si="4"/>
        <v> </v>
      </c>
      <c r="B75" s="272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4" t="str">
        <f t="shared" si="4"/>
        <v> </v>
      </c>
      <c r="B76" s="273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5" t="s">
        <v>144</v>
      </c>
      <c r="B77" s="272"/>
      <c r="C77" s="251">
        <f>SUM(C49:C75)</f>
        <v>248035</v>
      </c>
      <c r="D77" s="251">
        <f>SUM(D49:D75)</f>
        <v>0</v>
      </c>
      <c r="E77" s="251">
        <f>SUM(E49:E75)</f>
        <v>248035</v>
      </c>
    </row>
    <row r="78" spans="1:5" ht="12.75">
      <c r="A78" s="275" t="s">
        <v>203</v>
      </c>
      <c r="B78" s="276"/>
      <c r="C78" s="314">
        <f>C46-C77</f>
        <v>7705</v>
      </c>
      <c r="D78" s="314">
        <f>D46-D77</f>
        <v>0</v>
      </c>
      <c r="E78" s="314">
        <f>E46-E77</f>
        <v>7705</v>
      </c>
    </row>
    <row r="79" spans="1:5" ht="12.75">
      <c r="A79" s="275" t="s">
        <v>170</v>
      </c>
      <c r="B79" s="276"/>
      <c r="C79" s="314">
        <f>C77+C78</f>
        <v>255740</v>
      </c>
      <c r="D79" s="314">
        <f>D77+D78</f>
        <v>0</v>
      </c>
      <c r="E79" s="314">
        <f>E77+E78</f>
        <v>255740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3"/>
      <c r="D82" s="293"/>
      <c r="E82" s="251">
        <f>C82-D82</f>
        <v>0</v>
      </c>
    </row>
    <row r="83" spans="1:5" ht="12.75">
      <c r="A83" s="71" t="s">
        <v>152</v>
      </c>
      <c r="B83" s="8" t="s">
        <v>188</v>
      </c>
      <c r="C83" s="293"/>
      <c r="D83" s="293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3"/>
      <c r="D84" s="293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3"/>
      <c r="D85" s="293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3"/>
      <c r="D86" s="293"/>
      <c r="E86" s="251">
        <f t="shared" si="5"/>
        <v>0</v>
      </c>
    </row>
    <row r="87" spans="1:5" ht="12.75">
      <c r="A87" s="67" t="s">
        <v>376</v>
      </c>
      <c r="B87" s="8" t="s">
        <v>188</v>
      </c>
      <c r="C87" s="293"/>
      <c r="D87" s="293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3"/>
      <c r="D88" s="293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3"/>
      <c r="D89" s="293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3"/>
      <c r="D90" s="293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3"/>
      <c r="D91" s="293"/>
      <c r="E91" s="251">
        <f t="shared" si="5"/>
        <v>0</v>
      </c>
    </row>
    <row r="92" spans="1:5" ht="12.75">
      <c r="A92" s="496" t="s">
        <v>495</v>
      </c>
      <c r="B92" s="8" t="s">
        <v>188</v>
      </c>
      <c r="C92" s="293">
        <v>248035</v>
      </c>
      <c r="D92" s="293"/>
      <c r="E92" s="251">
        <f t="shared" si="5"/>
        <v>248035</v>
      </c>
    </row>
    <row r="93" spans="1:5" ht="12.75">
      <c r="A93" s="67"/>
      <c r="B93" s="8" t="s">
        <v>188</v>
      </c>
      <c r="C93" s="293"/>
      <c r="D93" s="293"/>
      <c r="E93" s="251">
        <f t="shared" si="5"/>
        <v>0</v>
      </c>
    </row>
    <row r="94" spans="1:5" ht="12.75">
      <c r="A94" s="67"/>
      <c r="B94" s="8" t="s">
        <v>188</v>
      </c>
      <c r="C94" s="293"/>
      <c r="D94" s="293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3"/>
      <c r="D95" s="293"/>
      <c r="E95" s="251">
        <f t="shared" si="5"/>
        <v>0</v>
      </c>
    </row>
    <row r="96" spans="1:5" ht="12.75">
      <c r="A96" s="67" t="s">
        <v>472</v>
      </c>
      <c r="B96" s="8" t="s">
        <v>188</v>
      </c>
      <c r="C96" s="293"/>
      <c r="D96" s="293"/>
      <c r="E96" s="251">
        <f t="shared" si="5"/>
        <v>0</v>
      </c>
    </row>
    <row r="97" spans="1:5" ht="12.75">
      <c r="A97" s="67"/>
      <c r="B97" s="8" t="s">
        <v>188</v>
      </c>
      <c r="C97" s="293"/>
      <c r="D97" s="293"/>
      <c r="E97" s="251">
        <f t="shared" si="5"/>
        <v>0</v>
      </c>
    </row>
    <row r="98" spans="1:5" ht="12.75">
      <c r="A98" s="67"/>
      <c r="B98" s="8" t="s">
        <v>188</v>
      </c>
      <c r="C98" s="293"/>
      <c r="D98" s="293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248035</v>
      </c>
      <c r="D99" s="251">
        <f>SUM(D82:D98)</f>
        <v>0</v>
      </c>
      <c r="E99" s="251">
        <f>SUM(E82:E98)</f>
        <v>248035</v>
      </c>
    </row>
    <row r="100" ht="12.75">
      <c r="A100" s="67"/>
    </row>
    <row r="101" ht="12.75">
      <c r="A101" s="67" t="s">
        <v>174</v>
      </c>
    </row>
    <row r="102" spans="1:5" ht="12.75">
      <c r="A102" s="274" t="str">
        <f aca="true" t="shared" si="6" ref="A102:A111">IF($E82&gt;$C$11,A82," ")</f>
        <v> </v>
      </c>
      <c r="B102" s="272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4" t="str">
        <f t="shared" si="6"/>
        <v> </v>
      </c>
      <c r="B103" s="272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4" t="str">
        <f t="shared" si="6"/>
        <v> </v>
      </c>
      <c r="B104" s="272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4" t="str">
        <f t="shared" si="6"/>
        <v> </v>
      </c>
      <c r="B105" s="272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4" t="str">
        <f t="shared" si="6"/>
        <v> </v>
      </c>
      <c r="B106" s="272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4" t="str">
        <f t="shared" si="6"/>
        <v> </v>
      </c>
      <c r="B107" s="272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4" t="str">
        <f t="shared" si="6"/>
        <v> </v>
      </c>
      <c r="B108" s="272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4" t="str">
        <f t="shared" si="6"/>
        <v> </v>
      </c>
      <c r="B109" s="272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4" t="str">
        <f t="shared" si="6"/>
        <v> </v>
      </c>
      <c r="B110" s="272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4" t="str">
        <f t="shared" si="6"/>
        <v> </v>
      </c>
      <c r="B111" s="272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4" t="str">
        <f>IF($E92&gt;$C$11,A92," ")</f>
        <v>Contributions in Aid of Construction</v>
      </c>
      <c r="B112" s="272"/>
      <c r="C112" s="251">
        <f t="shared" si="7"/>
        <v>248035</v>
      </c>
      <c r="D112" s="251">
        <f t="shared" si="7"/>
        <v>0</v>
      </c>
      <c r="E112" s="251">
        <f t="shared" si="7"/>
        <v>248035</v>
      </c>
    </row>
    <row r="113" spans="1:5" ht="12.75">
      <c r="A113" s="274" t="str">
        <f>IF($E93&gt;$C$11,#REF!," ")</f>
        <v> </v>
      </c>
      <c r="B113" s="272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4" t="str">
        <f>IF($E94&gt;$C$11,A94," ")</f>
        <v> </v>
      </c>
      <c r="B114" s="272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4" t="str">
        <f>IF($E95&gt;$C$11,A93," ")</f>
        <v> </v>
      </c>
      <c r="B115" s="272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4" t="str">
        <f>IF($E96&gt;$C$11,A96," ")</f>
        <v> </v>
      </c>
      <c r="B116" s="272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4" t="str">
        <f>IF($E97&gt;$C$11,A97," ")</f>
        <v> </v>
      </c>
      <c r="B117" s="272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4" t="str">
        <f>IF($E98&gt;$C$11,A98," ")</f>
        <v> </v>
      </c>
      <c r="B118" s="272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7" t="s">
        <v>202</v>
      </c>
      <c r="B119" s="272"/>
      <c r="C119" s="251">
        <f>SUM(C102:C118)</f>
        <v>248035</v>
      </c>
      <c r="D119" s="251">
        <f>SUM(D102:D118)</f>
        <v>0</v>
      </c>
      <c r="E119" s="251">
        <f>SUM(E102:E118)</f>
        <v>248035</v>
      </c>
    </row>
    <row r="120" spans="1:5" ht="12.75">
      <c r="A120" s="277" t="s">
        <v>201</v>
      </c>
      <c r="B120" s="272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7" t="s">
        <v>171</v>
      </c>
      <c r="B121" s="272"/>
      <c r="C121" s="251">
        <f>C119+C120</f>
        <v>248035</v>
      </c>
      <c r="D121" s="251">
        <f>D119+D120</f>
        <v>0</v>
      </c>
      <c r="E121" s="251">
        <f>E119+E120</f>
        <v>248035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75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1"/>
  <sheetViews>
    <sheetView zoomScalePageLayoutView="0" workbookViewId="0" topLeftCell="A1">
      <pane xSplit="1" ySplit="8" topLeftCell="B40" activePane="bottomRight" state="frozen"/>
      <selection pane="topLeft" activeCell="A5" sqref="A5"/>
      <selection pane="topRight" activeCell="A5" sqref="A5"/>
      <selection pane="bottomLeft" activeCell="A5" sqref="A5"/>
      <selection pane="bottomRight" activeCell="C62" sqref="C6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 EB-2011-XXXX</v>
      </c>
    </row>
    <row r="3" spans="1:5" ht="12.75">
      <c r="A3" s="2" t="s">
        <v>384</v>
      </c>
      <c r="E3" s="92"/>
    </row>
    <row r="4" spans="1:6" ht="15.75">
      <c r="A4" s="463" t="s">
        <v>444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5" t="s">
        <v>385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/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Innisfil Hydro Distribution Systems Limited</v>
      </c>
      <c r="B8" s="8"/>
      <c r="C8" s="8"/>
      <c r="D8" s="8"/>
      <c r="E8" s="21" t="str">
        <f>REGINFO!E1</f>
        <v>Version 2009.1</v>
      </c>
      <c r="F8" s="8"/>
    </row>
    <row r="9" spans="2:6" ht="12.75">
      <c r="B9" s="20"/>
      <c r="C9" s="25"/>
      <c r="D9" s="25"/>
      <c r="E9" s="25"/>
      <c r="F9" s="20"/>
    </row>
    <row r="10" spans="1:6" ht="12.75">
      <c r="A10" s="35" t="str">
        <f>REGINFO!A4</f>
        <v>Reporting period:  2005</v>
      </c>
      <c r="B10" s="20"/>
      <c r="C10" s="25"/>
      <c r="D10" s="25"/>
      <c r="E10" s="25"/>
      <c r="F10" s="20"/>
    </row>
    <row r="11" spans="1:6" ht="12.75">
      <c r="A11" s="2" t="s">
        <v>122</v>
      </c>
      <c r="B11" s="20"/>
      <c r="C11" s="270">
        <f>TAXREC!C11</f>
        <v>365</v>
      </c>
      <c r="D11" s="60"/>
      <c r="E11" s="25"/>
      <c r="F11" s="20"/>
    </row>
    <row r="12" spans="1:6" ht="13.5" thickBot="1">
      <c r="A12" s="2"/>
      <c r="B12" s="20"/>
      <c r="C12" s="234"/>
      <c r="D12" s="25"/>
      <c r="E12" s="25"/>
      <c r="F12" s="20"/>
    </row>
    <row r="13" spans="1:6" ht="13.5" thickTop="1">
      <c r="A13" s="7"/>
      <c r="B13" s="9"/>
      <c r="C13" s="24"/>
      <c r="D13" s="24"/>
      <c r="E13" s="24"/>
      <c r="F13" s="20"/>
    </row>
    <row r="14" spans="1:6" ht="12.75">
      <c r="A14" s="2"/>
      <c r="B14" s="20"/>
      <c r="C14" s="90"/>
      <c r="D14" s="25"/>
      <c r="E14" s="25"/>
      <c r="F14" s="20"/>
    </row>
    <row r="15" spans="1:6" ht="12.75">
      <c r="A15" s="36" t="s">
        <v>177</v>
      </c>
      <c r="B15" s="20"/>
      <c r="C15" s="25"/>
      <c r="D15" s="25"/>
      <c r="E15" s="26"/>
      <c r="F15" s="8"/>
    </row>
    <row r="16" spans="1:6" ht="12.75">
      <c r="A16" s="2" t="s">
        <v>123</v>
      </c>
      <c r="B16" s="20"/>
      <c r="C16" s="25"/>
      <c r="D16" s="25"/>
      <c r="E16" s="26"/>
      <c r="F16" s="8"/>
    </row>
    <row r="18" spans="1:5" ht="12.75">
      <c r="A18" s="67" t="s">
        <v>133</v>
      </c>
      <c r="B18" t="s">
        <v>187</v>
      </c>
      <c r="C18" s="294"/>
      <c r="D18" s="294"/>
      <c r="E18" s="312">
        <f aca="true" t="shared" si="0" ref="E18:E44">C18-D18</f>
        <v>0</v>
      </c>
    </row>
    <row r="19" spans="1:5" ht="12.75">
      <c r="A19" t="s">
        <v>387</v>
      </c>
      <c r="B19" t="s">
        <v>187</v>
      </c>
      <c r="C19" s="294"/>
      <c r="D19" s="294"/>
      <c r="E19" s="312">
        <f t="shared" si="0"/>
        <v>0</v>
      </c>
    </row>
    <row r="20" spans="1:5" ht="12.75">
      <c r="A20" t="s">
        <v>452</v>
      </c>
      <c r="B20" t="s">
        <v>187</v>
      </c>
      <c r="C20" s="294"/>
      <c r="D20" s="294"/>
      <c r="E20" s="312">
        <f t="shared" si="0"/>
        <v>0</v>
      </c>
    </row>
    <row r="21" spans="1:5" ht="12.75">
      <c r="A21" s="67" t="s">
        <v>390</v>
      </c>
      <c r="B21" t="s">
        <v>187</v>
      </c>
      <c r="C21" s="294"/>
      <c r="D21" s="313"/>
      <c r="E21" s="312">
        <f t="shared" si="0"/>
        <v>0</v>
      </c>
    </row>
    <row r="22" spans="1:5" ht="12.75">
      <c r="A22" s="67" t="s">
        <v>391</v>
      </c>
      <c r="B22" t="s">
        <v>187</v>
      </c>
      <c r="C22" s="294"/>
      <c r="D22" s="294"/>
      <c r="E22" s="312">
        <f t="shared" si="0"/>
        <v>0</v>
      </c>
    </row>
    <row r="23" spans="1:5" ht="12.75">
      <c r="A23" s="67" t="s">
        <v>453</v>
      </c>
      <c r="B23" t="s">
        <v>187</v>
      </c>
      <c r="C23" s="294"/>
      <c r="D23" s="294"/>
      <c r="E23" s="312">
        <f t="shared" si="0"/>
        <v>0</v>
      </c>
    </row>
    <row r="24" spans="1:5" ht="12.75">
      <c r="A24" s="67" t="s">
        <v>125</v>
      </c>
      <c r="B24" t="s">
        <v>187</v>
      </c>
      <c r="C24" s="294"/>
      <c r="D24" s="294"/>
      <c r="E24" s="312">
        <f t="shared" si="0"/>
        <v>0</v>
      </c>
    </row>
    <row r="25" spans="1:5" ht="12.75">
      <c r="A25" s="67" t="s">
        <v>134</v>
      </c>
      <c r="B25" t="s">
        <v>187</v>
      </c>
      <c r="C25" s="294"/>
      <c r="D25" s="294"/>
      <c r="E25" s="312">
        <f t="shared" si="0"/>
        <v>0</v>
      </c>
    </row>
    <row r="26" spans="1:5" ht="12.75">
      <c r="A26" s="67" t="s">
        <v>437</v>
      </c>
      <c r="B26" t="s">
        <v>187</v>
      </c>
      <c r="C26" s="294"/>
      <c r="D26" s="294"/>
      <c r="E26" s="312">
        <f t="shared" si="0"/>
        <v>0</v>
      </c>
    </row>
    <row r="27" spans="1:5" ht="12.75">
      <c r="A27" s="67" t="s">
        <v>389</v>
      </c>
      <c r="B27" t="s">
        <v>187</v>
      </c>
      <c r="C27" s="294"/>
      <c r="D27" s="294"/>
      <c r="E27" s="312">
        <f t="shared" si="0"/>
        <v>0</v>
      </c>
    </row>
    <row r="28" spans="1:5" ht="12.75">
      <c r="A28" s="67" t="s">
        <v>136</v>
      </c>
      <c r="B28" t="s">
        <v>187</v>
      </c>
      <c r="C28" s="294"/>
      <c r="D28" s="294"/>
      <c r="E28" s="312">
        <f t="shared" si="0"/>
        <v>0</v>
      </c>
    </row>
    <row r="29" spans="1:5" ht="12.75">
      <c r="A29" s="67" t="s">
        <v>388</v>
      </c>
      <c r="B29" t="s">
        <v>187</v>
      </c>
      <c r="C29" s="294"/>
      <c r="D29" s="294"/>
      <c r="E29" s="312">
        <f t="shared" si="0"/>
        <v>0</v>
      </c>
    </row>
    <row r="30" spans="1:5" ht="12.75">
      <c r="A30" s="67" t="s">
        <v>192</v>
      </c>
      <c r="B30" t="s">
        <v>187</v>
      </c>
      <c r="C30" s="294"/>
      <c r="D30" s="294"/>
      <c r="E30" s="312">
        <f t="shared" si="0"/>
        <v>0</v>
      </c>
    </row>
    <row r="31" spans="1:5" ht="12.75">
      <c r="A31" s="67" t="s">
        <v>432</v>
      </c>
      <c r="B31" t="s">
        <v>187</v>
      </c>
      <c r="C31" s="294"/>
      <c r="D31" s="294"/>
      <c r="E31" s="312">
        <f t="shared" si="0"/>
        <v>0</v>
      </c>
    </row>
    <row r="32" spans="1:5" ht="12.75">
      <c r="A32" s="67" t="s">
        <v>433</v>
      </c>
      <c r="B32" t="s">
        <v>187</v>
      </c>
      <c r="C32" s="294"/>
      <c r="D32" s="294"/>
      <c r="E32" s="312">
        <f t="shared" si="0"/>
        <v>0</v>
      </c>
    </row>
    <row r="33" spans="1:5" ht="12.75">
      <c r="A33" s="67" t="s">
        <v>449</v>
      </c>
      <c r="B33" t="s">
        <v>187</v>
      </c>
      <c r="C33" s="294"/>
      <c r="D33" s="294"/>
      <c r="E33" s="312">
        <f t="shared" si="0"/>
        <v>0</v>
      </c>
    </row>
    <row r="34" spans="1:5" ht="12.75">
      <c r="A34" s="81" t="s">
        <v>450</v>
      </c>
      <c r="B34" t="s">
        <v>187</v>
      </c>
      <c r="C34" s="294">
        <v>930</v>
      </c>
      <c r="D34" s="294"/>
      <c r="E34" s="312">
        <f t="shared" si="0"/>
        <v>930</v>
      </c>
    </row>
    <row r="35" spans="1:5" ht="12.75">
      <c r="A35" s="67" t="s">
        <v>434</v>
      </c>
      <c r="B35" t="s">
        <v>187</v>
      </c>
      <c r="C35" s="294"/>
      <c r="D35" s="294"/>
      <c r="E35" s="312">
        <f t="shared" si="0"/>
        <v>0</v>
      </c>
    </row>
    <row r="36" spans="1:5" ht="12.75">
      <c r="A36" s="67" t="s">
        <v>435</v>
      </c>
      <c r="B36" t="s">
        <v>187</v>
      </c>
      <c r="C36" s="294"/>
      <c r="D36" s="294"/>
      <c r="E36" s="312">
        <f t="shared" si="0"/>
        <v>0</v>
      </c>
    </row>
    <row r="37" spans="1:5" ht="12.75">
      <c r="A37" s="81" t="s">
        <v>392</v>
      </c>
      <c r="B37" t="s">
        <v>187</v>
      </c>
      <c r="C37" s="294">
        <v>56040</v>
      </c>
      <c r="D37" s="294"/>
      <c r="E37" s="312">
        <f t="shared" si="0"/>
        <v>56040</v>
      </c>
    </row>
    <row r="38" spans="2:5" ht="12.75">
      <c r="B38" t="s">
        <v>187</v>
      </c>
      <c r="C38" s="294"/>
      <c r="D38" s="294"/>
      <c r="E38" s="312">
        <f t="shared" si="0"/>
        <v>0</v>
      </c>
    </row>
    <row r="39" spans="1:5" ht="12.75">
      <c r="A39" s="81" t="s">
        <v>386</v>
      </c>
      <c r="B39" t="s">
        <v>187</v>
      </c>
      <c r="C39" s="294">
        <v>43357</v>
      </c>
      <c r="D39" s="294"/>
      <c r="E39" s="312">
        <f t="shared" si="0"/>
        <v>43357</v>
      </c>
    </row>
    <row r="40" spans="1:5" ht="12.75">
      <c r="A40" s="67" t="s">
        <v>456</v>
      </c>
      <c r="B40" t="s">
        <v>187</v>
      </c>
      <c r="C40" s="294"/>
      <c r="D40" s="294"/>
      <c r="E40" s="312">
        <f t="shared" si="0"/>
        <v>0</v>
      </c>
    </row>
    <row r="41" spans="2:5" ht="12.75">
      <c r="B41" t="s">
        <v>187</v>
      </c>
      <c r="C41" s="294"/>
      <c r="D41" s="294"/>
      <c r="E41" s="312">
        <f t="shared" si="0"/>
        <v>0</v>
      </c>
    </row>
    <row r="42" spans="1:5" ht="12.75">
      <c r="A42" s="68" t="s">
        <v>204</v>
      </c>
      <c r="B42" t="s">
        <v>187</v>
      </c>
      <c r="C42" s="294"/>
      <c r="D42" s="294"/>
      <c r="E42" s="312">
        <f t="shared" si="0"/>
        <v>0</v>
      </c>
    </row>
    <row r="43" spans="1:5" ht="12.75">
      <c r="A43" t="s">
        <v>502</v>
      </c>
      <c r="B43" t="s">
        <v>187</v>
      </c>
      <c r="C43" s="293">
        <v>25608</v>
      </c>
      <c r="D43" s="293"/>
      <c r="E43" s="251">
        <f t="shared" si="0"/>
        <v>25608</v>
      </c>
    </row>
    <row r="44" spans="2:5" ht="12.75">
      <c r="B44" t="s">
        <v>187</v>
      </c>
      <c r="C44" s="293"/>
      <c r="D44" s="293"/>
      <c r="E44" s="251">
        <f t="shared" si="0"/>
        <v>0</v>
      </c>
    </row>
    <row r="45" spans="1:5" ht="12.75">
      <c r="A45" s="67"/>
      <c r="B45" t="s">
        <v>187</v>
      </c>
      <c r="C45" s="293"/>
      <c r="D45" s="293"/>
      <c r="E45" s="278"/>
    </row>
    <row r="46" spans="1:5" ht="12.75">
      <c r="A46" s="449" t="s">
        <v>396</v>
      </c>
      <c r="B46" t="s">
        <v>189</v>
      </c>
      <c r="C46" s="251">
        <f>SUM(C18:C45)</f>
        <v>125935</v>
      </c>
      <c r="D46" s="251">
        <f>SUM(D18:D45)</f>
        <v>0</v>
      </c>
      <c r="E46" s="251">
        <f>SUM(E18:E45)</f>
        <v>125935</v>
      </c>
    </row>
    <row r="47" ht="12.75">
      <c r="A47" s="67"/>
    </row>
    <row r="48" ht="12.75">
      <c r="A48" s="81" t="s">
        <v>145</v>
      </c>
    </row>
    <row r="50" spans="1:5" ht="12.75">
      <c r="A50" s="71" t="s">
        <v>387</v>
      </c>
      <c r="B50" s="8" t="s">
        <v>188</v>
      </c>
      <c r="C50" s="293"/>
      <c r="D50" s="293"/>
      <c r="E50" s="251">
        <f aca="true" t="shared" si="1" ref="E50:E60">C50-D50</f>
        <v>0</v>
      </c>
    </row>
    <row r="51" spans="1:5" ht="12.75">
      <c r="A51" s="67" t="s">
        <v>452</v>
      </c>
      <c r="B51" s="8" t="s">
        <v>188</v>
      </c>
      <c r="C51" s="293"/>
      <c r="D51" s="293"/>
      <c r="E51" s="251">
        <f t="shared" si="1"/>
        <v>0</v>
      </c>
    </row>
    <row r="52" spans="1:5" ht="12.75">
      <c r="A52" t="s">
        <v>388</v>
      </c>
      <c r="B52" s="8" t="s">
        <v>188</v>
      </c>
      <c r="C52" s="293"/>
      <c r="D52" s="293"/>
      <c r="E52" s="251">
        <f t="shared" si="1"/>
        <v>0</v>
      </c>
    </row>
    <row r="53" spans="1:5" ht="12.75">
      <c r="A53" t="s">
        <v>436</v>
      </c>
      <c r="B53" s="8" t="s">
        <v>188</v>
      </c>
      <c r="C53" s="293">
        <v>2504</v>
      </c>
      <c r="D53" s="293"/>
      <c r="E53" s="251">
        <f t="shared" si="1"/>
        <v>2504</v>
      </c>
    </row>
    <row r="54" spans="1:5" ht="12.75">
      <c r="A54" s="67" t="s">
        <v>443</v>
      </c>
      <c r="B54" s="8" t="s">
        <v>188</v>
      </c>
      <c r="C54" s="293"/>
      <c r="D54" s="293"/>
      <c r="E54" s="251">
        <f t="shared" si="1"/>
        <v>0</v>
      </c>
    </row>
    <row r="55" spans="1:5" ht="12.75">
      <c r="A55" s="67" t="s">
        <v>455</v>
      </c>
      <c r="B55" s="8" t="s">
        <v>188</v>
      </c>
      <c r="C55" s="293"/>
      <c r="D55" s="293"/>
      <c r="E55" s="251">
        <f t="shared" si="1"/>
        <v>0</v>
      </c>
    </row>
    <row r="56" spans="1:5" ht="12.75">
      <c r="A56" s="2" t="s">
        <v>451</v>
      </c>
      <c r="B56" s="8" t="s">
        <v>188</v>
      </c>
      <c r="C56" s="293"/>
      <c r="D56" s="293"/>
      <c r="E56" s="251">
        <f t="shared" si="1"/>
        <v>0</v>
      </c>
    </row>
    <row r="57" spans="1:5" ht="12.75">
      <c r="A57" s="67" t="s">
        <v>454</v>
      </c>
      <c r="B57" s="8" t="s">
        <v>188</v>
      </c>
      <c r="C57" s="293">
        <v>1006</v>
      </c>
      <c r="D57" s="293"/>
      <c r="E57" s="251">
        <f t="shared" si="1"/>
        <v>1006</v>
      </c>
    </row>
    <row r="58" spans="1:5" ht="12.75">
      <c r="A58" s="67"/>
      <c r="B58" s="8" t="s">
        <v>188</v>
      </c>
      <c r="C58" s="293"/>
      <c r="D58" s="293"/>
      <c r="E58" s="251">
        <f t="shared" si="1"/>
        <v>0</v>
      </c>
    </row>
    <row r="59" spans="1:5" ht="12.75">
      <c r="A59" s="467" t="s">
        <v>393</v>
      </c>
      <c r="B59" s="8" t="s">
        <v>188</v>
      </c>
      <c r="C59" s="251">
        <f>TAXCALC!G72</f>
        <v>47568.93</v>
      </c>
      <c r="D59" s="293"/>
      <c r="E59" s="251">
        <f t="shared" si="1"/>
        <v>47568.93</v>
      </c>
    </row>
    <row r="60" spans="2:5" ht="12.75">
      <c r="B60" s="8" t="s">
        <v>188</v>
      </c>
      <c r="C60" s="293"/>
      <c r="D60" s="293"/>
      <c r="E60" s="251">
        <f t="shared" si="1"/>
        <v>0</v>
      </c>
    </row>
    <row r="61" spans="1:5" ht="12.75">
      <c r="A61" s="467" t="s">
        <v>386</v>
      </c>
      <c r="B61" s="8" t="s">
        <v>188</v>
      </c>
      <c r="C61" s="293">
        <f>798552</f>
        <v>798552</v>
      </c>
      <c r="D61" s="293"/>
      <c r="E61" s="251">
        <f aca="true" t="shared" si="2" ref="E61:E71">C61-D61</f>
        <v>798552</v>
      </c>
    </row>
    <row r="62" spans="2:5" ht="12.75">
      <c r="B62" s="8" t="s">
        <v>188</v>
      </c>
      <c r="C62" s="293"/>
      <c r="D62" s="293"/>
      <c r="E62" s="251">
        <f t="shared" si="2"/>
        <v>0</v>
      </c>
    </row>
    <row r="63" spans="2:5" ht="12.75">
      <c r="B63" s="8" t="s">
        <v>188</v>
      </c>
      <c r="C63" s="293"/>
      <c r="D63" s="293"/>
      <c r="E63" s="251">
        <f t="shared" si="2"/>
        <v>0</v>
      </c>
    </row>
    <row r="64" spans="2:5" ht="12.75">
      <c r="B64" s="8" t="s">
        <v>188</v>
      </c>
      <c r="C64" s="293"/>
      <c r="D64" s="293"/>
      <c r="E64" s="251">
        <f t="shared" si="2"/>
        <v>0</v>
      </c>
    </row>
    <row r="65" spans="2:5" ht="12.75">
      <c r="B65" s="8" t="s">
        <v>188</v>
      </c>
      <c r="C65" s="293"/>
      <c r="D65" s="293"/>
      <c r="E65" s="251">
        <f t="shared" si="2"/>
        <v>0</v>
      </c>
    </row>
    <row r="66" spans="1:5" ht="12.75">
      <c r="A66" s="67"/>
      <c r="B66" s="8" t="s">
        <v>188</v>
      </c>
      <c r="C66" s="293"/>
      <c r="D66" s="293"/>
      <c r="E66" s="251">
        <f t="shared" si="2"/>
        <v>0</v>
      </c>
    </row>
    <row r="67" spans="1:5" ht="12.75">
      <c r="A67" s="68" t="s">
        <v>205</v>
      </c>
      <c r="B67" s="8" t="s">
        <v>188</v>
      </c>
      <c r="C67" s="293"/>
      <c r="D67" s="293"/>
      <c r="E67" s="251">
        <f t="shared" si="2"/>
        <v>0</v>
      </c>
    </row>
    <row r="68" spans="1:5" ht="12.75">
      <c r="A68" s="67"/>
      <c r="B68" s="8" t="s">
        <v>188</v>
      </c>
      <c r="C68" s="293"/>
      <c r="D68" s="293"/>
      <c r="E68" s="251">
        <f t="shared" si="2"/>
        <v>0</v>
      </c>
    </row>
    <row r="69" spans="1:5" ht="12.75">
      <c r="A69" s="67"/>
      <c r="B69" s="8" t="s">
        <v>188</v>
      </c>
      <c r="C69" s="293"/>
      <c r="D69" s="293"/>
      <c r="E69" s="251">
        <f t="shared" si="2"/>
        <v>0</v>
      </c>
    </row>
    <row r="70" spans="1:5" ht="12.75">
      <c r="A70" s="67"/>
      <c r="B70" s="8" t="s">
        <v>188</v>
      </c>
      <c r="C70" s="293"/>
      <c r="D70" s="293"/>
      <c r="E70" s="251">
        <f t="shared" si="2"/>
        <v>0</v>
      </c>
    </row>
    <row r="71" spans="1:5" ht="12.75">
      <c r="A71" s="67"/>
      <c r="B71" s="8" t="s">
        <v>188</v>
      </c>
      <c r="C71" s="293"/>
      <c r="D71" s="293"/>
      <c r="E71" s="278">
        <f t="shared" si="2"/>
        <v>0</v>
      </c>
    </row>
    <row r="72" spans="1:5" ht="12.75">
      <c r="A72" s="448" t="s">
        <v>395</v>
      </c>
      <c r="B72" s="8" t="s">
        <v>189</v>
      </c>
      <c r="C72" s="251">
        <f>SUM(C50:C71)</f>
        <v>849630.93</v>
      </c>
      <c r="D72" s="251">
        <f>SUM(D50:D71)</f>
        <v>0</v>
      </c>
      <c r="E72" s="251">
        <f>SUM(E50:E71)</f>
        <v>849630.93</v>
      </c>
    </row>
    <row r="73" ht="12.75">
      <c r="A73" s="67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9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27">
      <selection activeCell="C58" sqref="C58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4" t="str">
        <f>REGINFO!A1</f>
        <v>PILs TAXES  EB-2011-XXXX</v>
      </c>
      <c r="B1" s="385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3" t="s">
        <v>307</v>
      </c>
      <c r="B3" s="342"/>
      <c r="C3" s="342"/>
      <c r="D3" s="342"/>
      <c r="E3" s="342"/>
      <c r="F3" s="344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Innisfil Hydro Distribution Systems Limited</v>
      </c>
      <c r="B4" s="342"/>
      <c r="C4" s="342"/>
      <c r="D4" s="342"/>
      <c r="E4" s="342"/>
      <c r="F4" s="342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2005</v>
      </c>
      <c r="B5" s="342"/>
      <c r="C5" s="342"/>
      <c r="D5" s="342"/>
      <c r="E5" s="342"/>
      <c r="F5" s="342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3"/>
      <c r="B7" s="342"/>
      <c r="C7" s="342"/>
      <c r="D7" s="342"/>
      <c r="E7" s="342"/>
      <c r="F7" s="410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8" t="s">
        <v>479</v>
      </c>
      <c r="B8" s="509"/>
      <c r="C8" s="509"/>
      <c r="D8" s="509"/>
      <c r="E8" s="342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0" t="s">
        <v>112</v>
      </c>
      <c r="B9" s="325"/>
      <c r="C9" s="373">
        <v>0</v>
      </c>
      <c r="D9" s="373"/>
      <c r="E9" s="373">
        <v>400001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1" t="s">
        <v>481</v>
      </c>
      <c r="B10" s="326"/>
      <c r="C10" s="375" t="s">
        <v>111</v>
      </c>
      <c r="D10" s="375"/>
      <c r="E10" s="375" t="s">
        <v>111</v>
      </c>
      <c r="F10" s="376" t="s">
        <v>475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1"/>
      <c r="B11" s="326" t="s">
        <v>116</v>
      </c>
      <c r="C11" s="377">
        <v>400000</v>
      </c>
      <c r="D11" s="377"/>
      <c r="E11" s="377">
        <v>1128000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2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300</v>
      </c>
      <c r="B13" s="409">
        <v>2005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3" t="s">
        <v>299</v>
      </c>
      <c r="B14" s="245"/>
      <c r="C14" s="327">
        <v>0.1312</v>
      </c>
      <c r="D14" s="327"/>
      <c r="E14" s="328">
        <v>0.1775</v>
      </c>
      <c r="F14" s="328">
        <v>0.2212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3" t="s">
        <v>304</v>
      </c>
      <c r="B15" s="245"/>
      <c r="C15" s="329">
        <v>0.055</v>
      </c>
      <c r="D15" s="329"/>
      <c r="E15" s="330">
        <v>0.0975</v>
      </c>
      <c r="F15" s="330">
        <v>0.14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3" t="s">
        <v>260</v>
      </c>
      <c r="B16" s="245"/>
      <c r="C16" s="331">
        <f>SUM(C14:C15)</f>
        <v>0.1862</v>
      </c>
      <c r="D16" s="331"/>
      <c r="E16" s="332">
        <f>SUM(E14:E15)</f>
        <v>0.275</v>
      </c>
      <c r="F16" s="332">
        <f>SUM(F14:F15)</f>
        <v>0.3612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5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109</v>
      </c>
      <c r="B18" s="244"/>
      <c r="C18" s="333">
        <v>0.003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110</v>
      </c>
      <c r="B19" s="238"/>
      <c r="C19" s="334">
        <v>0.00175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113</v>
      </c>
      <c r="B20" s="238"/>
      <c r="C20" s="335">
        <v>0.0112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4" t="s">
        <v>332</v>
      </c>
      <c r="B21" s="406" t="s">
        <v>480</v>
      </c>
      <c r="C21" s="361">
        <v>7425000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4" t="s">
        <v>333</v>
      </c>
      <c r="B22" s="407" t="s">
        <v>474</v>
      </c>
      <c r="C22" s="362">
        <v>50000000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2" t="s">
        <v>486</v>
      </c>
      <c r="B23" s="503"/>
      <c r="C23" s="503"/>
      <c r="D23" s="503"/>
      <c r="E23" s="503"/>
      <c r="F23" s="503"/>
      <c r="G23" s="438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2"/>
      <c r="E25" s="342"/>
      <c r="F25" s="410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8" t="s">
        <v>482</v>
      </c>
      <c r="B26" s="509"/>
      <c r="C26" s="509"/>
      <c r="D26" s="509"/>
      <c r="E26" s="509"/>
      <c r="F26" s="509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0" t="s">
        <v>112</v>
      </c>
      <c r="B27" s="325"/>
      <c r="C27" s="367">
        <v>0</v>
      </c>
      <c r="D27" s="367">
        <v>250001</v>
      </c>
      <c r="E27" s="367">
        <v>400001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1" t="s">
        <v>439</v>
      </c>
      <c r="B28" s="326"/>
      <c r="C28" s="369" t="s">
        <v>111</v>
      </c>
      <c r="D28" s="369" t="s">
        <v>111</v>
      </c>
      <c r="E28" s="369" t="s">
        <v>111</v>
      </c>
      <c r="F28" s="370" t="s">
        <v>475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116</v>
      </c>
      <c r="C29" s="371">
        <v>250000</v>
      </c>
      <c r="D29" s="371">
        <v>400000</v>
      </c>
      <c r="E29" s="371">
        <v>1128000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115</v>
      </c>
      <c r="B31" s="409">
        <v>2005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299</v>
      </c>
      <c r="B32" s="409">
        <v>2005</v>
      </c>
      <c r="C32" s="327">
        <v>0.1312</v>
      </c>
      <c r="D32" s="327">
        <v>0.2212</v>
      </c>
      <c r="E32" s="328">
        <v>0.2212</v>
      </c>
      <c r="F32" s="328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29</v>
      </c>
      <c r="B33" s="409">
        <v>2005</v>
      </c>
      <c r="C33" s="329">
        <v>0.055</v>
      </c>
      <c r="D33" s="329">
        <v>0.055</v>
      </c>
      <c r="E33" s="330">
        <v>0.0975</v>
      </c>
      <c r="F33" s="330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260</v>
      </c>
      <c r="B34" s="409">
        <v>2005</v>
      </c>
      <c r="C34" s="331">
        <f>SUM(C32:C33)</f>
        <v>0.1862</v>
      </c>
      <c r="D34" s="331">
        <f>SUM(D32:D33)</f>
        <v>0.2762</v>
      </c>
      <c r="E34" s="332">
        <f>SUM(E32:E33)</f>
        <v>0.3187</v>
      </c>
      <c r="F34" s="332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5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109</v>
      </c>
      <c r="B36" s="409">
        <v>2005</v>
      </c>
      <c r="C36" s="333">
        <v>0.003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110</v>
      </c>
      <c r="B37" s="409">
        <v>2005</v>
      </c>
      <c r="C37" s="334">
        <v>0.002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113</v>
      </c>
      <c r="B38" s="409">
        <v>2005</v>
      </c>
      <c r="C38" s="335">
        <v>0.0112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4" t="s">
        <v>484</v>
      </c>
      <c r="B39" s="406" t="s">
        <v>480</v>
      </c>
      <c r="C39" s="361">
        <v>7500000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4" t="s">
        <v>485</v>
      </c>
      <c r="B40" s="407" t="s">
        <v>474</v>
      </c>
      <c r="C40" s="362">
        <v>50000000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4" t="s">
        <v>335</v>
      </c>
      <c r="B41" s="503"/>
      <c r="C41" s="503"/>
      <c r="D41" s="503"/>
      <c r="E41" s="503"/>
      <c r="F41" s="503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5"/>
      <c r="B42" s="505"/>
      <c r="C42" s="505"/>
      <c r="D42" s="505"/>
      <c r="E42" s="505"/>
      <c r="F42" s="505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10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483</v>
      </c>
      <c r="B44" s="365"/>
      <c r="C44" s="366"/>
      <c r="D44" s="365"/>
      <c r="E44" s="342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0" t="s">
        <v>112</v>
      </c>
      <c r="B45" s="325"/>
      <c r="C45" s="367">
        <v>0</v>
      </c>
      <c r="D45" s="367">
        <v>250001</v>
      </c>
      <c r="E45" s="367">
        <v>400001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1"/>
      <c r="B46" s="326"/>
      <c r="C46" s="369" t="s">
        <v>111</v>
      </c>
      <c r="D46" s="369" t="s">
        <v>111</v>
      </c>
      <c r="E46" s="369" t="s">
        <v>111</v>
      </c>
      <c r="F46" s="370" t="s">
        <v>475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116</v>
      </c>
      <c r="C47" s="371">
        <v>250000</v>
      </c>
      <c r="D47" s="371">
        <v>400000</v>
      </c>
      <c r="E47" s="371">
        <v>1128000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115</v>
      </c>
      <c r="B49" s="409">
        <v>2005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299</v>
      </c>
      <c r="B50" s="245"/>
      <c r="C50" s="351">
        <v>0.1312</v>
      </c>
      <c r="D50" s="351">
        <v>0.2212</v>
      </c>
      <c r="E50" s="352">
        <v>0.2212</v>
      </c>
      <c r="F50" s="352">
        <v>0.2212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29</v>
      </c>
      <c r="B51" s="245"/>
      <c r="C51" s="353">
        <v>0.055</v>
      </c>
      <c r="D51" s="353">
        <v>0.055</v>
      </c>
      <c r="E51" s="354">
        <v>0.14</v>
      </c>
      <c r="F51" s="354">
        <v>0.14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260</v>
      </c>
      <c r="B52" s="245"/>
      <c r="C52" s="331">
        <f>SUM(C50:C51)</f>
        <v>0.1862</v>
      </c>
      <c r="D52" s="331">
        <f>SUM(D50:D51)</f>
        <v>0.2762</v>
      </c>
      <c r="E52" s="332">
        <f>SUM(E50:E51)</f>
        <v>0.3612</v>
      </c>
      <c r="F52" s="332">
        <f>SUM(F50:F51)</f>
        <v>0.3612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5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109</v>
      </c>
      <c r="B54" s="244"/>
      <c r="C54" s="355">
        <v>0.003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110</v>
      </c>
      <c r="B55" s="238"/>
      <c r="C55" s="356">
        <v>0.002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113</v>
      </c>
      <c r="B56" s="238"/>
      <c r="C56" s="357">
        <v>0.0112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4" t="s">
        <v>349</v>
      </c>
      <c r="B57" s="406" t="s">
        <v>480</v>
      </c>
      <c r="C57" s="361">
        <v>7392841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4" t="s">
        <v>350</v>
      </c>
      <c r="B58" s="407" t="s">
        <v>474</v>
      </c>
      <c r="C58" s="362">
        <v>50000000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2" t="s">
        <v>351</v>
      </c>
      <c r="B59" s="506"/>
      <c r="C59" s="506"/>
      <c r="D59" s="506"/>
      <c r="E59" s="506"/>
      <c r="F59" s="506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7"/>
      <c r="B60" s="507"/>
      <c r="C60" s="507"/>
      <c r="D60" s="507"/>
      <c r="E60" s="507"/>
      <c r="F60" s="507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74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tabSelected="1" workbookViewId="0" topLeftCell="A1">
      <pane xSplit="2" ySplit="10" topLeftCell="D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O19" sqref="O19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 t="str">
        <f>REGINFO!A1</f>
        <v>PILs TAXES  EB-2011-XXXX</v>
      </c>
    </row>
    <row r="2" spans="1:2" ht="12.75">
      <c r="A2" s="2" t="s">
        <v>457</v>
      </c>
      <c r="B2" s="2"/>
    </row>
    <row r="3" spans="1:15" ht="12.75">
      <c r="A3" s="2" t="str">
        <f>REGINFO!A3</f>
        <v>Utility Name: Innisfil Hydro Distribution Systems Limited</v>
      </c>
      <c r="O3" s="416" t="str">
        <f>REGINFO!E1</f>
        <v>Version 2009.1</v>
      </c>
    </row>
    <row r="4" spans="1:15" ht="12.75">
      <c r="A4" s="2" t="str">
        <f>REGINFO!A4</f>
        <v>Reporting period:  2005</v>
      </c>
      <c r="E4" s="417" t="s">
        <v>321</v>
      </c>
      <c r="F4" s="398"/>
      <c r="G4" s="398"/>
      <c r="H4" s="398"/>
      <c r="I4" s="398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4">
        <v>0</v>
      </c>
      <c r="D11" s="390"/>
      <c r="E11" s="396">
        <f>C22</f>
        <v>284579.97368949774</v>
      </c>
      <c r="F11" s="419"/>
      <c r="G11" s="396">
        <f>E22</f>
        <v>165524.96903608122</v>
      </c>
      <c r="H11" s="419"/>
      <c r="I11" s="396">
        <f>G22</f>
        <v>-52508.1316269564</v>
      </c>
      <c r="J11" s="390"/>
      <c r="K11" s="396">
        <f>I22</f>
        <v>-244969.20381816186</v>
      </c>
      <c r="L11" s="390"/>
      <c r="M11" s="396">
        <f>K22</f>
        <v>-446747.34177058085</v>
      </c>
      <c r="N11" s="390"/>
      <c r="O11" s="396">
        <f>C11</f>
        <v>0</v>
      </c>
    </row>
    <row r="12" spans="1:17" ht="27" customHeight="1">
      <c r="A12" s="81" t="s">
        <v>397</v>
      </c>
      <c r="B12" s="66" t="s">
        <v>190</v>
      </c>
      <c r="C12" s="395">
        <v>282857</v>
      </c>
      <c r="D12" s="391"/>
      <c r="E12" s="395">
        <v>880498</v>
      </c>
      <c r="F12" s="95"/>
      <c r="G12" s="418">
        <f>C12+E12</f>
        <v>1163355</v>
      </c>
      <c r="H12" s="95"/>
      <c r="I12" s="418">
        <f>(E12/12*9)+(G12/12*3)</f>
        <v>951212.25</v>
      </c>
      <c r="J12" s="391"/>
      <c r="K12" s="418">
        <f>(E12/12*3)</f>
        <v>220124.5</v>
      </c>
      <c r="L12" s="391"/>
      <c r="M12" s="418">
        <f>TAXCALC!C95/12*4</f>
        <v>290972.61331496557</v>
      </c>
      <c r="N12" s="391"/>
      <c r="O12" s="396">
        <f aca="true" t="shared" si="0" ref="O12:O20">SUM(C12:N12)</f>
        <v>3789019.3633149657</v>
      </c>
      <c r="Q12" s="22"/>
    </row>
    <row r="13" spans="1:15" ht="27" customHeight="1">
      <c r="A13" s="81" t="s">
        <v>504</v>
      </c>
      <c r="B13" s="66"/>
      <c r="C13" s="395"/>
      <c r="D13" s="95"/>
      <c r="E13" s="395"/>
      <c r="F13" s="95"/>
      <c r="G13" s="395"/>
      <c r="H13" s="95"/>
      <c r="I13" s="395"/>
      <c r="J13" s="391"/>
      <c r="K13" s="418">
        <f>(TAXCALC!C95/12*9)</f>
        <v>654688.3799586726</v>
      </c>
      <c r="L13" s="391"/>
      <c r="M13" s="395"/>
      <c r="N13" s="391"/>
      <c r="O13" s="396">
        <f t="shared" si="0"/>
        <v>654688.3799586726</v>
      </c>
    </row>
    <row r="14" spans="1:15" ht="25.5">
      <c r="A14" s="81" t="s">
        <v>398</v>
      </c>
      <c r="B14" s="66" t="s">
        <v>190</v>
      </c>
      <c r="C14" s="395"/>
      <c r="D14" s="391"/>
      <c r="E14" s="395"/>
      <c r="F14" s="95"/>
      <c r="G14" s="395"/>
      <c r="H14" s="95"/>
      <c r="I14" s="428"/>
      <c r="J14" s="391"/>
      <c r="K14" s="395"/>
      <c r="L14" s="391"/>
      <c r="M14" s="395"/>
      <c r="N14" s="391"/>
      <c r="O14" s="396">
        <f t="shared" si="0"/>
        <v>0</v>
      </c>
    </row>
    <row r="15" spans="1:15" ht="27" customHeight="1">
      <c r="A15" s="81" t="s">
        <v>399</v>
      </c>
      <c r="B15" s="66" t="s">
        <v>190</v>
      </c>
      <c r="C15" s="395"/>
      <c r="D15" s="391"/>
      <c r="E15" s="395">
        <v>-166445</v>
      </c>
      <c r="F15" s="95"/>
      <c r="G15" s="395">
        <v>-144308</v>
      </c>
      <c r="H15" s="95"/>
      <c r="I15" s="395">
        <v>-84650</v>
      </c>
      <c r="J15" s="391"/>
      <c r="K15" s="395">
        <f>TAXCALC!E183</f>
        <v>-105979.4363815385</v>
      </c>
      <c r="L15" s="391"/>
      <c r="M15" s="395"/>
      <c r="N15" s="391"/>
      <c r="O15" s="396">
        <f t="shared" si="0"/>
        <v>-501382.4363815385</v>
      </c>
    </row>
    <row r="16" spans="1:15" ht="27" customHeight="1">
      <c r="A16" s="81" t="s">
        <v>400</v>
      </c>
      <c r="B16" s="66"/>
      <c r="C16" s="395"/>
      <c r="D16" s="391"/>
      <c r="E16" s="395"/>
      <c r="F16" s="95"/>
      <c r="G16" s="395"/>
      <c r="H16" s="95"/>
      <c r="I16" s="395"/>
      <c r="J16" s="391"/>
      <c r="K16" s="395"/>
      <c r="L16" s="391"/>
      <c r="M16" s="395"/>
      <c r="N16" s="391"/>
      <c r="O16" s="396">
        <f t="shared" si="0"/>
        <v>0</v>
      </c>
    </row>
    <row r="17" spans="1:15" ht="27.75" customHeight="1">
      <c r="A17" s="81" t="s">
        <v>401</v>
      </c>
      <c r="B17" s="66" t="s">
        <v>190</v>
      </c>
      <c r="C17" s="395"/>
      <c r="D17" s="391"/>
      <c r="E17" s="395"/>
      <c r="F17" s="95"/>
      <c r="G17" s="395">
        <v>-41262</v>
      </c>
      <c r="H17" s="95"/>
      <c r="I17" s="395">
        <v>-63920</v>
      </c>
      <c r="J17" s="391"/>
      <c r="K17" s="395">
        <f>TAXCALC!E181</f>
        <v>-225</v>
      </c>
      <c r="L17" s="391"/>
      <c r="M17" s="395"/>
      <c r="N17" s="391"/>
      <c r="O17" s="396">
        <f t="shared" si="0"/>
        <v>-105407</v>
      </c>
    </row>
    <row r="18" spans="1:15" ht="25.5">
      <c r="A18" s="81" t="s">
        <v>402</v>
      </c>
      <c r="B18" s="66" t="s">
        <v>190</v>
      </c>
      <c r="C18" s="395"/>
      <c r="D18" s="391"/>
      <c r="E18" s="395"/>
      <c r="F18" s="95"/>
      <c r="G18" s="395"/>
      <c r="H18" s="95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7" ht="24" customHeight="1">
      <c r="A19" s="432" t="s">
        <v>403</v>
      </c>
      <c r="B19" s="66" t="s">
        <v>190</v>
      </c>
      <c r="C19" s="395">
        <f>'[3]PILs Continuity Schedule'!$H$10</f>
        <v>1722.9736894977168</v>
      </c>
      <c r="D19" s="391"/>
      <c r="E19" s="395">
        <f>'[3]PILs Continuity Schedule'!$H$27</f>
        <v>29053.415219139406</v>
      </c>
      <c r="F19" s="95"/>
      <c r="G19" s="395">
        <f>'[3]PILs Continuity Schedule'!$H$44</f>
        <v>13152.968536962317</v>
      </c>
      <c r="H19" s="95"/>
      <c r="I19" s="395">
        <f>'[3]PILs Continuity Schedule'!$H$61</f>
        <v>-2973.798978705383</v>
      </c>
      <c r="J19" s="391"/>
      <c r="K19" s="395">
        <f>'[3]PILs Continuity Schedule'!$H$78</f>
        <v>-21441.48361177532</v>
      </c>
      <c r="L19" s="391"/>
      <c r="M19" s="395">
        <f>SUM('[3]PILs Continuity Schedule'!$H$83:$H$88)</f>
        <v>-11332.795751172092</v>
      </c>
      <c r="N19" s="391"/>
      <c r="O19" s="396">
        <f>SUM(C19:N19)</f>
        <v>8181.2791039466465</v>
      </c>
      <c r="Q19" s="22"/>
    </row>
    <row r="20" spans="1:17" ht="24.75" customHeight="1">
      <c r="A20" s="81" t="s">
        <v>468</v>
      </c>
      <c r="B20" s="66" t="s">
        <v>188</v>
      </c>
      <c r="C20" s="395"/>
      <c r="D20" s="391"/>
      <c r="E20" s="395">
        <f>-'[2]PILS 2002-2003'!$F$17</f>
        <v>-862161.4198725559</v>
      </c>
      <c r="F20" s="95"/>
      <c r="G20" s="395">
        <f>-'[2]PILS 2002-2003'!$H$17</f>
        <v>-1208971.0692</v>
      </c>
      <c r="H20" s="95"/>
      <c r="I20" s="395">
        <f>-'[2]PILS 2004'!$I$17</f>
        <v>-992129.5232125</v>
      </c>
      <c r="J20" s="391"/>
      <c r="K20" s="395">
        <f>'[4]PILs Continuity Schedule'!$C$78</f>
        <v>-948945.0979177777</v>
      </c>
      <c r="L20" s="391"/>
      <c r="M20" s="395">
        <f>'[4]PILs Continuity Schedule'!$C$95</f>
        <v>-417783.1714</v>
      </c>
      <c r="N20" s="391"/>
      <c r="O20" s="396">
        <f t="shared" si="0"/>
        <v>-4429990.281602834</v>
      </c>
      <c r="Q20" s="492"/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9"/>
    </row>
    <row r="22" spans="1:19" ht="13.5" thickBot="1">
      <c r="A22" s="81" t="s">
        <v>373</v>
      </c>
      <c r="B22" s="34"/>
      <c r="C22" s="397">
        <f>SUM(C11:C20)</f>
        <v>284579.97368949774</v>
      </c>
      <c r="D22" s="419"/>
      <c r="E22" s="397">
        <f>SUM(E11:E20)</f>
        <v>165524.96903608122</v>
      </c>
      <c r="F22" s="419"/>
      <c r="G22" s="397">
        <f>SUM(G11:G20)</f>
        <v>-52508.1316269564</v>
      </c>
      <c r="H22" s="419"/>
      <c r="I22" s="397">
        <f>SUM(I11:I20)</f>
        <v>-244969.20381816186</v>
      </c>
      <c r="J22" s="390"/>
      <c r="K22" s="397">
        <f>SUM(K11:K20)</f>
        <v>-446747.34177058085</v>
      </c>
      <c r="L22" s="390"/>
      <c r="M22" s="397">
        <f>SUM(M11:M21)</f>
        <v>-584890.6956067873</v>
      </c>
      <c r="N22" s="390"/>
      <c r="O22" s="489">
        <f>SUM(O11:O20)</f>
        <v>-584890.6956067877</v>
      </c>
      <c r="S22" s="22"/>
    </row>
    <row r="23" spans="1:1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8"/>
      <c r="M23" s="442"/>
      <c r="N23" s="188"/>
      <c r="O23" s="442"/>
    </row>
    <row r="24" spans="1:15" ht="12.75">
      <c r="A24" s="455"/>
      <c r="B24" s="456"/>
      <c r="C24" s="457"/>
      <c r="D24" s="457"/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458"/>
    </row>
    <row r="25" spans="1:15" ht="12.75">
      <c r="A25" s="433"/>
      <c r="B25" s="434"/>
      <c r="C25" s="459"/>
      <c r="D25" s="459"/>
      <c r="E25" s="459"/>
      <c r="F25" s="459"/>
      <c r="G25" s="459"/>
      <c r="H25" s="459"/>
      <c r="I25" s="459"/>
      <c r="J25" s="460"/>
      <c r="K25" s="459"/>
      <c r="L25" s="461"/>
      <c r="M25" s="462"/>
      <c r="N25" s="461"/>
      <c r="O25" s="462"/>
    </row>
    <row r="26" spans="1:15" ht="12.75">
      <c r="A26" s="433" t="s">
        <v>404</v>
      </c>
      <c r="B26" s="434"/>
      <c r="C26" s="459"/>
      <c r="D26" s="459"/>
      <c r="E26" s="459"/>
      <c r="F26" s="459"/>
      <c r="G26" s="459"/>
      <c r="H26" s="459"/>
      <c r="I26" s="459"/>
      <c r="J26" s="460"/>
      <c r="K26" s="459"/>
      <c r="L26" s="461"/>
      <c r="M26" s="462"/>
      <c r="N26" s="461"/>
      <c r="O26" s="462"/>
    </row>
    <row r="27" spans="1:1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8"/>
      <c r="M27" s="188"/>
      <c r="N27" s="188"/>
      <c r="O27" s="188"/>
    </row>
    <row r="28" spans="1:15" ht="12.75">
      <c r="A28" s="433" t="s">
        <v>405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8"/>
      <c r="M28" s="188"/>
      <c r="N28" s="188"/>
      <c r="O28" s="188"/>
    </row>
    <row r="29" spans="1:15" ht="12.75">
      <c r="A29" s="436" t="s">
        <v>406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8"/>
      <c r="M29" s="188"/>
      <c r="N29" s="188"/>
      <c r="O29" s="188"/>
    </row>
    <row r="30" spans="1:15" ht="9" customHeight="1">
      <c r="A30" s="188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8"/>
      <c r="M30" s="188"/>
      <c r="N30" s="188"/>
      <c r="O30" s="188"/>
    </row>
    <row r="31" spans="1:15" ht="12.75">
      <c r="A31" s="450" t="s">
        <v>407</v>
      </c>
      <c r="B31" s="80"/>
      <c r="C31" s="80"/>
      <c r="D31" s="80"/>
      <c r="E31" s="80"/>
      <c r="F31" s="80"/>
      <c r="G31" s="80"/>
      <c r="H31" s="80"/>
      <c r="I31" s="447"/>
      <c r="J31" s="447"/>
      <c r="K31" s="447"/>
      <c r="L31" s="447"/>
      <c r="M31" s="447"/>
      <c r="N31" s="447"/>
      <c r="O31" s="447"/>
    </row>
    <row r="32" spans="1:15" ht="9" customHeight="1">
      <c r="A32" s="451"/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</row>
    <row r="33" spans="1:19" ht="12.75">
      <c r="A33" s="511" t="s">
        <v>408</v>
      </c>
      <c r="B33" s="512"/>
      <c r="C33" s="512"/>
      <c r="D33" s="512"/>
      <c r="E33" s="512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420"/>
      <c r="Q33" s="420"/>
      <c r="R33" s="420"/>
      <c r="S33" s="420"/>
    </row>
    <row r="34" spans="1:19" ht="12.75">
      <c r="A34" s="510" t="s">
        <v>409</v>
      </c>
      <c r="B34" s="513"/>
      <c r="C34" s="513"/>
      <c r="D34" s="513"/>
      <c r="E34" s="513"/>
      <c r="F34" s="513"/>
      <c r="G34" s="513"/>
      <c r="H34" s="513"/>
      <c r="I34" s="513"/>
      <c r="J34" s="513"/>
      <c r="K34" s="513"/>
      <c r="L34" s="513"/>
      <c r="M34" s="513"/>
      <c r="N34" s="513"/>
      <c r="O34" s="513"/>
      <c r="P34" s="420"/>
      <c r="Q34" s="420"/>
      <c r="R34" s="420"/>
      <c r="S34" s="420"/>
    </row>
    <row r="35" spans="1:19" ht="12.75">
      <c r="A35" s="510" t="s">
        <v>430</v>
      </c>
      <c r="B35" s="513"/>
      <c r="C35" s="513"/>
      <c r="D35" s="513"/>
      <c r="E35" s="513"/>
      <c r="F35" s="513"/>
      <c r="G35" s="513"/>
      <c r="H35" s="513"/>
      <c r="I35" s="513"/>
      <c r="J35" s="513"/>
      <c r="K35" s="513"/>
      <c r="L35" s="513"/>
      <c r="M35" s="513"/>
      <c r="N35" s="513"/>
      <c r="O35" s="513"/>
      <c r="P35" s="420"/>
      <c r="Q35" s="420"/>
      <c r="R35" s="420"/>
      <c r="S35" s="420"/>
    </row>
    <row r="36" spans="1:19" ht="12.75">
      <c r="A36" s="510" t="s">
        <v>410</v>
      </c>
      <c r="B36" s="512"/>
      <c r="C36" s="512"/>
      <c r="D36" s="512"/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420"/>
      <c r="Q36" s="420"/>
      <c r="R36" s="420"/>
      <c r="S36" s="420"/>
    </row>
    <row r="37" spans="1:19" ht="12.75">
      <c r="A37" s="437" t="s">
        <v>370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20"/>
      <c r="Q37" s="420"/>
      <c r="R37" s="420"/>
      <c r="S37" s="420"/>
    </row>
    <row r="38" spans="1:19" ht="12.75">
      <c r="A38" s="437" t="s">
        <v>371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20"/>
      <c r="Q38" s="420"/>
      <c r="R38" s="420"/>
      <c r="S38" s="420"/>
    </row>
    <row r="39" spans="1:19" ht="12.75">
      <c r="A39" s="437" t="s">
        <v>411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20"/>
      <c r="Q39" s="420"/>
      <c r="R39" s="420"/>
      <c r="S39" s="420"/>
    </row>
    <row r="40" spans="1:19" ht="12.75">
      <c r="A40" s="437" t="s">
        <v>412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20"/>
      <c r="Q40" s="420"/>
      <c r="R40" s="420"/>
      <c r="S40" s="420"/>
    </row>
    <row r="41" spans="2:1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20"/>
      <c r="Q41" s="420"/>
      <c r="R41" s="420"/>
      <c r="S41" s="420"/>
    </row>
    <row r="42" spans="1:15" ht="12.75">
      <c r="A42" s="439" t="s">
        <v>413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8"/>
      <c r="M42" s="188"/>
      <c r="N42" s="188"/>
      <c r="O42" s="188"/>
    </row>
    <row r="43" spans="1:15" ht="12.75">
      <c r="A43" s="434" t="s">
        <v>414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8"/>
      <c r="M43" s="188"/>
      <c r="N43" s="188"/>
      <c r="O43" s="188"/>
    </row>
    <row r="44" spans="1:15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8"/>
      <c r="M44" s="188"/>
      <c r="N44" s="188"/>
      <c r="O44" s="188"/>
    </row>
    <row r="45" spans="1:15" ht="12.75">
      <c r="A45" s="439" t="s">
        <v>415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8"/>
      <c r="M45" s="188"/>
      <c r="N45" s="188"/>
      <c r="O45" s="188"/>
    </row>
    <row r="46" spans="1:15" ht="12.75">
      <c r="A46" s="434" t="s">
        <v>416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8"/>
      <c r="M46" s="188"/>
      <c r="N46" s="188"/>
      <c r="O46" s="188"/>
    </row>
    <row r="47" spans="1:15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8"/>
      <c r="M47" s="188"/>
      <c r="N47" s="188"/>
      <c r="O47" s="188"/>
    </row>
    <row r="48" spans="1:15" ht="12.75">
      <c r="A48" s="439" t="s">
        <v>417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8"/>
      <c r="M48" s="188"/>
      <c r="N48" s="188"/>
      <c r="O48" s="188"/>
    </row>
    <row r="49" spans="1:15" ht="12.75">
      <c r="A49" s="434" t="s">
        <v>418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8"/>
      <c r="M49" s="188"/>
      <c r="N49" s="188"/>
      <c r="O49" s="188"/>
    </row>
    <row r="50" spans="1:1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8"/>
      <c r="M50" s="188"/>
      <c r="N50" s="188"/>
      <c r="O50" s="188"/>
    </row>
    <row r="51" spans="1:15" ht="12.75">
      <c r="A51" s="439" t="s">
        <v>419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8"/>
      <c r="M51" s="188"/>
      <c r="N51" s="188"/>
      <c r="O51" s="188"/>
    </row>
    <row r="52" spans="1:15" ht="12.75">
      <c r="A52" s="434" t="s">
        <v>416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8"/>
      <c r="M52" s="188"/>
      <c r="N52" s="188"/>
      <c r="O52" s="188"/>
    </row>
    <row r="53" spans="1:1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8"/>
      <c r="M53" s="188"/>
      <c r="N53" s="188"/>
      <c r="O53" s="188"/>
    </row>
    <row r="54" spans="1:15" ht="12.75">
      <c r="A54" s="434" t="s">
        <v>420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8"/>
      <c r="M54" s="188"/>
      <c r="N54" s="188"/>
      <c r="O54" s="188"/>
    </row>
    <row r="55" spans="1:1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8"/>
      <c r="M55" s="188"/>
      <c r="N55" s="188"/>
      <c r="O55" s="188"/>
    </row>
    <row r="56" spans="1:15" ht="12.75" customHeight="1">
      <c r="A56" s="439" t="s">
        <v>421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8"/>
      <c r="M56" s="188"/>
      <c r="N56" s="188"/>
      <c r="O56" s="188"/>
    </row>
    <row r="57" spans="1:1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8"/>
      <c r="M57" s="188"/>
      <c r="N57" s="188"/>
      <c r="O57" s="188"/>
    </row>
    <row r="58" spans="1:15" ht="12.75">
      <c r="A58" s="434" t="s">
        <v>422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8"/>
      <c r="M58" s="188"/>
      <c r="N58" s="188"/>
      <c r="O58" s="188"/>
    </row>
    <row r="59" spans="1:15" ht="12.75">
      <c r="A59" s="434" t="s">
        <v>423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8"/>
      <c r="M59" s="188"/>
      <c r="N59" s="188"/>
      <c r="O59" s="188"/>
    </row>
    <row r="60" spans="1:15" ht="12.75">
      <c r="A60" s="434" t="s">
        <v>424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8"/>
      <c r="M60" s="188"/>
      <c r="N60" s="188"/>
      <c r="O60" s="188"/>
    </row>
    <row r="61" spans="1:15" ht="12.75">
      <c r="A61" s="434" t="s">
        <v>380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8"/>
      <c r="M61" s="188"/>
      <c r="N61" s="188"/>
      <c r="O61" s="188"/>
    </row>
    <row r="62" spans="1:1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8"/>
      <c r="M62" s="188"/>
      <c r="N62" s="188"/>
      <c r="O62" s="188"/>
    </row>
    <row r="63" spans="1:15" ht="12.75">
      <c r="A63" s="434" t="s">
        <v>425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8"/>
      <c r="M63" s="188"/>
      <c r="N63" s="188"/>
      <c r="O63" s="188"/>
    </row>
    <row r="64" spans="1:15" ht="12.75">
      <c r="A64" s="434" t="s">
        <v>426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8"/>
      <c r="M64" s="188"/>
      <c r="N64" s="188"/>
      <c r="O64" s="188"/>
    </row>
    <row r="65" spans="1:15" ht="12.75">
      <c r="A65" s="434" t="s">
        <v>382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8"/>
      <c r="M65" s="188"/>
      <c r="N65" s="188"/>
      <c r="O65" s="188"/>
    </row>
    <row r="66" spans="1:15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8"/>
      <c r="M66" s="188"/>
      <c r="N66" s="188"/>
      <c r="O66" s="188"/>
    </row>
    <row r="67" spans="1:15" ht="12.75">
      <c r="A67" s="434" t="s">
        <v>381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8"/>
      <c r="M67" s="188"/>
      <c r="N67" s="188"/>
      <c r="O67" s="188"/>
    </row>
    <row r="68" spans="1:15" ht="12.75">
      <c r="A68" s="434" t="s">
        <v>383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8"/>
      <c r="M68" s="188"/>
      <c r="N68" s="188"/>
      <c r="O68" s="188"/>
    </row>
    <row r="69" spans="1:15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8"/>
      <c r="M69" s="188"/>
      <c r="N69" s="188"/>
      <c r="O69" s="188"/>
    </row>
    <row r="70" spans="1:15" ht="12.75">
      <c r="A70" s="434" t="s">
        <v>427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8"/>
      <c r="M70" s="188"/>
      <c r="N70" s="188"/>
      <c r="O70" s="188"/>
    </row>
    <row r="71" spans="1:15" ht="12.75">
      <c r="A71" s="434" t="s">
        <v>428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8"/>
      <c r="M71" s="188"/>
      <c r="N71" s="188"/>
      <c r="O71" s="188"/>
    </row>
    <row r="72" spans="1:15" ht="12.75">
      <c r="A72" s="434" t="s">
        <v>429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8"/>
      <c r="M72" s="188"/>
      <c r="N72" s="188"/>
      <c r="O72" s="188"/>
    </row>
    <row r="73" spans="1:15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8"/>
      <c r="M73" s="188"/>
      <c r="N73" s="188"/>
      <c r="O73" s="188"/>
    </row>
    <row r="74" spans="1:15" ht="12.75" customHeight="1">
      <c r="A74" s="510" t="s">
        <v>458</v>
      </c>
      <c r="B74" s="510"/>
      <c r="C74" s="510"/>
      <c r="D74" s="510"/>
      <c r="E74" s="510"/>
      <c r="F74" s="510"/>
      <c r="G74" s="510"/>
      <c r="H74" s="510"/>
      <c r="I74" s="510"/>
      <c r="J74" s="510"/>
      <c r="K74" s="510"/>
      <c r="L74" s="510"/>
      <c r="M74" s="510"/>
      <c r="N74" s="510"/>
      <c r="O74" s="510"/>
    </row>
    <row r="75" spans="1:15" ht="12.75">
      <c r="A75" s="434" t="s">
        <v>372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8"/>
      <c r="M75" s="188"/>
      <c r="N75" s="188"/>
      <c r="O75" s="188"/>
    </row>
    <row r="76" spans="1:15" ht="12.75">
      <c r="A76" s="188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8"/>
      <c r="M76" s="188"/>
      <c r="N76" s="188"/>
      <c r="O76" s="188"/>
    </row>
    <row r="77" spans="1:15" ht="12.75">
      <c r="A77" s="188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8"/>
      <c r="M77" s="188"/>
      <c r="N77" s="188"/>
      <c r="O77" s="188"/>
    </row>
    <row r="78" spans="1:17" ht="12.75">
      <c r="A78" s="188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188"/>
      <c r="O78" s="188"/>
      <c r="P78" s="188"/>
      <c r="Q78" s="188"/>
    </row>
    <row r="79" spans="1:17" ht="12.75">
      <c r="A79" s="188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188"/>
      <c r="O79" s="188"/>
      <c r="P79" s="188"/>
      <c r="Q79" s="188"/>
    </row>
    <row r="80" spans="1:17" ht="12.75">
      <c r="A80" s="188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188"/>
      <c r="O80" s="188"/>
      <c r="P80" s="188"/>
      <c r="Q80" s="188"/>
    </row>
    <row r="81" spans="1:17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188"/>
      <c r="O81" s="188"/>
      <c r="P81" s="188"/>
      <c r="Q81" s="188"/>
    </row>
    <row r="82" spans="1:17" ht="12.75">
      <c r="A82" s="188"/>
      <c r="B82" s="188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188"/>
      <c r="O82" s="188"/>
      <c r="P82" s="188"/>
      <c r="Q82" s="188"/>
    </row>
    <row r="83" spans="1:17" ht="12.75">
      <c r="A83" s="188"/>
      <c r="B83" s="188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188"/>
      <c r="O83" s="188"/>
      <c r="P83" s="188"/>
      <c r="Q83" s="188"/>
    </row>
    <row r="84" spans="1:17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188"/>
      <c r="O84" s="188"/>
      <c r="P84" s="188"/>
      <c r="Q84" s="188"/>
    </row>
    <row r="85" spans="1:17" ht="12.75">
      <c r="A85" s="188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188"/>
      <c r="O85" s="188"/>
      <c r="P85" s="188"/>
      <c r="Q85" s="188"/>
    </row>
    <row r="86" spans="1:17" ht="12.75">
      <c r="A86" s="188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188"/>
      <c r="O86" s="188"/>
      <c r="P86" s="188"/>
      <c r="Q86" s="188"/>
    </row>
    <row r="87" spans="1:17" ht="12.75">
      <c r="A87" s="188"/>
      <c r="B87" s="188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188"/>
      <c r="O87" s="188"/>
      <c r="P87" s="188"/>
      <c r="Q87" s="188"/>
    </row>
    <row r="88" spans="1:17" ht="12.75">
      <c r="A88" s="188"/>
      <c r="B88" s="188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188"/>
      <c r="O88" s="188"/>
      <c r="P88" s="188"/>
      <c r="Q88" s="188"/>
    </row>
    <row r="89" spans="1:17" ht="12.75">
      <c r="A89" s="188"/>
      <c r="B89" s="188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188"/>
      <c r="O89" s="188"/>
      <c r="P89" s="188"/>
      <c r="Q89" s="188"/>
    </row>
    <row r="90" spans="1:17" ht="12.75">
      <c r="A90" s="188"/>
      <c r="B90" s="188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188"/>
      <c r="O90" s="188"/>
      <c r="P90" s="188"/>
      <c r="Q90" s="188"/>
    </row>
    <row r="91" spans="1:17" ht="12.75">
      <c r="A91" s="188"/>
      <c r="B91" s="188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188"/>
      <c r="O91" s="188"/>
      <c r="P91" s="188"/>
      <c r="Q91" s="188"/>
    </row>
    <row r="92" spans="1:17" ht="12.75">
      <c r="A92" s="188"/>
      <c r="B92" s="188"/>
      <c r="C92" s="510"/>
      <c r="D92" s="510"/>
      <c r="E92" s="510"/>
      <c r="F92" s="510"/>
      <c r="G92" s="510"/>
      <c r="H92" s="510"/>
      <c r="I92" s="510"/>
      <c r="J92" s="510"/>
      <c r="K92" s="510"/>
      <c r="L92" s="510"/>
      <c r="M92" s="510"/>
      <c r="N92" s="510"/>
      <c r="O92" s="510"/>
      <c r="P92" s="510"/>
      <c r="Q92" s="510"/>
    </row>
    <row r="93" spans="1:17" ht="12.75">
      <c r="A93" s="188"/>
      <c r="B93" s="188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0.3937007874015748" bottom="0.35433070866141736" header="0.15748031496062992" footer="0"/>
  <pageSetup fitToHeight="1" fitToWidth="1" horizontalDpi="600" verticalDpi="600" orientation="portrait" scale="71" r:id="rId1"/>
  <headerFooter alignWithMargins="0">
    <oddFooter>&amp;R&amp;"Arial,Bold"&amp;9&amp;Z&amp;F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 </cp:lastModifiedBy>
  <cp:lastPrinted>2011-10-03T11:02:43Z</cp:lastPrinted>
  <dcterms:created xsi:type="dcterms:W3CDTF">2001-11-07T16:15:53Z</dcterms:created>
  <dcterms:modified xsi:type="dcterms:W3CDTF">2011-10-17T13:37:49Z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