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12390" windowHeight="8640" activeTab="2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<sst xmlns="http://schemas.openxmlformats.org/spreadsheetml/2006/main" count="645" uniqueCount="458">
  <si>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</si>
  <si>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</si>
  <si>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</si>
  <si>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</si>
  <si>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</si>
  <si>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</si>
  <si>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</si>
  <si>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</si>
  <si>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</si>
  <si>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</si>
  <si>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</si>
  <si>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</si>
  <si>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</si>
  <si>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</si>
  <si>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</si>
  <si>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</si>
  <si>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</si>
  <si>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</si>
  <si>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</si>
  <si>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</si>
  <si>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</si>
  <si>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</si>
  <si>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</si>
  <si>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</si>
  <si>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</si>
  <si>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</si>
  <si>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</si>
  <si>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</si>
  <si>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</si>
  <si>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</si>
  <si>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</si>
  <si>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</si>
  <si>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</si>
  <si>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</si>
  <si>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</si>
  <si>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</si>
  <si>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</si>
  <si>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</si>
  <si>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</si>
  <si>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</si>
  <si>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</si>
  <si>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</si>
  <si>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</si>
  <si>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</si>
  <si>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</si>
  <si>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</si>
  <si>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</si>
  <si>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</si>
  <si>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</si>
  <si>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</si>
  <si>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</si>
  <si>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</si>
  <si>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</si>
  <si>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</si>
  <si>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</si>
  <si>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</si>
  <si>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</si>
  <si>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</si>
  <si>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</si>
  <si>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</si>
  <si>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</si>
  <si>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</si>
  <si>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</si>
  <si>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</si>
  <si>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</si>
  <si>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</si>
  <si>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</si>
  <si>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</si>
  <si>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</si>
  <si>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</si>
  <si>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</si>
  <si>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</si>
  <si>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</si>
  <si>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</si>
  <si>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</si>
  <si>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</si>
  <si>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</si>
  <si>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</si>
  <si>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</si>
  <si>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</si>
  <si>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</si>
  <si>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</si>
  <si>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</si>
  <si>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</si>
  <si>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</si>
  <si>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</si>
  <si>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</si>
  <si>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</si>
  <si>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</si>
  <si>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</si>
  <si>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</si>
  <si>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</si>
  <si>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</si>
  <si>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</si>
  <si>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</si>
  <si>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</si>
  <si>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</si>
  <si>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</si>
  <si>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</si>
  <si>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</si>
  <si>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</si>
  <si>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</si>
  <si>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</si>
  <si>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</si>
  <si>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</si>
  <si>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</si>
  <si>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</si>
  <si>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</si>
  <si>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</si>
  <si>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</si>
  <si>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</si>
  <si>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</si>
  <si>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</si>
  <si>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</si>
  <si>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</si>
  <si>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</si>
  <si>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</si>
  <si>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</si>
  <si>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</si>
  <si>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</si>
  <si>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</si>
  <si>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</si>
  <si>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</si>
  <si>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</si>
  <si>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</si>
  <si>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</si>
  <si>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</si>
  <si>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</si>
  <si>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</si>
  <si>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</si>
  <si>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</si>
  <si>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</si>
  <si>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</si>
  <si>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</si>
  <si>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</si>
  <si>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</si>
  <si>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</si>
  <si>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</si>
  <si>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</si>
  <si>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</si>
  <si>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</si>
  <si>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</si>
  <si>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</si>
  <si>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</si>
  <si>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</si>
  <si>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</si>
  <si>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</si>
  <si>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</si>
  <si>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</si>
  <si>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</si>
  <si>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</si>
  <si>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</si>
  <si>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</si>
  <si>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</si>
  <si>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</si>
  <si>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</si>
  <si>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</si>
  <si>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</si>
  <si>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</si>
  <si>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</si>
  <si>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</si>
  <si>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</si>
  <si>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</si>
  <si>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</si>
  <si>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</si>
  <si>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</si>
  <si>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</si>
  <si>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</si>
  <si>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</si>
  <si>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</si>
  <si>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</si>
  <si>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</si>
  <si>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</si>
  <si>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</si>
  <si>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</si>
  <si>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</si>
  <si>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</si>
  <si>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</si>
  <si>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</si>
  <si>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</si>
  <si>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</si>
  <si>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</si>
  <si>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</si>
  <si>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</si>
  <si>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</si>
  <si>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</si>
  <si>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</si>
  <si>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</si>
  <si>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</si>
  <si>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</si>
  <si>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</si>
  <si>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</si>
  <si>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</si>
  <si>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</si>
  <si>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</si>
  <si>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</si>
  <si>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</si>
  <si>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</si>
  <si>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</si>
  <si>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</si>
  <si>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</si>
  <si>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</si>
  <si>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</si>
  <si>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</si>
  <si>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</si>
  <si>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</si>
  <si>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</si>
  <si>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</si>
  <si>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</si>
  <si>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</si>
  <si>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</si>
  <si>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</si>
  <si>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</si>
  <si>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</si>
  <si>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</si>
  <si>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</si>
  <si>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</si>
  <si>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</si>
  <si>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</si>
  <si>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</si>
  <si>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</si>
  <si>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</si>
  <si>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</si>
  <si>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</si>
  <si>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</si>
  <si>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</si>
  <si>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</si>
  <si>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</si>
  <si>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</si>
  <si>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</si>
  <si>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</si>
  <si>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</si>
  <si>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</si>
  <si>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</si>
  <si>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</si>
  <si>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</si>
  <si>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</si>
  <si>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</si>
  <si>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</si>
  <si>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</si>
  <si>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</si>
  <si>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</si>
  <si>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</si>
  <si>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</si>
  <si>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</si>
  <si>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</si>
  <si>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</si>
  <si>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</si>
  <si>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</si>
  <si>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</si>
  <si>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</si>
  <si>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</si>
  <si>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</si>
  <si>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</si>
  <si>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</si>
  <si>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</si>
  <si>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</si>
  <si>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</si>
  <si>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</si>
  <si>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</si>
  <si>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</si>
  <si>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</si>
  <si>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</si>
  <si>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</si>
  <si>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</si>
  <si>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</si>
  <si>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</si>
  <si>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</si>
  <si>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</si>
  <si>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</si>
  <si>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</si>
  <si>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</si>
  <si>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</si>
  <si>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</si>
  <si>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</si>
  <si>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</si>
  <si>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</si>
  <si>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</si>
  <si>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</si>
  <si>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</si>
  <si>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</si>
  <si>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</si>
  <si>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</si>
  <si>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</si>
  <si>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</si>
  <si>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</si>
  <si>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</si>
  <si>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</si>
  <si>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</si>
  <si>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</si>
  <si>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</si>
  <si>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</si>
  <si>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</si>
  <si>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</si>
  <si>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</si>
  <si>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</si>
  <si>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</si>
  <si>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</si>
  <si>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</si>
  <si>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</si>
  <si>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</si>
  <si>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</si>
  <si>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</si>
  <si>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</si>
  <si>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</si>
  <si>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</si>
  <si>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</si>
  <si>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</si>
  <si>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</si>
  <si>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</si>
  <si>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</si>
  <si>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</si>
  <si>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</si>
  <si>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</si>
  <si>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</si>
  <si>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</si>
  <si>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</si>
  <si>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</si>
  <si>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</si>
  <si>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</si>
  <si>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</si>
  <si>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</si>
  <si>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</si>
  <si>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</si>
  <si>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</si>
  <si>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</si>
  <si>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</si>
  <si>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</si>
  <si>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</si>
  <si>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</si>
  <si>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</si>
  <si>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</si>
  <si>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</si>
  <si>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</si>
  <si>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</si>
  <si>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</si>
  <si>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</si>
  <si>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</si>
  <si>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</si>
  <si>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</si>
  <si>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</si>
  <si>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</si>
  <si>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</si>
  <si>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</si>
  <si>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</si>
  <si>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</si>
  <si>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</si>
  <si>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</si>
  <si>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</si>
  <si>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</si>
  <si>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</si>
  <si>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</si>
  <si>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</si>
  <si>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</si>
  <si>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</si>
  <si>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</si>
  <si>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</si>
  <si>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</si>
  <si>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</si>
  <si>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</si>
  <si>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</si>
  <si>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</si>
  <si>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</si>
  <si>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</si>
  <si>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</si>
  <si>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</si>
  <si>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</si>
  <si>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</si>
  <si>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</si>
  <si>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</si>
  <si>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</si>
  <si>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</si>
  <si>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</si>
  <si>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</si>
  <si>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</si>
  <si>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</si>
  <si>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</si>
  <si>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</si>
  <si>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</si>
  <si>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</si>
  <si>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</si>
  <si>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</si>
  <si>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</si>
  <si>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</si>
  <si>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</si>
  <si>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</si>
  <si>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</si>
  <si>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</si>
  <si>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</si>
  <si>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</si>
  <si>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</si>
  <si>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</si>
  <si>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</si>
  <si>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</si>
  <si>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</si>
  <si>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</si>
  <si>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</si>
  <si>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</si>
  <si>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</si>
  <si>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</si>
  <si>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</si>
  <si>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</si>
  <si>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</si>
  <si>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</si>
  <si>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</si>
  <si>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</si>
  <si>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</si>
  <si>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</si>
  <si>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</si>
  <si>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</si>
  <si>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</si>
  <si>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</si>
  <si>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</si>
  <si>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</si>
  <si>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</si>
  <si>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</si>
  <si>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</si>
  <si>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</si>
  <si>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</si>
  <si>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</si>
  <si>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</si>
  <si>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</si>
  <si>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</si>
  <si>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</si>
  <si>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</si>
  <si>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</si>
  <si>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</si>
  <si>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</si>
  <si>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</si>
  <si>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</si>
  <si>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</si>
  <si>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</si>
  <si>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</si>
  <si>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</si>
  <si>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</si>
  <si>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</si>
  <si>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</si>
  <si>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</si>
  <si>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</si>
  <si>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</si>
  <si>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</si>
  <si>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</si>
  <si>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</si>
  <si>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</si>
  <si>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</si>
  <si>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</si>
  <si>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</si>
  <si>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</si>
  <si>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</si>
  <si>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</si>
  <si>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</si>
  <si>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</si>
  <si>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</si>
  <si>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Utility Name:  Orangeville Hydro Limited</t>
  </si>
  <si>
    <t>Reporting period:  October 1 to December 31, 2001</t>
  </si>
  <si>
    <t>y</t>
  </si>
  <si>
    <t>n</t>
  </si>
  <si>
    <t>Accounting Year End  December 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</si>
</sst>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5" fontId="0" fillId="0" borderId="0" xfId="0" applyNumberForma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35">
      <selection activeCell="D58" sqref="D58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440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453</v>
      </c>
      <c r="C4" s="10"/>
      <c r="D4" s="50" t="s">
        <v>381</v>
      </c>
      <c r="E4" s="10"/>
      <c r="G4" s="10"/>
      <c r="H4" s="10"/>
    </row>
    <row r="5" spans="1:8" ht="13.5" thickBot="1">
      <c r="A5" t="s">
        <v>454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455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456</v>
      </c>
    </row>
    <row r="14" spans="1:4" ht="12.75">
      <c r="A14" s="3"/>
      <c r="C14" s="10"/>
      <c r="D14" s="10"/>
    </row>
    <row r="15" spans="1:4" ht="12.75">
      <c r="A15" s="4" t="s">
        <v>457</v>
      </c>
      <c r="C15" s="10" t="s">
        <v>389</v>
      </c>
      <c r="D15" s="157">
        <v>37256</v>
      </c>
    </row>
    <row r="16" spans="1:3" ht="12.75">
      <c r="A16" s="3"/>
      <c r="C16" s="10"/>
    </row>
    <row r="17" spans="1:3" ht="12.75">
      <c r="A17" s="118" t="s">
        <v>390</v>
      </c>
      <c r="C17" s="10"/>
    </row>
    <row r="18" spans="1:3" ht="12.75">
      <c r="A18" s="119" t="s">
        <v>391</v>
      </c>
      <c r="C18" s="10"/>
    </row>
    <row r="19" spans="1:3" ht="12.75">
      <c r="A19" s="119" t="s">
        <v>392</v>
      </c>
      <c r="C19" s="120"/>
    </row>
    <row r="20" ht="12.75">
      <c r="A20" s="121" t="s">
        <v>393</v>
      </c>
    </row>
    <row r="21" ht="12.75">
      <c r="A21" s="115"/>
    </row>
    <row r="22" spans="1:8" ht="12.75">
      <c r="A22" t="s">
        <v>394</v>
      </c>
      <c r="D22" s="5">
        <v>14146928</v>
      </c>
      <c r="H22" s="5"/>
    </row>
    <row r="24" spans="1:8" ht="12.75">
      <c r="A24" t="s">
        <v>395</v>
      </c>
      <c r="D24" s="122">
        <v>0.5</v>
      </c>
      <c r="H24" s="122"/>
    </row>
    <row r="25" ht="12.75">
      <c r="H25" s="114"/>
    </row>
    <row r="26" spans="1:10" ht="12.75">
      <c r="A26" t="s">
        <v>396</v>
      </c>
      <c r="D26" s="123">
        <v>0.5</v>
      </c>
      <c r="F26" s="122"/>
      <c r="H26" s="126"/>
      <c r="J26" s="122"/>
    </row>
    <row r="27" ht="12.75">
      <c r="H27" s="114"/>
    </row>
    <row r="28" spans="1:8" ht="12.75">
      <c r="A28" t="s">
        <v>397</v>
      </c>
      <c r="D28" s="122">
        <v>0.0988</v>
      </c>
      <c r="H28" s="126"/>
    </row>
    <row r="29" ht="12.75">
      <c r="H29" s="114"/>
    </row>
    <row r="30" spans="1:8" ht="12.75">
      <c r="A30" t="s">
        <v>398</v>
      </c>
      <c r="D30" s="122">
        <v>0.0725</v>
      </c>
      <c r="H30" s="126"/>
    </row>
    <row r="31" ht="12.75">
      <c r="H31" s="114"/>
    </row>
    <row r="32" spans="1:8" ht="12.75">
      <c r="A32" t="s">
        <v>399</v>
      </c>
      <c r="D32" s="124">
        <f>D22*((D24*D28)+(D26*D30))</f>
        <v>1211684.3832</v>
      </c>
      <c r="H32" s="125"/>
    </row>
    <row r="33" spans="4:8" ht="12.75">
      <c r="D33" s="67"/>
      <c r="H33" s="125"/>
    </row>
    <row r="34" spans="1:11" ht="12.75">
      <c r="A34" t="s">
        <v>400</v>
      </c>
      <c r="D34" s="67">
        <v>343021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401</v>
      </c>
      <c r="D36" s="124">
        <f>D32-D34</f>
        <v>868663.3832</v>
      </c>
      <c r="H36" s="125"/>
      <c r="J36" s="5"/>
      <c r="K36" s="5"/>
    </row>
    <row r="37" spans="1:11" ht="12.75">
      <c r="A37" t="s">
        <v>451</v>
      </c>
      <c r="D37" s="125"/>
      <c r="H37" s="125"/>
      <c r="J37" s="5"/>
      <c r="K37" s="5"/>
    </row>
    <row r="38" spans="1:11" ht="12.75">
      <c r="A38" t="s">
        <v>452</v>
      </c>
      <c r="D38" s="125"/>
      <c r="H38" s="125"/>
      <c r="J38" s="5"/>
      <c r="K38" s="5"/>
    </row>
    <row r="39" spans="1:11" ht="12.75">
      <c r="A39" t="s">
        <v>402</v>
      </c>
      <c r="D39" s="125">
        <v>289554</v>
      </c>
      <c r="F39" s="67"/>
      <c r="H39" s="125"/>
      <c r="J39" s="5"/>
      <c r="K39" s="5"/>
    </row>
    <row r="40" spans="1:11" ht="12.75">
      <c r="A40" t="s">
        <v>403</v>
      </c>
      <c r="D40" s="125">
        <v>289554</v>
      </c>
      <c r="F40" s="67"/>
      <c r="H40" s="125"/>
      <c r="J40" s="5"/>
      <c r="K40" s="5"/>
    </row>
    <row r="41" spans="1:11" ht="12.75">
      <c r="A41" t="s">
        <v>404</v>
      </c>
      <c r="D41" s="125">
        <v>289554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405</v>
      </c>
      <c r="B43" s="5"/>
      <c r="C43" s="5"/>
      <c r="D43" s="89">
        <f>D22*D24</f>
        <v>7073464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406</v>
      </c>
      <c r="B45" s="5"/>
      <c r="C45" s="5"/>
      <c r="D45" s="89">
        <f>D43*D28</f>
        <v>698858.2432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407</v>
      </c>
      <c r="B47" s="5"/>
      <c r="C47" s="5"/>
      <c r="D47" s="89">
        <f>D22*D26</f>
        <v>7073464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408</v>
      </c>
      <c r="B49" s="5"/>
      <c r="C49" s="5"/>
      <c r="D49" s="89">
        <f>D47*D30</f>
        <v>512826.13999999996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409</v>
      </c>
      <c r="B51" s="5"/>
      <c r="C51" s="5"/>
      <c r="D51" s="112">
        <f>((D34+D39)/D32)*D49</f>
        <v>267727.3058960887</v>
      </c>
      <c r="F51" s="5"/>
      <c r="H51" s="111"/>
      <c r="J51" s="5"/>
      <c r="K51" s="5"/>
    </row>
    <row r="52" spans="1:11" ht="12.75">
      <c r="A52" t="s">
        <v>410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411</v>
      </c>
      <c r="B53" s="5"/>
      <c r="C53" s="5"/>
      <c r="D53" s="112">
        <f>((D34+D39+D40)/D32)*D49</f>
        <v>390276.4302393461</v>
      </c>
      <c r="F53" s="5"/>
      <c r="H53" s="111"/>
      <c r="J53" s="5"/>
      <c r="K53" s="5"/>
    </row>
    <row r="54" spans="1:11" ht="12.75">
      <c r="A54" t="s">
        <v>412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413</v>
      </c>
      <c r="B55" s="5"/>
      <c r="C55" s="5"/>
      <c r="D55" s="112">
        <f>D49</f>
        <v>512826.13999999996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5" sqref="K85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441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433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439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434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435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436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158144</v>
      </c>
      <c r="F15" s="10"/>
      <c r="G15" s="70">
        <v>158144</v>
      </c>
      <c r="H15" s="35" t="s">
        <v>144</v>
      </c>
      <c r="I15" s="92">
        <f>+K15-G15</f>
        <v>-369613</v>
      </c>
      <c r="K15" s="100">
        <f>TAXREC!E26</f>
        <v>-211469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166633</v>
      </c>
      <c r="F20" s="5"/>
      <c r="G20" s="70">
        <v>166633</v>
      </c>
      <c r="H20" s="39" t="s">
        <v>147</v>
      </c>
      <c r="I20" s="92">
        <f aca="true" t="shared" si="1" ref="I20:I28">+K20-G20</f>
        <v>31694</v>
      </c>
      <c r="J20" s="5"/>
      <c r="K20" s="100">
        <f>TAXREC!E29</f>
        <v>198327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3627</v>
      </c>
      <c r="J21" s="5"/>
      <c r="K21" s="100">
        <f>TAXREC!E30</f>
        <v>3627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17388</v>
      </c>
      <c r="J22" s="5"/>
      <c r="K22" s="100">
        <f>TAXREC!E31</f>
        <v>17388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15921</v>
      </c>
      <c r="J24" s="5"/>
      <c r="K24" s="100">
        <f>TAXREC!E33</f>
        <v>15921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421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15733</v>
      </c>
      <c r="J28" s="5"/>
      <c r="K28" s="100">
        <f>TAXREC!E84</f>
        <v>15733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-67122</v>
      </c>
      <c r="F30" s="5"/>
      <c r="G30" s="70">
        <v>-67122</v>
      </c>
      <c r="H30" s="39" t="s">
        <v>166</v>
      </c>
      <c r="I30" s="92">
        <f aca="true" t="shared" si="3" ref="I30:I38">+K30-G30</f>
        <v>-99443</v>
      </c>
      <c r="J30" s="5"/>
      <c r="K30" s="100">
        <f>TAXREC!E89</f>
        <v>-166565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432</v>
      </c>
      <c r="B34" s="51">
        <v>12</v>
      </c>
      <c r="C34" s="64"/>
      <c r="D34" s="30" t="s">
        <v>178</v>
      </c>
      <c r="E34" s="92">
        <f t="shared" si="2"/>
        <v>-66932</v>
      </c>
      <c r="F34" s="5"/>
      <c r="G34" s="70">
        <v>-66932</v>
      </c>
      <c r="H34" s="39" t="s">
        <v>179</v>
      </c>
      <c r="I34" s="92">
        <f t="shared" si="3"/>
        <v>-72904</v>
      </c>
      <c r="J34" s="5"/>
      <c r="K34" s="100">
        <f>TAXREC!E93</f>
        <v>-139836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420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-6870</v>
      </c>
      <c r="J38" s="5"/>
      <c r="K38" s="100">
        <f>TAXREC!E133</f>
        <v>-6870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190723</v>
      </c>
      <c r="F40" s="7"/>
      <c r="G40" s="96">
        <f>SUM(G15:G39)</f>
        <v>190723</v>
      </c>
      <c r="H40" s="43"/>
      <c r="I40" s="93">
        <f>SUM(I15:I39)</f>
        <v>-464467</v>
      </c>
      <c r="J40" s="7"/>
      <c r="K40" s="96">
        <f>SUM(K15:K39)</f>
        <v>-273744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0.020000000000000018</v>
      </c>
      <c r="F44" s="5"/>
      <c r="G44" s="72">
        <v>0.4062</v>
      </c>
      <c r="H44" s="39" t="s">
        <v>185</v>
      </c>
      <c r="I44" s="95">
        <f>+K44-G44</f>
        <v>-0.215</v>
      </c>
      <c r="J44" s="5"/>
      <c r="K44" s="101">
        <v>0.1912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77471.6826</v>
      </c>
      <c r="F47" s="7"/>
      <c r="G47" s="96">
        <f>G40*G44</f>
        <v>77471.6826</v>
      </c>
      <c r="H47" s="43"/>
      <c r="I47" s="98">
        <f>K47-G47</f>
        <v>-129811.5354</v>
      </c>
      <c r="J47" s="7"/>
      <c r="K47" s="96">
        <f>K40*K44</f>
        <v>-52339.8528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77471.6826</v>
      </c>
      <c r="F51" s="6"/>
      <c r="G51" s="97">
        <f>+G47-G49</f>
        <v>77471.6826</v>
      </c>
      <c r="H51" s="40"/>
      <c r="I51" s="97">
        <f>+I47-I49</f>
        <v>-129811.5354</v>
      </c>
      <c r="J51" s="6"/>
      <c r="K51" s="97">
        <f>+K47-K49</f>
        <v>-52339.8528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14146928</v>
      </c>
      <c r="F59" s="5"/>
      <c r="G59" s="70">
        <v>14146928</v>
      </c>
      <c r="H59" s="39" t="s">
        <v>191</v>
      </c>
      <c r="I59" s="92">
        <f>+K59-G59</f>
        <v>3057893</v>
      </c>
      <c r="J59" s="5"/>
      <c r="K59" s="100">
        <f>TAXREC!E228</f>
        <v>17204821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-5000000</v>
      </c>
      <c r="F60" s="5"/>
      <c r="G60" s="70">
        <v>-5000000</v>
      </c>
      <c r="H60" s="39" t="s">
        <v>194</v>
      </c>
      <c r="I60" s="92">
        <f>+K60-G60</f>
        <v>0</v>
      </c>
      <c r="J60" s="5"/>
      <c r="K60" s="100">
        <f>TAXREC!E230</f>
        <v>-5000000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9146928</v>
      </c>
      <c r="F61" s="7"/>
      <c r="G61" s="96">
        <f>SUM(G59:G60)</f>
        <v>9146928</v>
      </c>
      <c r="H61" s="43"/>
      <c r="I61" s="98">
        <f>SUM(I59:I60)</f>
        <v>3057893</v>
      </c>
      <c r="J61" s="7"/>
      <c r="K61" s="96">
        <f>SUM(K59:K60)</f>
        <v>12204821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6860.196</v>
      </c>
      <c r="F65" s="7"/>
      <c r="G65" s="96">
        <f>+G61*G63/4</f>
        <v>6860.196</v>
      </c>
      <c r="H65" s="21"/>
      <c r="I65" s="98">
        <f>+K65-G65</f>
        <v>29754.267000000003</v>
      </c>
      <c r="J65" s="7"/>
      <c r="K65" s="96">
        <f>+K61*K63</f>
        <v>36614.463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14146928</v>
      </c>
      <c r="F68" s="8"/>
      <c r="G68" s="70">
        <v>14146928</v>
      </c>
      <c r="H68" s="39" t="s">
        <v>200</v>
      </c>
      <c r="I68" s="92">
        <f>+K68-G68</f>
        <v>2250929</v>
      </c>
      <c r="J68" s="8"/>
      <c r="K68" s="100">
        <f>TAXREC!E299</f>
        <v>16397857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-10000000</v>
      </c>
      <c r="F69" s="8"/>
      <c r="G69" s="70">
        <v>-10000000</v>
      </c>
      <c r="H69" s="39" t="s">
        <v>203</v>
      </c>
      <c r="I69" s="92">
        <f>+K69-G69</f>
        <v>0</v>
      </c>
      <c r="J69" s="8"/>
      <c r="K69" s="100">
        <f>TAXREC!E301</f>
        <v>-10000000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4146928</v>
      </c>
      <c r="F70" s="7"/>
      <c r="G70" s="96">
        <f>SUM(G68:G69)</f>
        <v>4146928</v>
      </c>
      <c r="H70" s="43"/>
      <c r="I70" s="98">
        <f>SUM(I68:I69)</f>
        <v>2250929</v>
      </c>
      <c r="J70" s="7"/>
      <c r="K70" s="96">
        <f>SUM(K68:K69)</f>
        <v>6397857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2332.647</v>
      </c>
      <c r="F74" s="8"/>
      <c r="G74" s="100">
        <f>+G70*G72/4</f>
        <v>2332.647</v>
      </c>
      <c r="H74" s="39"/>
      <c r="I74" s="92">
        <f>+K74-G74</f>
        <v>1266.1475624999998</v>
      </c>
      <c r="J74" s="8"/>
      <c r="K74" s="100">
        <f>+K70*K72/4</f>
        <v>3598.7945624999998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-2136.0976</v>
      </c>
      <c r="F75" s="8"/>
      <c r="G75" s="100">
        <f>(G40*0.0112)*-1</f>
        <v>-2136.0976</v>
      </c>
      <c r="H75" s="39" t="s">
        <v>209</v>
      </c>
      <c r="I75" s="92">
        <f>+K75-G75</f>
        <v>2136.0976</v>
      </c>
      <c r="J75" s="8"/>
      <c r="K75" s="100"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196.54939999999988</v>
      </c>
      <c r="F77" s="7"/>
      <c r="G77" s="96">
        <f>SUM(G74:G76)</f>
        <v>196.54939999999988</v>
      </c>
      <c r="H77" s="21"/>
      <c r="I77" s="98">
        <f>SUM(I74:I76)</f>
        <v>3402.2451625</v>
      </c>
      <c r="J77" s="63"/>
      <c r="K77" s="96">
        <f>SUM(K74:K76)</f>
        <v>3598.7945624999998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128052.3679338843</v>
      </c>
      <c r="F82" s="5"/>
      <c r="G82" s="100">
        <f>G51/(1-(G44-0.0112))</f>
        <v>128052.3679338843</v>
      </c>
      <c r="H82" s="39" t="s">
        <v>212</v>
      </c>
      <c r="I82" s="92">
        <f>+K82-G82</f>
        <v>-128052.3679338843</v>
      </c>
      <c r="J82" s="5"/>
      <c r="K82" s="92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324.87504132231385</v>
      </c>
      <c r="F83" s="5"/>
      <c r="G83" s="100">
        <f>G77/(1-(G44-0.0112))</f>
        <v>324.87504132231385</v>
      </c>
      <c r="H83" s="39" t="s">
        <v>214</v>
      </c>
      <c r="I83" s="92">
        <f>+K83-G83</f>
        <v>-324.87504132231385</v>
      </c>
      <c r="J83" s="5"/>
      <c r="K83" s="92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6860.196</v>
      </c>
      <c r="F84" s="5"/>
      <c r="G84" s="100">
        <f>G65</f>
        <v>6860.196</v>
      </c>
      <c r="H84" s="39" t="s">
        <v>216</v>
      </c>
      <c r="I84" s="92">
        <f>+K84-G84</f>
        <v>-6860.196</v>
      </c>
      <c r="J84" s="5"/>
      <c r="K84" s="92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135237.43897520663</v>
      </c>
      <c r="F87" s="6"/>
      <c r="G87" s="99">
        <f>SUM(G82:G86)</f>
        <v>135237.43897520663</v>
      </c>
      <c r="H87" s="6"/>
      <c r="I87" s="99">
        <f>SUM(I82:I85)</f>
        <v>-135237.43897520663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450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17388</v>
      </c>
      <c r="J98" s="120" t="s">
        <v>426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426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15921</v>
      </c>
      <c r="J100" s="120" t="s">
        <v>426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426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426</v>
      </c>
      <c r="K102" s="67"/>
    </row>
    <row r="103" spans="1:11" ht="12.75">
      <c r="A103" t="s">
        <v>419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426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426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426</v>
      </c>
      <c r="K107" s="67"/>
    </row>
    <row r="108" spans="1:11" ht="12.75">
      <c r="A108" s="110" t="s">
        <v>443</v>
      </c>
      <c r="B108" s="10">
        <v>12</v>
      </c>
      <c r="C108" s="67"/>
      <c r="E108" s="67"/>
      <c r="G108" s="67"/>
      <c r="I108" s="124">
        <f>I135</f>
        <v>-11629.465000000011</v>
      </c>
      <c r="J108" s="120" t="s">
        <v>428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426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426</v>
      </c>
      <c r="K110" s="67"/>
    </row>
    <row r="111" spans="1:11" ht="12.75">
      <c r="A111" t="s">
        <v>418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426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427</v>
      </c>
      <c r="B114" s="10"/>
      <c r="C114" s="67"/>
      <c r="E114" s="67"/>
      <c r="G114" s="67"/>
      <c r="I114" s="149">
        <f>SUM(I98:I102)+SUM(I105:I110)+I112</f>
        <v>21679.53499999999</v>
      </c>
      <c r="J114" s="120" t="s">
        <v>426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424</v>
      </c>
      <c r="I119" s="125"/>
    </row>
    <row r="120" spans="1:9" ht="12.75">
      <c r="A120" s="17"/>
      <c r="I120" s="125"/>
    </row>
    <row r="121" spans="1:9" ht="12.75">
      <c r="A121" s="110" t="s">
        <v>444</v>
      </c>
      <c r="B121" s="10"/>
      <c r="C121" s="67"/>
      <c r="D121" s="67"/>
      <c r="E121" s="67"/>
      <c r="F121" s="67"/>
      <c r="G121" s="67"/>
      <c r="H121" s="67"/>
      <c r="I121" s="148">
        <f>REGINFO!D49*-1/4</f>
        <v>-128206.53499999999</v>
      </c>
    </row>
    <row r="122" spans="1:9" ht="12.75">
      <c r="A122" s="110" t="s">
        <v>445</v>
      </c>
      <c r="B122" s="10"/>
      <c r="C122" s="67"/>
      <c r="D122" s="67"/>
      <c r="E122" s="67"/>
      <c r="F122" s="67"/>
      <c r="G122" s="67"/>
      <c r="H122" s="67"/>
      <c r="I122" s="148">
        <f>G34*-1</f>
        <v>66932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422</v>
      </c>
      <c r="B124" s="10"/>
      <c r="C124" s="67"/>
      <c r="D124" s="67"/>
      <c r="E124" s="67"/>
      <c r="F124" s="67"/>
      <c r="G124" s="67"/>
      <c r="H124" s="67"/>
      <c r="I124" s="150">
        <f>SUM(I121:I123)</f>
        <v>-61274.53499999999</v>
      </c>
    </row>
    <row r="125" spans="1:9" ht="12.75">
      <c r="A125" s="110" t="s">
        <v>423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429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430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446</v>
      </c>
      <c r="B130" s="10"/>
      <c r="C130" s="67"/>
      <c r="D130" s="67"/>
      <c r="E130" s="67"/>
      <c r="F130" s="67"/>
      <c r="G130" s="67"/>
      <c r="H130" s="67"/>
      <c r="I130" s="148">
        <f>K34</f>
        <v>-139836</v>
      </c>
    </row>
    <row r="131" spans="1:9" ht="12.75">
      <c r="A131" s="110" t="s">
        <v>447</v>
      </c>
      <c r="B131" s="10"/>
      <c r="C131" s="67"/>
      <c r="D131" s="67"/>
      <c r="E131" s="67"/>
      <c r="F131" s="67"/>
      <c r="G131" s="67"/>
      <c r="H131" s="67"/>
      <c r="I131" s="148">
        <f>REGINFO!D49/4</f>
        <v>128206.53499999999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425</v>
      </c>
      <c r="B133" s="10"/>
      <c r="C133" s="67"/>
      <c r="D133" s="67"/>
      <c r="E133" s="67"/>
      <c r="F133" s="67"/>
      <c r="G133" s="67"/>
      <c r="H133" s="67"/>
      <c r="I133" s="150">
        <f>SUM(I130:I132)</f>
        <v>-11629.465000000011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448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-11629.465000000011</v>
      </c>
      <c r="J135" t="s">
        <v>431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449</v>
      </c>
      <c r="B137" s="10"/>
      <c r="C137" s="67"/>
      <c r="D137" s="67"/>
      <c r="E137" s="67"/>
      <c r="F137" s="67"/>
      <c r="G137" s="67"/>
      <c r="H137" s="67"/>
      <c r="I137" s="151">
        <f>+I124+I133</f>
        <v>-72904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437</v>
      </c>
      <c r="B10" s="45"/>
      <c r="C10" s="82"/>
      <c r="D10" s="82"/>
      <c r="E10" s="83"/>
      <c r="F10" s="10"/>
    </row>
    <row r="11" spans="1:6" ht="12.75">
      <c r="A11" s="3" t="s">
        <v>438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>
        <v>4715456</v>
      </c>
      <c r="D15" s="128"/>
      <c r="E15" s="129">
        <f>+C15+D15</f>
        <v>4715456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>
        <v>62583</v>
      </c>
      <c r="D16" s="128"/>
      <c r="E16" s="129">
        <f aca="true" t="shared" si="0" ref="E16:E24">+C16+D16</f>
        <v>62583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>
        <v>-295195</v>
      </c>
      <c r="D18" s="128"/>
      <c r="E18" s="129">
        <f t="shared" si="0"/>
        <v>-295195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>
        <v>-116252</v>
      </c>
      <c r="D19" s="128"/>
      <c r="E19" s="129">
        <f t="shared" si="0"/>
        <v>-116252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>
        <v>-4364459</v>
      </c>
      <c r="D20" s="128"/>
      <c r="E20" s="129">
        <f t="shared" si="0"/>
        <v>-4364459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>
        <v>-200685</v>
      </c>
      <c r="D21" s="128"/>
      <c r="E21" s="129">
        <f t="shared" si="0"/>
        <v>-200685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>
        <v>-9290</v>
      </c>
      <c r="D23" s="128"/>
      <c r="E23" s="129">
        <f t="shared" si="0"/>
        <v>-9290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>
        <v>-3627</v>
      </c>
      <c r="D24" s="128"/>
      <c r="E24" s="129">
        <f t="shared" si="0"/>
        <v>-3627</v>
      </c>
      <c r="F24" s="13"/>
      <c r="G24" s="13" t="s">
        <v>360</v>
      </c>
      <c r="H24" s="90">
        <f>-C316</f>
        <v>-3628.373695890411</v>
      </c>
      <c r="I24" s="89">
        <f>-D316</f>
        <v>0</v>
      </c>
      <c r="J24" s="89">
        <f>-E316</f>
        <v>-6694.306495890411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415</v>
      </c>
      <c r="B26" s="80">
        <v>10</v>
      </c>
      <c r="C26" s="130">
        <f>SUM(C15:C25)</f>
        <v>-211469</v>
      </c>
      <c r="D26" s="131">
        <f>SUM(D15:D25)</f>
        <v>0</v>
      </c>
      <c r="E26" s="132">
        <f>SUM(E15:E25)</f>
        <v>-211469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v>198327</v>
      </c>
      <c r="D29" s="134">
        <f>-D21</f>
        <v>0</v>
      </c>
      <c r="E29" s="129">
        <f aca="true" t="shared" si="1" ref="E29:E35">+C29+D29</f>
        <v>198327</v>
      </c>
      <c r="F29" s="10" t="s">
        <v>148</v>
      </c>
    </row>
    <row r="30" spans="1:6" ht="12.75">
      <c r="A30" t="s">
        <v>86</v>
      </c>
      <c r="B30" s="10"/>
      <c r="C30" s="134">
        <f>-C24</f>
        <v>3627</v>
      </c>
      <c r="D30" s="134">
        <f>-D24</f>
        <v>0</v>
      </c>
      <c r="E30" s="129">
        <f t="shared" si="1"/>
        <v>3627</v>
      </c>
      <c r="F30" s="10" t="s">
        <v>151</v>
      </c>
    </row>
    <row r="31" spans="1:6" ht="12.75">
      <c r="A31" t="s">
        <v>19</v>
      </c>
      <c r="B31" s="10"/>
      <c r="C31" s="133">
        <v>17388</v>
      </c>
      <c r="D31" s="133"/>
      <c r="E31" s="129">
        <f t="shared" si="1"/>
        <v>17388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>
        <v>15921</v>
      </c>
      <c r="D33" s="133"/>
      <c r="E33" s="129">
        <f t="shared" si="1"/>
        <v>15921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235263</v>
      </c>
      <c r="D36" s="136">
        <f>SUM(D29:D35)</f>
        <v>0</v>
      </c>
      <c r="E36" s="137">
        <f>SUM(E29:E35)</f>
        <v>235263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>
        <v>843</v>
      </c>
      <c r="D41" s="67"/>
      <c r="E41" s="129">
        <f t="shared" si="2"/>
        <v>843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>
        <v>241</v>
      </c>
      <c r="D53" s="67"/>
      <c r="E53" s="129">
        <f t="shared" si="2"/>
        <v>241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>
        <v>14526</v>
      </c>
      <c r="D66" s="67"/>
      <c r="E66" s="129">
        <f t="shared" si="2"/>
        <v>14526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>
        <v>123</v>
      </c>
      <c r="D77" s="67"/>
      <c r="E77" s="129">
        <f t="shared" si="2"/>
        <v>123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416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15733</v>
      </c>
      <c r="D84" s="139">
        <f>SUM(D38:D82)</f>
        <v>0</v>
      </c>
      <c r="E84" s="140">
        <f>SUM(E38:E82)</f>
        <v>15733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250996</v>
      </c>
      <c r="D86" s="139">
        <f>D36+D84</f>
        <v>0</v>
      </c>
      <c r="E86" s="140">
        <f>E36+E84</f>
        <v>250996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>
        <f>-166513-52</f>
        <v>-166565</v>
      </c>
      <c r="D89" s="67"/>
      <c r="E89" s="129">
        <f aca="true" t="shared" si="3" ref="E89:E95">+C89+D89</f>
        <v>-166565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>
        <v>-139836</v>
      </c>
      <c r="D93" s="67"/>
      <c r="E93" s="129">
        <f t="shared" si="3"/>
        <v>-139836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-306401</v>
      </c>
      <c r="D96" s="139">
        <f>SUM(D89:D95)</f>
        <v>0</v>
      </c>
      <c r="E96" s="140">
        <f>SUM(E89:E95)</f>
        <v>-306401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>
        <v>-2514</v>
      </c>
      <c r="D106" s="67"/>
      <c r="E106" s="129">
        <f t="shared" si="4"/>
        <v>-2514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>
        <v>-3720</v>
      </c>
      <c r="D108" s="67"/>
      <c r="E108" s="129">
        <f t="shared" si="4"/>
        <v>-3720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>
        <v>-636</v>
      </c>
      <c r="D128" s="67"/>
      <c r="E128" s="129">
        <f t="shared" si="4"/>
        <v>-636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417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-6870</v>
      </c>
      <c r="D133" s="139">
        <f>SUM(D97:D132)</f>
        <v>0</v>
      </c>
      <c r="E133" s="140">
        <f>SUM(E97:E132)</f>
        <v>-6870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-313271</v>
      </c>
      <c r="D135" s="139">
        <f>D96+D133</f>
        <v>0</v>
      </c>
      <c r="E135" s="140">
        <f>+E96+E133</f>
        <v>-313271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414</v>
      </c>
      <c r="B138" s="10"/>
      <c r="C138" s="141">
        <f>+C26+C86+C135</f>
        <v>-273744</v>
      </c>
      <c r="D138" s="142">
        <f>D26+D86+D135</f>
        <v>0</v>
      </c>
      <c r="E138" s="143">
        <f>E26+E86+E135</f>
        <v>-273744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>
        <v>7815535</v>
      </c>
      <c r="D148" s="67"/>
      <c r="E148" s="129">
        <f aca="true" t="shared" si="5" ref="E148:E163">+C148+D148</f>
        <v>7815535</v>
      </c>
      <c r="F148" s="10"/>
    </row>
    <row r="149" spans="1:6" ht="12.75">
      <c r="A149" t="s">
        <v>223</v>
      </c>
      <c r="B149" s="10"/>
      <c r="C149" s="67">
        <v>539930</v>
      </c>
      <c r="D149" s="67"/>
      <c r="E149" s="129">
        <f t="shared" si="5"/>
        <v>539930</v>
      </c>
      <c r="F149" s="10"/>
    </row>
    <row r="150" spans="1:6" ht="12.75">
      <c r="A150" t="s">
        <v>224</v>
      </c>
      <c r="B150" s="10"/>
      <c r="C150" s="67">
        <v>778870</v>
      </c>
      <c r="D150" s="67"/>
      <c r="E150" s="129">
        <f t="shared" si="5"/>
        <v>778870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>
        <v>8042392</v>
      </c>
      <c r="D152" s="67"/>
      <c r="E152" s="129">
        <f t="shared" si="5"/>
        <v>8042392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17176727</v>
      </c>
      <c r="D164" s="139">
        <f>SUM(D148:D163)</f>
        <v>0</v>
      </c>
      <c r="E164" s="140">
        <f>SUM(E148:E163)</f>
        <v>17176727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>
        <v>28094</v>
      </c>
      <c r="D166" s="67"/>
      <c r="E166" s="129">
        <f>+C166+D166</f>
        <v>28094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17204821</v>
      </c>
      <c r="D171" s="139">
        <f>SUM(D164:D170)</f>
        <v>0</v>
      </c>
      <c r="E171" s="140">
        <f>SUM(E164:E170)</f>
        <v>17204821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>
        <v>18977932</v>
      </c>
      <c r="D190" s="67"/>
      <c r="E190" s="129">
        <f aca="true" t="shared" si="7" ref="E190:E196">+C190+D190</f>
        <v>18977932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18977932</v>
      </c>
      <c r="D198" s="139">
        <f>SUM(D190:D197)</f>
        <v>0</v>
      </c>
      <c r="E198" s="140">
        <f>SUM(E190:E197)</f>
        <v>18977932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>
        <v>28094</v>
      </c>
      <c r="D203" s="67"/>
      <c r="E203" s="129">
        <f t="shared" si="8"/>
        <v>28094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19006027</v>
      </c>
      <c r="D212" s="139">
        <f>SUM(D198:D211)</f>
        <v>1</v>
      </c>
      <c r="E212" s="140">
        <f>SUM(E198:E211)</f>
        <v>19006028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17204821</v>
      </c>
      <c r="D221" s="124">
        <f>+D171</f>
        <v>0</v>
      </c>
      <c r="E221" s="129">
        <f>+C221+D221</f>
        <v>17204821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17204821</v>
      </c>
      <c r="D224" s="139">
        <f>SUM(D221:D223)</f>
        <v>0</v>
      </c>
      <c r="E224" s="140">
        <f>SUM(E221:E223)</f>
        <v>17204821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17204821</v>
      </c>
      <c r="D228" s="124">
        <f>+D224</f>
        <v>0</v>
      </c>
      <c r="E228" s="129">
        <f>+C228+D228</f>
        <v>17204821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>
        <v>-5000000</v>
      </c>
      <c r="D230" s="67"/>
      <c r="E230" s="129">
        <f>+C230+D230</f>
        <v>-5000000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12204821</v>
      </c>
      <c r="D232" s="145">
        <f>SUM(D228:D231)</f>
        <v>0</v>
      </c>
      <c r="E232" s="146">
        <f>SUM(E228:E231)</f>
        <v>12204821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331</v>
      </c>
      <c r="B237" s="10"/>
      <c r="C237" s="91">
        <f>+C236/365</f>
        <v>0.25205479452054796</v>
      </c>
      <c r="D237" s="91">
        <f>+D236/365</f>
        <v>0.25205479452054796</v>
      </c>
      <c r="E237" s="91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9228.850947945208</v>
      </c>
      <c r="D239" s="145">
        <f>+D232*D234*D237</f>
        <v>0</v>
      </c>
      <c r="E239" s="146">
        <f>+E232*E234*E237</f>
        <v>9228.850947945208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>
        <v>7815535</v>
      </c>
      <c r="D248" s="67"/>
      <c r="E248" s="129">
        <f aca="true" t="shared" si="9" ref="E248:E261">+C248+D248</f>
        <v>7815535</v>
      </c>
      <c r="F248" s="10"/>
    </row>
    <row r="249" spans="1:6" ht="12.75">
      <c r="A249" t="s">
        <v>288</v>
      </c>
      <c r="B249" s="10"/>
      <c r="C249" s="67">
        <v>539930</v>
      </c>
      <c r="D249" s="67"/>
      <c r="E249" s="129">
        <f t="shared" si="9"/>
        <v>539930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>
        <v>8042392</v>
      </c>
      <c r="D255" s="67"/>
      <c r="E255" s="129">
        <f t="shared" si="9"/>
        <v>8042392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16397857</v>
      </c>
      <c r="D263" s="139">
        <f>SUM(D248:D262)</f>
        <v>0</v>
      </c>
      <c r="E263" s="140">
        <f>SUM(E248:E262)</f>
        <v>16397857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16397857</v>
      </c>
      <c r="D276" s="145">
        <f>+D263+D274</f>
        <v>0</v>
      </c>
      <c r="E276" s="146">
        <f>+E263+E274</f>
        <v>16397857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16397857</v>
      </c>
      <c r="D295" s="124">
        <f>+D276</f>
        <v>0</v>
      </c>
      <c r="E295" s="129">
        <f>+C295+D295</f>
        <v>16397857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16397857</v>
      </c>
      <c r="D299" s="139">
        <f>SUM(D295:D298)</f>
        <v>0</v>
      </c>
      <c r="E299" s="140">
        <f>SUM(E295:E298)</f>
        <v>16397857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>
        <v>-10000000</v>
      </c>
      <c r="D301" s="67"/>
      <c r="E301" s="129">
        <f>+C301+D301</f>
        <v>-10000000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6397857</v>
      </c>
      <c r="D303" s="145">
        <f>+D299+D301</f>
        <v>0</v>
      </c>
      <c r="E303" s="146">
        <f>+E299+E301</f>
        <v>6397857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331</v>
      </c>
      <c r="B308" s="10"/>
      <c r="C308" s="91">
        <f>+C307/365</f>
        <v>0.25205479452054796</v>
      </c>
      <c r="D308" s="91">
        <f>+D307/365</f>
        <v>0.25205479452054796</v>
      </c>
      <c r="E308" s="91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3628.373695890411</v>
      </c>
      <c r="D310" s="145">
        <f>+D303*D305*D308</f>
        <v>0</v>
      </c>
      <c r="E310" s="146">
        <f>+E303*E305*E308</f>
        <v>3628.373695890411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v>0</v>
      </c>
      <c r="D314" s="124">
        <f>+D138*D312</f>
        <v>0</v>
      </c>
      <c r="E314" s="124">
        <f>+E138*E312</f>
        <v>-3065.9328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3628.373695890411</v>
      </c>
      <c r="D316" s="142">
        <f>+D310-D314</f>
        <v>0</v>
      </c>
      <c r="E316" s="143">
        <f>+E310-E314</f>
        <v>6694.306495890411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JHoward</cp:lastModifiedBy>
  <cp:lastPrinted>2002-06-27T13:09:32Z</cp:lastPrinted>
  <dcterms:created xsi:type="dcterms:W3CDTF">2001-11-07T16:15:53Z</dcterms:created>
  <dcterms:modified xsi:type="dcterms:W3CDTF">2011-07-25T20:39:54Z</dcterms:modified>
  <cp:category/>
  <cp:version/>
  <cp:contentType/>
  <cp:contentStatus/>
</cp:coreProperties>
</file>