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3870" windowWidth="13020" windowHeight="5190" tabRatio="671" activeTab="1"/>
  </bookViews>
  <sheets>
    <sheet name="1. Summary" sheetId="1" r:id="rId1"/>
    <sheet name="2. Revenue Requirement" sheetId="2" r:id="rId2"/>
    <sheet name="3. PILs" sheetId="3" r:id="rId3"/>
    <sheet name="4. Avg Nt Fix Ass &amp;UCC" sheetId="4" r:id="rId4"/>
    <sheet name="5a. Principal -1555" sheetId="5" r:id="rId5"/>
    <sheet name="5b. Principal -1556" sheetId="6" r:id="rId6"/>
    <sheet name="6. Interest" sheetId="7" r:id="rId7"/>
  </sheets>
  <externalReferences>
    <externalReference r:id="rId10"/>
  </externalReferences>
  <definedNames>
    <definedName name="_xlnm.Print_Area" localSheetId="0">'1. Summary'!$B$1:$E$39</definedName>
    <definedName name="_xlnm.Print_Area" localSheetId="2">'3. PILs'!$B$1:$I$35</definedName>
    <definedName name="_xlnm.Print_Area" localSheetId="3">'4. Avg Nt Fix Ass &amp;UCC'!$B$4:$J$95</definedName>
    <definedName name="_xlnm.Print_Area" localSheetId="4">'5a. Principal -1555'!$A$1:$J$97</definedName>
    <definedName name="_xlnm.Print_Area" localSheetId="5">'5b. Principal -1556'!$A$1:$E$97</definedName>
    <definedName name="_xlnm.Print_Area" localSheetId="6">'6. Interest'!$A$1:$I$85</definedName>
    <definedName name="_xlnm.Print_Titles" localSheetId="6">'6. Interest'!$4:$5</definedName>
  </definedNames>
  <calcPr fullCalcOnLoad="1"/>
</workbook>
</file>

<file path=xl/sharedStrings.xml><?xml version="1.0" encoding="utf-8"?>
<sst xmlns="http://schemas.openxmlformats.org/spreadsheetml/2006/main" count="277" uniqueCount="124">
  <si>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</si>
  <si>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</si>
  <si>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</si>
  <si>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</si>
  <si>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</si>
  <si>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</si>
  <si>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</si>
  <si>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</si>
  <si>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</si>
  <si>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Revenue Requirement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</si>
  <si>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</si>
  <si>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</si>
  <si>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</si>
  <si>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</si>
  <si>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</si>
  <si>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</si>
  <si>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</si>
  <si>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</si>
  <si>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</si>
  <si>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</si>
  <si>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</si>
  <si>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</si>
  <si>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</si>
  <si>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</si>
  <si>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</si>
  <si>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</si>
  <si>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</si>
  <si>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</si>
  <si>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</si>
  <si>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</si>
  <si>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</si>
  <si>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</si>
  <si>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</si>
  <si>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</si>
  <si>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</si>
  <si>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</si>
  <si>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</si>
  <si>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</si>
  <si>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</si>
  <si>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</si>
  <si>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</si>
  <si>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</si>
  <si>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Forecasted</t>
  </si>
  <si>
    <t>CCA Rate Class</t>
  </si>
  <si>
    <t xml:space="preserve">CCA Rate </t>
  </si>
  <si>
    <r>
      <t>Amortization</t>
    </r>
    <r>
      <rPr>
        <i/>
        <sz val="8"/>
        <rFont val="Arial"/>
        <family val="2"/>
      </rPr>
      <t xml:space="preserve"> </t>
    </r>
  </si>
  <si>
    <t>Net Fixed Assets</t>
  </si>
  <si>
    <t>Capital Investment</t>
  </si>
  <si>
    <t>UCC</t>
  </si>
  <si>
    <t>Amortization Year One</t>
  </si>
  <si>
    <t>Amortization Thereafter</t>
  </si>
  <si>
    <t>Incremental Revenue Requirement Calculation</t>
  </si>
  <si>
    <t>Tax Rate</t>
  </si>
  <si>
    <t xml:space="preserve">Month </t>
  </si>
  <si>
    <t xml:space="preserve">Opening Balance </t>
  </si>
  <si>
    <t xml:space="preserve">SM Adder </t>
  </si>
  <si>
    <t xml:space="preserve">Closing Balance (excluding Stranded) </t>
  </si>
  <si>
    <t xml:space="preserve"> </t>
  </si>
  <si>
    <t>Opening Balance (excluding Stranded)</t>
  </si>
  <si>
    <t xml:space="preserve">Rate </t>
  </si>
  <si>
    <t xml:space="preserve">Interest </t>
  </si>
  <si>
    <t xml:space="preserve">To Date </t>
  </si>
  <si>
    <t>15 years</t>
  </si>
  <si>
    <t>Revenue Requirement 2006</t>
  </si>
  <si>
    <t>Revenue Requirement 2007</t>
  </si>
  <si>
    <t>Revenue Requirement 2008</t>
  </si>
  <si>
    <t>Revenue Requirement Total</t>
  </si>
  <si>
    <t>Carrying Cost</t>
  </si>
  <si>
    <t>Smart Meter True-up</t>
  </si>
  <si>
    <t>Smart Meters</t>
  </si>
  <si>
    <t>Fixed Assets</t>
  </si>
  <si>
    <t>Computer Software</t>
  </si>
  <si>
    <t>Accumulated Depreciation</t>
  </si>
  <si>
    <t>Rate Base</t>
  </si>
  <si>
    <t>Revenue Requirement 2009</t>
  </si>
  <si>
    <t>Revenue Requirement 2010</t>
  </si>
  <si>
    <t>Addition to Net Fixed Assets</t>
  </si>
  <si>
    <t>Total</t>
  </si>
  <si>
    <t>Actual</t>
  </si>
  <si>
    <t>Net Fixed Assets - Smart Meters</t>
  </si>
  <si>
    <t>Net Fixed Assets - Computer Software</t>
  </si>
  <si>
    <t>Total Average Fixed Assets</t>
  </si>
  <si>
    <t>Total Amortization expense</t>
  </si>
  <si>
    <t>Total CCA</t>
  </si>
  <si>
    <t>Total closing capital investment</t>
  </si>
  <si>
    <t>5 years</t>
  </si>
  <si>
    <t>Net Fixed Assets - Computer Hardware</t>
  </si>
  <si>
    <t>10 years</t>
  </si>
  <si>
    <t>2006 Actual</t>
  </si>
  <si>
    <t>2007 Actual</t>
  </si>
  <si>
    <t>2008 Actual</t>
  </si>
  <si>
    <t>2009 Actual</t>
  </si>
  <si>
    <t>2010 Actual</t>
  </si>
  <si>
    <t>2011 Forecast</t>
  </si>
  <si>
    <t>Computer Hardware</t>
  </si>
  <si>
    <t>estimate</t>
  </si>
  <si>
    <t xml:space="preserve">Closing Balance (including Rev Reqmt,excluding Stranded) </t>
  </si>
  <si>
    <t>Whitby Hydro Electric Corporation</t>
  </si>
  <si>
    <t xml:space="preserve">Account 1555 Smart Meter Capital and Offset Account – Principal </t>
  </si>
  <si>
    <t>Revenue - Smart Meter Funding Adder</t>
  </si>
  <si>
    <t xml:space="preserve">Capital </t>
  </si>
  <si>
    <t>Opening Balance</t>
  </si>
  <si>
    <t>Capital</t>
  </si>
  <si>
    <t>Accum Dep'n</t>
  </si>
  <si>
    <t>Closing Balance</t>
  </si>
  <si>
    <t xml:space="preserve">Account 1555 – Interest </t>
  </si>
  <si>
    <t>OM&amp;A and Dep'n Expense</t>
  </si>
  <si>
    <t xml:space="preserve">Account 1556 Smart Meter OM&amp;A &amp; Depreciation Expense – Principal </t>
  </si>
  <si>
    <t>Operating Expense</t>
  </si>
  <si>
    <t>Dep'n Expense</t>
  </si>
  <si>
    <t xml:space="preserve">Account 1556 – Interest </t>
  </si>
  <si>
    <t>2012 Forecast</t>
  </si>
  <si>
    <t>Total Projected Costs</t>
  </si>
  <si>
    <t>Summary of Project Costs</t>
  </si>
  <si>
    <t>Actual Capital Capital Costs -2010</t>
  </si>
  <si>
    <t>2011 Projected Costs</t>
  </si>
  <si>
    <t>Total Projected Capital Costs</t>
  </si>
  <si>
    <t>% of Costs</t>
  </si>
  <si>
    <t>Revenue Requirement 2011 (projected)</t>
  </si>
  <si>
    <t>Revenue Requirement 2012 (projected)</t>
  </si>
  <si>
    <t>Review of Smart Meter Forecast - 2012</t>
  </si>
  <si>
    <t>Closing  Balance (excluding Stranded)</t>
  </si>
  <si>
    <t>Revenue Requirement comparison to Smart Meter Funding Adder</t>
  </si>
  <si>
    <t>Smart Meter Funding Adder (SMFA)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</si>
</sst>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  <numFmt numFmtId="185" formatCode="#,##0.0_);\(#,##0.0\)"/>
    <numFmt numFmtId="186" formatCode="_(&quot;$&quot;* #,##0_);_(&quot;$&quot;* \(#,##0\);_(&quot;$&quot;* &quot;-&quot;??_);_(@_)"/>
    <numFmt numFmtId="187" formatCode="&quot;$&quot;#,##0.0000_);\(&quot;$&quot;#,##0.0000\)"/>
    <numFmt numFmtId="188" formatCode="&quot;$&quot;#,##0.0_);\(&quot;$&quot;#,##0.0\)"/>
    <numFmt numFmtId="189" formatCode="_(&quot;$&quot;* #,##0.0_);_(&quot;$&quot;* \(#,##0.0\);_(&quot;$&quot;* &quot;-&quot;??_);_(@_)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_(&quot;$&quot;* #,##0.00000_);_(&quot;$&quot;* \(#,##0.00000\);_(&quot;$&quot;* &quot;-&quot;??_);_(@_)"/>
  </numFmts>
  <fonts count="33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i/>
      <sz val="10"/>
      <color indexed="23"/>
      <name val="Arial"/>
      <family val="2"/>
    </font>
    <font>
      <u val="single"/>
      <sz val="7.5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70" fontId="0" fillId="0" borderId="0" xfId="44" applyFont="1" applyAlignment="1">
      <alignment/>
    </xf>
    <xf numFmtId="173" fontId="0" fillId="0" borderId="0" xfId="44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0" fontId="0" fillId="0" borderId="0" xfId="62" applyNumberFormat="1" applyFont="1" applyAlignment="1">
      <alignment/>
    </xf>
    <xf numFmtId="9" fontId="0" fillId="0" borderId="0" xfId="0" applyNumberFormat="1" applyAlignment="1">
      <alignment horizontal="center"/>
    </xf>
    <xf numFmtId="9" fontId="0" fillId="0" borderId="0" xfId="62" applyFont="1" applyBorder="1" applyAlignment="1">
      <alignment horizontal="center"/>
    </xf>
    <xf numFmtId="9" fontId="0" fillId="0" borderId="0" xfId="62" applyFont="1" applyAlignment="1">
      <alignment horizontal="center"/>
    </xf>
    <xf numFmtId="10" fontId="0" fillId="0" borderId="0" xfId="62" applyNumberFormat="1" applyFont="1" applyAlignment="1">
      <alignment horizontal="center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0" xfId="57" applyFill="1" applyProtection="1">
      <alignment/>
      <protection/>
    </xf>
    <xf numFmtId="0" fontId="23" fillId="0" borderId="0" xfId="57" applyFont="1" applyFill="1" applyProtection="1">
      <alignment/>
      <protection/>
    </xf>
    <xf numFmtId="0" fontId="8" fillId="0" borderId="0" xfId="57" applyFill="1">
      <alignment/>
      <protection/>
    </xf>
    <xf numFmtId="0" fontId="8" fillId="0" borderId="0" xfId="57" applyFill="1" applyAlignment="1" applyProtection="1">
      <alignment horizontal="center"/>
      <protection/>
    </xf>
    <xf numFmtId="0" fontId="24" fillId="0" borderId="0" xfId="57" applyFont="1" applyFill="1" applyProtection="1">
      <alignment/>
      <protection/>
    </xf>
    <xf numFmtId="0" fontId="1" fillId="0" borderId="0" xfId="57" applyFont="1" applyFill="1" applyAlignment="1" applyProtection="1">
      <alignment horizontal="left"/>
      <protection/>
    </xf>
    <xf numFmtId="0" fontId="8" fillId="0" borderId="0" xfId="58" applyFill="1" applyProtection="1">
      <alignment/>
      <protection/>
    </xf>
    <xf numFmtId="0" fontId="23" fillId="0" borderId="0" xfId="58" applyFont="1" applyFill="1" applyProtection="1">
      <alignment/>
      <protection/>
    </xf>
    <xf numFmtId="0" fontId="27" fillId="0" borderId="0" xfId="58" applyFont="1" applyFill="1" applyProtection="1">
      <alignment/>
      <protection/>
    </xf>
    <xf numFmtId="0" fontId="8" fillId="0" borderId="0" xfId="58" applyFill="1">
      <alignment/>
      <protection/>
    </xf>
    <xf numFmtId="0" fontId="8" fillId="0" borderId="0" xfId="58" applyFont="1" applyFill="1" applyProtection="1">
      <alignment/>
      <protection/>
    </xf>
    <xf numFmtId="173" fontId="0" fillId="0" borderId="0" xfId="44" applyNumberFormat="1" applyFont="1" applyFill="1" applyAlignment="1">
      <alignment/>
    </xf>
    <xf numFmtId="173" fontId="8" fillId="0" borderId="0" xfId="44" applyNumberFormat="1" applyFont="1" applyFill="1" applyAlignment="1" applyProtection="1">
      <alignment/>
      <protection/>
    </xf>
    <xf numFmtId="173" fontId="8" fillId="0" borderId="0" xfId="44" applyNumberFormat="1" applyFont="1" applyFill="1" applyAlignment="1" applyProtection="1">
      <alignment horizontal="center"/>
      <protection/>
    </xf>
    <xf numFmtId="173" fontId="8" fillId="0" borderId="11" xfId="44" applyNumberFormat="1" applyFont="1" applyFill="1" applyBorder="1" applyAlignment="1" applyProtection="1">
      <alignment/>
      <protection/>
    </xf>
    <xf numFmtId="173" fontId="8" fillId="0" borderId="0" xfId="44" applyNumberFormat="1" applyFont="1" applyFill="1" applyBorder="1" applyAlignment="1" applyProtection="1">
      <alignment/>
      <protection/>
    </xf>
    <xf numFmtId="173" fontId="8" fillId="0" borderId="0" xfId="44" applyNumberFormat="1" applyFont="1" applyFill="1" applyAlignment="1">
      <alignment/>
    </xf>
    <xf numFmtId="173" fontId="8" fillId="0" borderId="10" xfId="44" applyNumberFormat="1" applyFont="1" applyFill="1" applyBorder="1" applyAlignment="1" applyProtection="1">
      <alignment/>
      <protection/>
    </xf>
    <xf numFmtId="0" fontId="8" fillId="0" borderId="0" xfId="44" applyNumberFormat="1" applyFont="1" applyFill="1" applyAlignment="1" applyProtection="1">
      <alignment horizontal="center"/>
      <protection/>
    </xf>
    <xf numFmtId="0" fontId="0" fillId="24" borderId="0" xfId="0" applyFill="1" applyAlignment="1">
      <alignment/>
    </xf>
    <xf numFmtId="173" fontId="8" fillId="24" borderId="0" xfId="44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0" fontId="8" fillId="0" borderId="0" xfId="57" applyFont="1" applyFill="1" applyProtection="1">
      <alignment/>
      <protection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5" fontId="0" fillId="0" borderId="0" xfId="0" applyNumberFormat="1" applyAlignment="1">
      <alignment/>
    </xf>
    <xf numFmtId="5" fontId="0" fillId="0" borderId="0" xfId="44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5" fontId="0" fillId="0" borderId="10" xfId="44" applyNumberFormat="1" applyFont="1" applyBorder="1" applyAlignment="1">
      <alignment/>
    </xf>
    <xf numFmtId="0" fontId="1" fillId="0" borderId="0" xfId="0" applyFont="1" applyFill="1" applyAlignment="1">
      <alignment/>
    </xf>
    <xf numFmtId="5" fontId="0" fillId="0" borderId="0" xfId="0" applyNumberFormat="1" applyBorder="1" applyAlignment="1">
      <alignment/>
    </xf>
    <xf numFmtId="186" fontId="0" fillId="0" borderId="0" xfId="44" applyNumberFormat="1" applyFont="1" applyAlignment="1">
      <alignment/>
    </xf>
    <xf numFmtId="173" fontId="0" fillId="0" borderId="1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5" fontId="0" fillId="0" borderId="0" xfId="44" applyNumberFormat="1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" fontId="0" fillId="0" borderId="16" xfId="0" applyNumberFormat="1" applyBorder="1" applyAlignment="1">
      <alignment/>
    </xf>
    <xf numFmtId="5" fontId="0" fillId="0" borderId="16" xfId="44" applyNumberFormat="1" applyFont="1" applyBorder="1" applyAlignment="1">
      <alignment/>
    </xf>
    <xf numFmtId="5" fontId="0" fillId="0" borderId="18" xfId="44" applyNumberFormat="1" applyFont="1" applyBorder="1" applyAlignment="1">
      <alignment/>
    </xf>
    <xf numFmtId="5" fontId="0" fillId="0" borderId="19" xfId="44" applyNumberFormat="1" applyFont="1" applyBorder="1" applyAlignment="1">
      <alignment/>
    </xf>
    <xf numFmtId="5" fontId="0" fillId="0" borderId="20" xfId="44" applyNumberFormat="1" applyFont="1" applyBorder="1" applyAlignment="1">
      <alignment/>
    </xf>
    <xf numFmtId="181" fontId="0" fillId="0" borderId="16" xfId="62" applyNumberFormat="1" applyBorder="1" applyAlignment="1">
      <alignment/>
    </xf>
    <xf numFmtId="7" fontId="0" fillId="0" borderId="16" xfId="44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0" fillId="0" borderId="16" xfId="44" applyNumberFormat="1" applyBorder="1" applyAlignment="1">
      <alignment/>
    </xf>
    <xf numFmtId="5" fontId="0" fillId="0" borderId="0" xfId="44" applyNumberFormat="1" applyBorder="1" applyAlignment="1">
      <alignment/>
    </xf>
    <xf numFmtId="5" fontId="0" fillId="0" borderId="0" xfId="44" applyNumberFormat="1" applyAlignment="1">
      <alignment/>
    </xf>
    <xf numFmtId="5" fontId="0" fillId="0" borderId="0" xfId="44" applyNumberFormat="1" applyFont="1" applyAlignment="1">
      <alignment/>
    </xf>
    <xf numFmtId="5" fontId="0" fillId="0" borderId="0" xfId="44" applyNumberFormat="1" applyFont="1" applyBorder="1" applyAlignment="1">
      <alignment/>
    </xf>
    <xf numFmtId="17" fontId="0" fillId="0" borderId="19" xfId="0" applyNumberFormat="1" applyBorder="1" applyAlignment="1">
      <alignment/>
    </xf>
    <xf numFmtId="5" fontId="0" fillId="0" borderId="21" xfId="44" applyNumberFormat="1" applyBorder="1" applyAlignment="1">
      <alignment/>
    </xf>
    <xf numFmtId="7" fontId="0" fillId="0" borderId="0" xfId="0" applyNumberFormat="1" applyAlignment="1">
      <alignment/>
    </xf>
    <xf numFmtId="5" fontId="0" fillId="0" borderId="16" xfId="44" applyNumberFormat="1" applyFill="1" applyBorder="1" applyAlignment="1">
      <alignment/>
    </xf>
    <xf numFmtId="5" fontId="0" fillId="0" borderId="16" xfId="44" applyNumberFormat="1" applyFont="1" applyFill="1" applyBorder="1" applyAlignment="1">
      <alignment/>
    </xf>
    <xf numFmtId="5" fontId="0" fillId="0" borderId="21" xfId="44" applyNumberFormat="1" applyFont="1" applyBorder="1" applyAlignment="1">
      <alignment/>
    </xf>
    <xf numFmtId="186" fontId="8" fillId="0" borderId="0" xfId="44" applyNumberFormat="1" applyFont="1" applyFill="1" applyAlignment="1" applyProtection="1">
      <alignment/>
      <protection/>
    </xf>
    <xf numFmtId="186" fontId="0" fillId="0" borderId="0" xfId="0" applyNumberFormat="1" applyFill="1" applyAlignment="1">
      <alignment/>
    </xf>
    <xf numFmtId="173" fontId="25" fillId="0" borderId="0" xfId="44" applyNumberFormat="1" applyFont="1" applyFill="1" applyBorder="1" applyAlignment="1" applyProtection="1">
      <alignment/>
      <protection/>
    </xf>
    <xf numFmtId="41" fontId="0" fillId="0" borderId="0" xfId="44" applyNumberFormat="1" applyFont="1" applyAlignment="1">
      <alignment/>
    </xf>
    <xf numFmtId="9" fontId="0" fillId="0" borderId="0" xfId="0" applyNumberFormat="1" applyFill="1" applyAlignment="1">
      <alignment horizontal="center"/>
    </xf>
    <xf numFmtId="9" fontId="0" fillId="0" borderId="0" xfId="62" applyFont="1" applyFill="1" applyBorder="1" applyAlignment="1">
      <alignment horizontal="center"/>
    </xf>
    <xf numFmtId="9" fontId="0" fillId="0" borderId="0" xfId="62" applyFont="1" applyFill="1" applyAlignment="1">
      <alignment horizontal="center"/>
    </xf>
    <xf numFmtId="170" fontId="0" fillId="0" borderId="0" xfId="44" applyFont="1" applyFill="1" applyAlignment="1">
      <alignment/>
    </xf>
    <xf numFmtId="10" fontId="0" fillId="0" borderId="0" xfId="62" applyNumberFormat="1" applyFont="1" applyFill="1" applyAlignment="1">
      <alignment horizontal="center"/>
    </xf>
    <xf numFmtId="173" fontId="0" fillId="0" borderId="11" xfId="0" applyNumberForma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44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 quotePrefix="1">
      <alignment/>
    </xf>
    <xf numFmtId="0" fontId="29" fillId="25" borderId="0" xfId="0" applyFont="1" applyFill="1" applyBorder="1" applyAlignment="1">
      <alignment horizontal="center"/>
    </xf>
    <xf numFmtId="41" fontId="1" fillId="25" borderId="12" xfId="44" applyNumberFormat="1" applyFont="1" applyFill="1" applyBorder="1" applyAlignment="1">
      <alignment horizontal="center" wrapText="1"/>
    </xf>
    <xf numFmtId="0" fontId="0" fillId="25" borderId="0" xfId="0" applyFill="1" applyAlignment="1">
      <alignment/>
    </xf>
    <xf numFmtId="41" fontId="0" fillId="25" borderId="11" xfId="44" applyNumberFormat="1" applyFont="1" applyFill="1" applyBorder="1" applyAlignment="1">
      <alignment/>
    </xf>
    <xf numFmtId="41" fontId="1" fillId="25" borderId="22" xfId="44" applyNumberFormat="1" applyFont="1" applyFill="1" applyBorder="1" applyAlignment="1">
      <alignment/>
    </xf>
    <xf numFmtId="41" fontId="0" fillId="25" borderId="12" xfId="44" applyNumberFormat="1" applyFont="1" applyFill="1" applyBorder="1" applyAlignment="1">
      <alignment/>
    </xf>
    <xf numFmtId="9" fontId="0" fillId="25" borderId="12" xfId="62" applyFont="1" applyFill="1" applyBorder="1" applyAlignment="1">
      <alignment/>
    </xf>
    <xf numFmtId="0" fontId="29" fillId="25" borderId="23" xfId="0" applyFont="1" applyFill="1" applyBorder="1" applyAlignment="1">
      <alignment horizontal="center"/>
    </xf>
    <xf numFmtId="0" fontId="29" fillId="25" borderId="24" xfId="0" applyFont="1" applyFill="1" applyBorder="1" applyAlignment="1">
      <alignment horizontal="center"/>
    </xf>
    <xf numFmtId="0" fontId="28" fillId="25" borderId="23" xfId="0" applyFont="1" applyFill="1" applyBorder="1" applyAlignment="1">
      <alignment/>
    </xf>
    <xf numFmtId="0" fontId="0" fillId="25" borderId="0" xfId="0" applyFont="1" applyFill="1" applyBorder="1" applyAlignment="1">
      <alignment horizontal="center" wrapText="1"/>
    </xf>
    <xf numFmtId="0" fontId="0" fillId="25" borderId="24" xfId="0" applyFill="1" applyBorder="1" applyAlignment="1">
      <alignment horizontal="center" wrapText="1"/>
    </xf>
    <xf numFmtId="0" fontId="0" fillId="25" borderId="23" xfId="0" applyFill="1" applyBorder="1" applyAlignment="1">
      <alignment/>
    </xf>
    <xf numFmtId="41" fontId="0" fillId="25" borderId="0" xfId="44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24" xfId="0" applyFill="1" applyBorder="1" applyAlignment="1">
      <alignment/>
    </xf>
    <xf numFmtId="0" fontId="1" fillId="25" borderId="23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9" fontId="0" fillId="25" borderId="0" xfId="62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25" borderId="26" xfId="0" applyFill="1" applyBorder="1" applyAlignment="1">
      <alignment/>
    </xf>
    <xf numFmtId="5" fontId="8" fillId="0" borderId="11" xfId="44" applyNumberFormat="1" applyFont="1" applyFill="1" applyBorder="1" applyAlignment="1" applyProtection="1">
      <alignment/>
      <protection/>
    </xf>
    <xf numFmtId="5" fontId="0" fillId="25" borderId="0" xfId="0" applyNumberFormat="1" applyFill="1" applyAlignment="1">
      <alignment/>
    </xf>
    <xf numFmtId="7" fontId="0" fillId="25" borderId="0" xfId="0" applyNumberFormat="1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12" xfId="0" applyFill="1" applyBorder="1" applyAlignment="1">
      <alignment/>
    </xf>
    <xf numFmtId="5" fontId="0" fillId="20" borderId="11" xfId="0" applyNumberForma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7" xfId="0" applyFill="1" applyBorder="1" applyAlignment="1">
      <alignment/>
    </xf>
    <xf numFmtId="9" fontId="8" fillId="0" borderId="0" xfId="62" applyFont="1" applyFill="1" applyAlignment="1" applyProtection="1">
      <alignment horizontal="center"/>
      <protection/>
    </xf>
    <xf numFmtId="173" fontId="8" fillId="0" borderId="0" xfId="44" applyNumberFormat="1" applyFont="1" applyFill="1" applyBorder="1" applyAlignment="1" applyProtection="1">
      <alignment/>
      <protection/>
    </xf>
    <xf numFmtId="0" fontId="8" fillId="0" borderId="0" xfId="58" applyFont="1" applyFill="1" applyProtection="1">
      <alignment/>
      <protection/>
    </xf>
    <xf numFmtId="173" fontId="8" fillId="0" borderId="0" xfId="44" applyNumberFormat="1" applyFont="1" applyFill="1" applyAlignment="1" applyProtection="1">
      <alignment/>
      <protection/>
    </xf>
    <xf numFmtId="5" fontId="8" fillId="0" borderId="0" xfId="44" applyNumberFormat="1" applyFont="1" applyFill="1" applyAlignment="1" applyProtection="1">
      <alignment/>
      <protection/>
    </xf>
    <xf numFmtId="173" fontId="8" fillId="0" borderId="11" xfId="44" applyNumberFormat="1" applyFont="1" applyFill="1" applyBorder="1" applyAlignment="1" applyProtection="1">
      <alignment/>
      <protection/>
    </xf>
    <xf numFmtId="10" fontId="8" fillId="0" borderId="0" xfId="57" applyNumberFormat="1" applyFont="1" applyFill="1" applyAlignment="1" applyProtection="1">
      <alignment horizontal="center"/>
      <protection/>
    </xf>
    <xf numFmtId="0" fontId="8" fillId="0" borderId="0" xfId="57" applyFont="1" applyFill="1" applyProtection="1">
      <alignment/>
      <protection/>
    </xf>
    <xf numFmtId="0" fontId="8" fillId="0" borderId="0" xfId="57" applyFont="1" applyFill="1">
      <alignment/>
      <protection/>
    </xf>
    <xf numFmtId="173" fontId="8" fillId="0" borderId="12" xfId="44" applyNumberFormat="1" applyFont="1" applyFill="1" applyBorder="1" applyAlignment="1" applyProtection="1">
      <alignment/>
      <protection/>
    </xf>
    <xf numFmtId="170" fontId="8" fillId="0" borderId="0" xfId="44" applyFont="1" applyFill="1" applyAlignment="1" applyProtection="1">
      <alignment/>
      <protection/>
    </xf>
    <xf numFmtId="176" fontId="8" fillId="0" borderId="0" xfId="59" applyNumberFormat="1" applyFont="1" applyFill="1">
      <alignment/>
      <protection/>
    </xf>
    <xf numFmtId="176" fontId="8" fillId="0" borderId="0" xfId="62" applyNumberFormat="1" applyFont="1" applyFill="1" applyAlignment="1" applyProtection="1">
      <alignment/>
      <protection/>
    </xf>
    <xf numFmtId="0" fontId="8" fillId="0" borderId="0" xfId="57" applyFont="1" applyFill="1" applyAlignment="1" applyProtection="1">
      <alignment horizontal="center"/>
      <protection/>
    </xf>
    <xf numFmtId="0" fontId="8" fillId="0" borderId="0" xfId="57" applyFont="1" applyFill="1" applyAlignment="1" applyProtection="1">
      <alignment horizontal="center" wrapText="1"/>
      <protection/>
    </xf>
    <xf numFmtId="37" fontId="8" fillId="0" borderId="0" xfId="44" applyNumberFormat="1" applyFont="1" applyFill="1" applyAlignment="1" applyProtection="1">
      <alignment/>
      <protection/>
    </xf>
    <xf numFmtId="181" fontId="0" fillId="0" borderId="16" xfId="62" applyNumberFormat="1" applyFill="1" applyBorder="1" applyAlignment="1">
      <alignment/>
    </xf>
    <xf numFmtId="0" fontId="27" fillId="25" borderId="0" xfId="0" applyFont="1" applyFill="1" applyAlignment="1">
      <alignment/>
    </xf>
    <xf numFmtId="0" fontId="30" fillId="0" borderId="0" xfId="58" applyFont="1" applyFill="1" applyProtection="1">
      <alignment/>
      <protection/>
    </xf>
    <xf numFmtId="0" fontId="31" fillId="0" borderId="2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25" borderId="29" xfId="44" applyNumberFormat="1" applyFont="1" applyFill="1" applyBorder="1" applyAlignment="1">
      <alignment/>
    </xf>
    <xf numFmtId="0" fontId="0" fillId="25" borderId="29" xfId="0" applyFill="1" applyBorder="1" applyAlignment="1">
      <alignment/>
    </xf>
    <xf numFmtId="0" fontId="32" fillId="20" borderId="19" xfId="0" applyFont="1" applyFill="1" applyBorder="1" applyAlignment="1">
      <alignment/>
    </xf>
    <xf numFmtId="9" fontId="0" fillId="25" borderId="12" xfId="62" applyNumberFormat="1" applyFont="1" applyFill="1" applyBorder="1" applyAlignment="1">
      <alignment/>
    </xf>
    <xf numFmtId="0" fontId="32" fillId="20" borderId="19" xfId="0" applyFont="1" applyFill="1" applyBorder="1" applyAlignment="1">
      <alignment horizontal="center"/>
    </xf>
    <xf numFmtId="0" fontId="32" fillId="20" borderId="11" xfId="0" applyFont="1" applyFill="1" applyBorder="1" applyAlignment="1">
      <alignment horizontal="center"/>
    </xf>
    <xf numFmtId="0" fontId="32" fillId="20" borderId="17" xfId="0" applyFont="1" applyFill="1" applyBorder="1" applyAlignment="1">
      <alignment horizontal="center"/>
    </xf>
    <xf numFmtId="0" fontId="24" fillId="0" borderId="13" xfId="57" applyFont="1" applyFill="1" applyBorder="1" applyAlignment="1" applyProtection="1">
      <alignment horizontal="center"/>
      <protection/>
    </xf>
    <xf numFmtId="0" fontId="24" fillId="0" borderId="15" xfId="57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rmal_Tax Rates for 2006-2012_Sep4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EB\PILs\2011\OEB%20Reporting%20-%20Accrual%20Basis%20LV&amp;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V OEB Rptg"/>
      <sheetName val="LV"/>
      <sheetName val="1555 SM OEB Rptg"/>
      <sheetName val="1555 SM"/>
      <sheetName val="1555 SM2 -Stranded Meter Costs"/>
      <sheetName val="1556 SM OMA OEB Rptg"/>
      <sheetName val="1556 SM OM&amp;A"/>
      <sheetName val="GL Account Rec"/>
    </sheetNames>
    <sheetDataSet>
      <sheetData sheetId="3">
        <row r="10">
          <cell r="C10">
            <v>0</v>
          </cell>
          <cell r="E10">
            <v>-271</v>
          </cell>
          <cell r="F10">
            <v>-9455</v>
          </cell>
        </row>
        <row r="11">
          <cell r="C11">
            <v>0</v>
          </cell>
          <cell r="E11">
            <v>-5402</v>
          </cell>
          <cell r="F11">
            <v>503</v>
          </cell>
        </row>
        <row r="12">
          <cell r="C12">
            <v>0</v>
          </cell>
          <cell r="E12">
            <v>-8166</v>
          </cell>
          <cell r="F12">
            <v>-10706</v>
          </cell>
        </row>
        <row r="13">
          <cell r="C13">
            <v>0</v>
          </cell>
          <cell r="E13">
            <v>-11648</v>
          </cell>
          <cell r="F13">
            <v>853</v>
          </cell>
        </row>
        <row r="14">
          <cell r="C14">
            <v>0</v>
          </cell>
          <cell r="E14">
            <v>-10434</v>
          </cell>
          <cell r="F14">
            <v>1506</v>
          </cell>
        </row>
        <row r="15">
          <cell r="C15">
            <v>0</v>
          </cell>
          <cell r="E15">
            <v>-9546</v>
          </cell>
          <cell r="F15">
            <v>1342</v>
          </cell>
        </row>
        <row r="16">
          <cell r="C16">
            <v>0</v>
          </cell>
          <cell r="E16">
            <v>-9791</v>
          </cell>
          <cell r="F16">
            <v>0</v>
          </cell>
        </row>
        <row r="17">
          <cell r="C17">
            <v>0</v>
          </cell>
          <cell r="E17">
            <v>-8689</v>
          </cell>
          <cell r="F17">
            <v>-2312</v>
          </cell>
        </row>
        <row r="18">
          <cell r="C18">
            <v>0</v>
          </cell>
          <cell r="E18">
            <v>-12101</v>
          </cell>
        </row>
        <row r="19">
          <cell r="C19">
            <v>0</v>
          </cell>
          <cell r="E19">
            <v>-10972</v>
          </cell>
        </row>
        <row r="20">
          <cell r="C20">
            <v>0</v>
          </cell>
          <cell r="E20">
            <v>-9860</v>
          </cell>
          <cell r="F20">
            <v>-1270</v>
          </cell>
        </row>
        <row r="21">
          <cell r="C21">
            <v>0</v>
          </cell>
          <cell r="E21">
            <v>-8984</v>
          </cell>
          <cell r="F21">
            <v>585</v>
          </cell>
        </row>
        <row r="22">
          <cell r="C22">
            <v>0</v>
          </cell>
          <cell r="E22">
            <v>-11934</v>
          </cell>
          <cell r="F22">
            <v>2808</v>
          </cell>
        </row>
        <row r="23">
          <cell r="C23">
            <v>0</v>
          </cell>
          <cell r="E23">
            <v>-9626</v>
          </cell>
          <cell r="F23">
            <v>2</v>
          </cell>
        </row>
        <row r="24">
          <cell r="C24">
            <v>0</v>
          </cell>
          <cell r="E24">
            <v>-12656</v>
          </cell>
          <cell r="F24">
            <v>596</v>
          </cell>
        </row>
        <row r="25">
          <cell r="C25">
            <v>5820.5</v>
          </cell>
          <cell r="E25">
            <v>-9719</v>
          </cell>
          <cell r="F25">
            <v>-2332</v>
          </cell>
        </row>
        <row r="26">
          <cell r="C26">
            <v>19999.6</v>
          </cell>
          <cell r="E26">
            <v>-9870</v>
          </cell>
          <cell r="F26">
            <v>-1334</v>
          </cell>
        </row>
        <row r="27">
          <cell r="C27">
            <v>7757.5</v>
          </cell>
          <cell r="E27">
            <v>-11139</v>
          </cell>
          <cell r="F27">
            <v>3733</v>
          </cell>
        </row>
        <row r="28">
          <cell r="C28">
            <v>22620.64</v>
          </cell>
          <cell r="E28">
            <v>-9979</v>
          </cell>
          <cell r="F28">
            <v>0</v>
          </cell>
        </row>
        <row r="29">
          <cell r="C29">
            <v>18829.89</v>
          </cell>
          <cell r="E29">
            <v>-8566</v>
          </cell>
          <cell r="F29">
            <v>-3030</v>
          </cell>
        </row>
        <row r="30">
          <cell r="C30">
            <v>11085.05</v>
          </cell>
          <cell r="E30">
            <v>-13947</v>
          </cell>
        </row>
        <row r="31">
          <cell r="C31">
            <v>10392.74</v>
          </cell>
          <cell r="E31">
            <v>-8475</v>
          </cell>
        </row>
        <row r="32">
          <cell r="C32">
            <v>21323.75</v>
          </cell>
          <cell r="E32">
            <v>-10823</v>
          </cell>
          <cell r="F32">
            <v>1408</v>
          </cell>
        </row>
        <row r="33">
          <cell r="C33">
            <v>11522.71</v>
          </cell>
          <cell r="E33">
            <v>-10422</v>
          </cell>
          <cell r="F33">
            <v>-3320</v>
          </cell>
        </row>
        <row r="34">
          <cell r="C34">
            <v>10562.65</v>
          </cell>
          <cell r="E34">
            <v>-11487</v>
          </cell>
          <cell r="F34">
            <v>6367</v>
          </cell>
        </row>
        <row r="35">
          <cell r="C35">
            <v>10481.71</v>
          </cell>
          <cell r="E35">
            <v>-9208</v>
          </cell>
          <cell r="F35">
            <v>-6670</v>
          </cell>
        </row>
        <row r="36">
          <cell r="C36">
            <v>12372.43</v>
          </cell>
          <cell r="E36">
            <v>-13551</v>
          </cell>
          <cell r="F36">
            <v>0</v>
          </cell>
        </row>
        <row r="37">
          <cell r="C37">
            <v>27324.95</v>
          </cell>
          <cell r="E37">
            <v>-9913</v>
          </cell>
          <cell r="F37">
            <v>24</v>
          </cell>
        </row>
        <row r="38">
          <cell r="C38">
            <v>16215.06</v>
          </cell>
          <cell r="E38">
            <v>-10180</v>
          </cell>
          <cell r="F38">
            <v>231</v>
          </cell>
        </row>
        <row r="39">
          <cell r="C39">
            <v>23589.96</v>
          </cell>
          <cell r="E39">
            <v>-11354</v>
          </cell>
          <cell r="F39">
            <v>0</v>
          </cell>
        </row>
        <row r="40">
          <cell r="C40">
            <v>12616.82</v>
          </cell>
          <cell r="E40">
            <v>-9579</v>
          </cell>
          <cell r="F40">
            <v>0</v>
          </cell>
        </row>
        <row r="41">
          <cell r="C41">
            <v>363984.89</v>
          </cell>
          <cell r="E41">
            <v>-9784</v>
          </cell>
          <cell r="F41">
            <v>-614</v>
          </cell>
        </row>
        <row r="42">
          <cell r="C42">
            <v>16588.38</v>
          </cell>
          <cell r="E42">
            <v>-12449</v>
          </cell>
        </row>
        <row r="43">
          <cell r="C43">
            <v>24411.16</v>
          </cell>
          <cell r="E43">
            <v>-9446</v>
          </cell>
        </row>
        <row r="44">
          <cell r="C44">
            <v>13976.4</v>
          </cell>
          <cell r="E44">
            <v>-12287</v>
          </cell>
          <cell r="F44">
            <v>218</v>
          </cell>
        </row>
        <row r="45">
          <cell r="C45">
            <v>31376.41</v>
          </cell>
          <cell r="E45">
            <v>-9551</v>
          </cell>
          <cell r="F45">
            <v>74</v>
          </cell>
        </row>
        <row r="46">
          <cell r="C46">
            <v>14323.43</v>
          </cell>
          <cell r="E46">
            <v>-12148</v>
          </cell>
          <cell r="F46">
            <v>-32800</v>
          </cell>
        </row>
        <row r="47">
          <cell r="C47">
            <v>163143.11</v>
          </cell>
          <cell r="E47">
            <v>-26663</v>
          </cell>
          <cell r="F47">
            <v>-15672</v>
          </cell>
        </row>
        <row r="48">
          <cell r="C48">
            <v>28107.6</v>
          </cell>
          <cell r="E48">
            <v>-39633</v>
          </cell>
          <cell r="F48">
            <v>-1460</v>
          </cell>
        </row>
        <row r="49">
          <cell r="C49">
            <v>151334.33</v>
          </cell>
          <cell r="E49">
            <v>-31150</v>
          </cell>
          <cell r="F49">
            <v>1</v>
          </cell>
        </row>
        <row r="50">
          <cell r="C50">
            <v>49921.99</v>
          </cell>
          <cell r="E50">
            <v>-41952</v>
          </cell>
          <cell r="F50">
            <v>-14</v>
          </cell>
        </row>
        <row r="51">
          <cell r="C51">
            <v>61352.36</v>
          </cell>
          <cell r="E51">
            <v>-36034</v>
          </cell>
          <cell r="F51">
            <v>11</v>
          </cell>
        </row>
        <row r="52">
          <cell r="C52">
            <v>20054.35</v>
          </cell>
          <cell r="E52">
            <v>-46787</v>
          </cell>
          <cell r="F52">
            <v>0</v>
          </cell>
        </row>
        <row r="53">
          <cell r="C53">
            <v>42388.74</v>
          </cell>
          <cell r="D53">
            <v>-142175</v>
          </cell>
          <cell r="E53">
            <v>-28814</v>
          </cell>
          <cell r="F53">
            <v>-4006</v>
          </cell>
        </row>
        <row r="54">
          <cell r="C54">
            <v>157678.24</v>
          </cell>
          <cell r="D54">
            <v>0</v>
          </cell>
          <cell r="E54">
            <v>-49349</v>
          </cell>
          <cell r="F54">
            <v>0</v>
          </cell>
        </row>
        <row r="55">
          <cell r="C55">
            <v>54279.33</v>
          </cell>
          <cell r="D55">
            <v>0</v>
          </cell>
          <cell r="E55">
            <v>-31529</v>
          </cell>
          <cell r="F55">
            <v>0</v>
          </cell>
        </row>
        <row r="56">
          <cell r="C56">
            <v>67611.28</v>
          </cell>
          <cell r="D56">
            <v>-35550</v>
          </cell>
          <cell r="E56">
            <v>-51919</v>
          </cell>
          <cell r="F56">
            <v>569</v>
          </cell>
        </row>
        <row r="57">
          <cell r="C57">
            <v>107887.94</v>
          </cell>
          <cell r="D57">
            <v>0</v>
          </cell>
          <cell r="E57">
            <v>-35582</v>
          </cell>
          <cell r="F57">
            <v>-335</v>
          </cell>
        </row>
        <row r="58">
          <cell r="C58">
            <v>20737.53</v>
          </cell>
          <cell r="D58">
            <v>-23700</v>
          </cell>
          <cell r="E58">
            <v>-37224</v>
          </cell>
          <cell r="F58">
            <v>-2511</v>
          </cell>
        </row>
        <row r="59">
          <cell r="C59">
            <v>310184.02</v>
          </cell>
          <cell r="D59">
            <v>-11850</v>
          </cell>
          <cell r="E59">
            <v>-37553</v>
          </cell>
          <cell r="F59">
            <v>-1175</v>
          </cell>
        </row>
        <row r="60">
          <cell r="C60">
            <v>15562.9</v>
          </cell>
          <cell r="E60">
            <v>-45107</v>
          </cell>
          <cell r="F60">
            <v>-30</v>
          </cell>
        </row>
        <row r="61">
          <cell r="C61">
            <v>1134508.0999999999</v>
          </cell>
          <cell r="D61">
            <v>-226148</v>
          </cell>
          <cell r="E61">
            <v>-33709</v>
          </cell>
          <cell r="F61">
            <v>18</v>
          </cell>
        </row>
        <row r="62">
          <cell r="C62">
            <v>628591.95</v>
          </cell>
          <cell r="D62">
            <v>-37156</v>
          </cell>
          <cell r="E62">
            <v>-45013</v>
          </cell>
          <cell r="F62">
            <v>180</v>
          </cell>
        </row>
        <row r="63">
          <cell r="C63">
            <v>602281.45</v>
          </cell>
          <cell r="D63">
            <v>-37156</v>
          </cell>
          <cell r="E63">
            <v>-35248</v>
          </cell>
          <cell r="F63">
            <v>2516</v>
          </cell>
        </row>
        <row r="64">
          <cell r="C64">
            <v>350173.91</v>
          </cell>
          <cell r="D64">
            <v>-37156</v>
          </cell>
          <cell r="E64">
            <v>-45109</v>
          </cell>
          <cell r="F64">
            <v>-59</v>
          </cell>
        </row>
        <row r="65">
          <cell r="C65">
            <v>149723.33</v>
          </cell>
          <cell r="D65">
            <v>-2229.5</v>
          </cell>
          <cell r="E65">
            <v>-26278</v>
          </cell>
          <cell r="F65">
            <v>-228</v>
          </cell>
        </row>
        <row r="66">
          <cell r="C66">
            <v>0</v>
          </cell>
          <cell r="D66">
            <v>0</v>
          </cell>
          <cell r="E66">
            <v>-40418.43</v>
          </cell>
        </row>
        <row r="67">
          <cell r="C67">
            <v>0</v>
          </cell>
          <cell r="D67">
            <v>0</v>
          </cell>
          <cell r="E67">
            <v>-54797.48</v>
          </cell>
        </row>
        <row r="68">
          <cell r="C68">
            <v>432234.68</v>
          </cell>
          <cell r="D68">
            <v>-26250</v>
          </cell>
          <cell r="E68">
            <v>-105481.37</v>
          </cell>
          <cell r="F68">
            <v>-86359</v>
          </cell>
        </row>
        <row r="69">
          <cell r="C69">
            <v>43791.42</v>
          </cell>
          <cell r="D69">
            <v>-8750</v>
          </cell>
          <cell r="E69">
            <v>-67553.33</v>
          </cell>
          <cell r="F69">
            <v>-120</v>
          </cell>
        </row>
        <row r="70">
          <cell r="C70">
            <v>41428.4</v>
          </cell>
          <cell r="D70">
            <v>-8750</v>
          </cell>
          <cell r="E70">
            <v>-90670.3</v>
          </cell>
          <cell r="F70">
            <v>378</v>
          </cell>
        </row>
        <row r="71">
          <cell r="C71">
            <v>127404.28</v>
          </cell>
          <cell r="D71">
            <v>-8750</v>
          </cell>
          <cell r="E71">
            <v>-79038.76</v>
          </cell>
          <cell r="F71">
            <v>-11</v>
          </cell>
        </row>
        <row r="72">
          <cell r="C72">
            <v>295913.55</v>
          </cell>
          <cell r="D72">
            <v>-8750</v>
          </cell>
          <cell r="E72">
            <v>-90673.23</v>
          </cell>
          <cell r="F72">
            <v>-59</v>
          </cell>
        </row>
      </sheetData>
      <sheetData sheetId="6">
        <row r="53">
          <cell r="C53">
            <v>50841.58</v>
          </cell>
          <cell r="D53">
            <v>142175</v>
          </cell>
          <cell r="E53">
            <v>0</v>
          </cell>
          <cell r="F53">
            <v>0</v>
          </cell>
        </row>
        <row r="54">
          <cell r="C54">
            <v>687.4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4187.24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3697.92</v>
          </cell>
          <cell r="D56">
            <v>35550</v>
          </cell>
          <cell r="E56">
            <v>0</v>
          </cell>
          <cell r="F56">
            <v>0</v>
          </cell>
        </row>
        <row r="57">
          <cell r="C57">
            <v>4052.03</v>
          </cell>
          <cell r="D57">
            <v>0</v>
          </cell>
          <cell r="E57">
            <v>0</v>
          </cell>
          <cell r="F57">
            <v>700</v>
          </cell>
        </row>
        <row r="58">
          <cell r="C58">
            <v>3059</v>
          </cell>
          <cell r="D58">
            <v>23700</v>
          </cell>
          <cell r="E58">
            <v>0</v>
          </cell>
          <cell r="F58">
            <v>837</v>
          </cell>
        </row>
        <row r="59">
          <cell r="C59">
            <v>21270.36</v>
          </cell>
          <cell r="D59">
            <v>11850</v>
          </cell>
          <cell r="E59">
            <v>0</v>
          </cell>
          <cell r="F59">
            <v>318.6</v>
          </cell>
        </row>
        <row r="60">
          <cell r="C60">
            <v>1689.21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6089.46</v>
          </cell>
          <cell r="D61">
            <v>226148</v>
          </cell>
          <cell r="E61">
            <v>0</v>
          </cell>
          <cell r="F61">
            <v>0</v>
          </cell>
        </row>
        <row r="62">
          <cell r="C62">
            <v>14381.07</v>
          </cell>
          <cell r="D62">
            <v>37156</v>
          </cell>
          <cell r="E62">
            <v>0</v>
          </cell>
          <cell r="F62">
            <v>0</v>
          </cell>
        </row>
        <row r="63">
          <cell r="C63">
            <v>4108.48</v>
          </cell>
          <cell r="D63">
            <v>37156</v>
          </cell>
          <cell r="E63">
            <v>0</v>
          </cell>
          <cell r="F63">
            <v>0</v>
          </cell>
        </row>
        <row r="64">
          <cell r="C64">
            <v>8928.42</v>
          </cell>
          <cell r="D64">
            <v>37156</v>
          </cell>
          <cell r="E64">
            <v>0</v>
          </cell>
          <cell r="F64">
            <v>0</v>
          </cell>
        </row>
        <row r="65">
          <cell r="C65">
            <v>13840.32</v>
          </cell>
          <cell r="D65">
            <v>-105783.89</v>
          </cell>
          <cell r="E65">
            <v>108013.39</v>
          </cell>
          <cell r="F65">
            <v>0</v>
          </cell>
        </row>
        <row r="66">
          <cell r="C66">
            <v>6311.39</v>
          </cell>
          <cell r="D66">
            <v>8750</v>
          </cell>
          <cell r="E66">
            <v>0</v>
          </cell>
          <cell r="F66">
            <v>0</v>
          </cell>
        </row>
        <row r="67">
          <cell r="C67">
            <v>5950.69</v>
          </cell>
          <cell r="D67">
            <v>8750</v>
          </cell>
          <cell r="E67">
            <v>0</v>
          </cell>
          <cell r="F67">
            <v>0</v>
          </cell>
        </row>
        <row r="68">
          <cell r="C68">
            <v>5909.04</v>
          </cell>
          <cell r="D68">
            <v>8750</v>
          </cell>
          <cell r="E68">
            <v>0</v>
          </cell>
          <cell r="F68">
            <v>0</v>
          </cell>
        </row>
        <row r="69">
          <cell r="C69">
            <v>5921.78</v>
          </cell>
          <cell r="D69">
            <v>8750</v>
          </cell>
          <cell r="E69">
            <v>0</v>
          </cell>
          <cell r="F69">
            <v>0</v>
          </cell>
        </row>
        <row r="70">
          <cell r="C70">
            <v>33693.94</v>
          </cell>
          <cell r="D70">
            <v>8750</v>
          </cell>
          <cell r="E70">
            <v>0</v>
          </cell>
          <cell r="F70">
            <v>700</v>
          </cell>
        </row>
        <row r="71">
          <cell r="C71">
            <v>6102.45</v>
          </cell>
          <cell r="D71">
            <v>8750</v>
          </cell>
          <cell r="E71">
            <v>0</v>
          </cell>
          <cell r="F71">
            <v>0</v>
          </cell>
        </row>
        <row r="72">
          <cell r="C72">
            <v>13118.52</v>
          </cell>
          <cell r="D72">
            <v>8750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">
      <selection activeCell="D38" sqref="D38"/>
    </sheetView>
  </sheetViews>
  <sheetFormatPr defaultColWidth="8.88671875" defaultRowHeight="15"/>
  <cols>
    <col min="1" max="1" width="5.21484375" style="0" customWidth="1"/>
    <col min="2" max="2" width="36.21484375" style="0" bestFit="1" customWidth="1"/>
    <col min="3" max="3" width="15.4453125" style="40" customWidth="1"/>
    <col min="4" max="4" width="10.88671875" style="0" customWidth="1"/>
    <col min="5" max="5" width="2.5546875" style="0" customWidth="1"/>
    <col min="7" max="7" width="10.99609375" style="0" bestFit="1" customWidth="1"/>
  </cols>
  <sheetData>
    <row r="1" spans="2:5" ht="15">
      <c r="B1" s="94"/>
      <c r="C1" s="114"/>
      <c r="D1" s="94"/>
      <c r="E1" s="94"/>
    </row>
    <row r="2" spans="2:5" ht="18">
      <c r="B2" s="138" t="s">
        <v>97</v>
      </c>
      <c r="C2" s="114"/>
      <c r="D2" s="94"/>
      <c r="E2" s="94"/>
    </row>
    <row r="3" spans="2:5" ht="18">
      <c r="B3" s="138" t="s">
        <v>120</v>
      </c>
      <c r="C3" s="114"/>
      <c r="D3" s="114"/>
      <c r="E3" s="94"/>
    </row>
    <row r="4" spans="2:5" ht="15">
      <c r="B4" s="94"/>
      <c r="C4" s="114"/>
      <c r="D4" s="94"/>
      <c r="E4" s="94"/>
    </row>
    <row r="5" spans="2:5" ht="16.5">
      <c r="B5" s="149" t="s">
        <v>122</v>
      </c>
      <c r="C5" s="118"/>
      <c r="D5" s="119"/>
      <c r="E5" s="120"/>
    </row>
    <row r="6" spans="2:5" ht="15">
      <c r="B6" s="104" t="s">
        <v>63</v>
      </c>
      <c r="C6" s="105">
        <f>+'5a. Principal -1555'!L90</f>
        <v>0</v>
      </c>
      <c r="D6" s="106"/>
      <c r="E6" s="107"/>
    </row>
    <row r="7" spans="2:5" ht="15">
      <c r="B7" s="104" t="s">
        <v>64</v>
      </c>
      <c r="C7" s="105">
        <f>+'5a. Principal -1555'!L91</f>
        <v>0</v>
      </c>
      <c r="D7" s="106"/>
      <c r="E7" s="107"/>
    </row>
    <row r="8" spans="2:5" ht="15">
      <c r="B8" s="104" t="s">
        <v>65</v>
      </c>
      <c r="C8" s="105">
        <f>+'5a. Principal -1555'!L92</f>
        <v>0</v>
      </c>
      <c r="D8" s="106"/>
      <c r="E8" s="107"/>
    </row>
    <row r="9" spans="2:5" ht="15">
      <c r="B9" s="104" t="s">
        <v>74</v>
      </c>
      <c r="C9" s="105">
        <f>+'5a. Principal -1555'!L93</f>
        <v>243735.56898699302</v>
      </c>
      <c r="D9" s="106"/>
      <c r="E9" s="107"/>
    </row>
    <row r="10" spans="2:5" ht="15">
      <c r="B10" s="104" t="s">
        <v>75</v>
      </c>
      <c r="C10" s="105">
        <f>+'5a. Principal -1555'!L94</f>
        <v>762490.3509858198</v>
      </c>
      <c r="D10" s="106"/>
      <c r="E10" s="107"/>
    </row>
    <row r="11" spans="2:5" ht="15">
      <c r="B11" s="109" t="s">
        <v>118</v>
      </c>
      <c r="C11" s="105">
        <f>+'5a. Principal -1555'!L95</f>
        <v>1082845.1148295389</v>
      </c>
      <c r="D11" s="115"/>
      <c r="E11" s="107"/>
    </row>
    <row r="12" spans="2:7" ht="15">
      <c r="B12" s="109" t="s">
        <v>119</v>
      </c>
      <c r="C12" s="105">
        <f>'2. Revenue Requirement'!P27</f>
        <v>1292721.2435012122</v>
      </c>
      <c r="D12" s="115"/>
      <c r="E12" s="107"/>
      <c r="G12" s="145"/>
    </row>
    <row r="13" spans="2:5" ht="15">
      <c r="B13" s="104" t="s">
        <v>66</v>
      </c>
      <c r="C13" s="95">
        <f>SUM(C6:C12)</f>
        <v>3381792.2783035636</v>
      </c>
      <c r="D13" s="106"/>
      <c r="E13" s="107"/>
    </row>
    <row r="14" spans="2:7" ht="15">
      <c r="B14" s="104"/>
      <c r="C14" s="105"/>
      <c r="D14" s="106"/>
      <c r="E14" s="107"/>
      <c r="G14" s="146"/>
    </row>
    <row r="15" spans="2:5" ht="15">
      <c r="B15" s="104" t="s">
        <v>123</v>
      </c>
      <c r="C15" s="105">
        <f>'5a. Principal -1555'!C97</f>
        <v>-3213396.9</v>
      </c>
      <c r="D15" s="106"/>
      <c r="E15" s="107"/>
    </row>
    <row r="16" spans="2:5" ht="15">
      <c r="B16" s="104" t="s">
        <v>67</v>
      </c>
      <c r="C16" s="105">
        <f>'6. Interest'!E85+'6. Interest'!I85</f>
        <v>127875.59591200002</v>
      </c>
      <c r="D16" s="106"/>
      <c r="E16" s="107"/>
    </row>
    <row r="17" spans="2:7" ht="20.25" customHeight="1">
      <c r="B17" s="116" t="s">
        <v>68</v>
      </c>
      <c r="C17" s="95">
        <f>SUM(C13:C16)</f>
        <v>296270.97421556374</v>
      </c>
      <c r="D17" s="117"/>
      <c r="E17" s="112"/>
      <c r="G17" s="40"/>
    </row>
    <row r="18" spans="2:7" ht="20.25" customHeight="1">
      <c r="B18" s="148"/>
      <c r="C18" s="147"/>
      <c r="D18" s="148"/>
      <c r="E18" s="148"/>
      <c r="G18" s="40"/>
    </row>
    <row r="19" spans="2:7" ht="15">
      <c r="B19" s="117"/>
      <c r="C19" s="97"/>
      <c r="D19" s="117"/>
      <c r="E19" s="117"/>
      <c r="G19" s="40"/>
    </row>
    <row r="20" spans="2:7" ht="16.5">
      <c r="B20" s="151" t="s">
        <v>113</v>
      </c>
      <c r="C20" s="152"/>
      <c r="D20" s="152"/>
      <c r="E20" s="153"/>
      <c r="G20" s="73"/>
    </row>
    <row r="21" spans="2:5" ht="18">
      <c r="B21" s="99"/>
      <c r="C21" s="92"/>
      <c r="D21" s="92"/>
      <c r="E21" s="100"/>
    </row>
    <row r="22" spans="2:8" ht="31.5">
      <c r="B22" s="101" t="s">
        <v>70</v>
      </c>
      <c r="C22" s="93" t="s">
        <v>112</v>
      </c>
      <c r="D22" s="102"/>
      <c r="E22" s="103"/>
      <c r="F22" s="89"/>
      <c r="G22" s="90"/>
      <c r="H22" s="56"/>
    </row>
    <row r="23" spans="2:5" ht="15">
      <c r="B23" s="104" t="s">
        <v>69</v>
      </c>
      <c r="C23" s="105">
        <f>+'4. Avg Nt Fix Ass &amp;UCC'!I10</f>
        <v>5143335</v>
      </c>
      <c r="D23" s="106"/>
      <c r="E23" s="107"/>
    </row>
    <row r="24" spans="2:5" ht="15">
      <c r="B24" s="104" t="s">
        <v>71</v>
      </c>
      <c r="C24" s="105">
        <f>+'4. Avg Nt Fix Ass &amp;UCC'!I27</f>
        <v>1061203</v>
      </c>
      <c r="D24" s="106"/>
      <c r="E24" s="107"/>
    </row>
    <row r="25" spans="2:5" ht="15">
      <c r="B25" s="104" t="s">
        <v>94</v>
      </c>
      <c r="C25" s="105">
        <f>'4. Avg Nt Fix Ass &amp;UCC'!I44</f>
        <v>198159</v>
      </c>
      <c r="D25" s="106"/>
      <c r="E25" s="107"/>
    </row>
    <row r="26" spans="2:5" ht="15">
      <c r="B26" s="104"/>
      <c r="C26" s="95">
        <f>SUM(C23:C25)</f>
        <v>6402697</v>
      </c>
      <c r="D26" s="106"/>
      <c r="E26" s="107"/>
    </row>
    <row r="27" spans="2:5" ht="15.75">
      <c r="B27" s="101" t="s">
        <v>72</v>
      </c>
      <c r="C27" s="105"/>
      <c r="D27" s="106"/>
      <c r="E27" s="107"/>
    </row>
    <row r="28" spans="2:5" ht="15">
      <c r="B28" s="104" t="s">
        <v>69</v>
      </c>
      <c r="C28" s="105">
        <f>-'4. Avg Nt Fix Ass &amp;UCC'!J15</f>
        <v>-1003336.6666666667</v>
      </c>
      <c r="D28" s="106"/>
      <c r="E28" s="107"/>
    </row>
    <row r="29" spans="2:5" ht="15">
      <c r="B29" s="104" t="s">
        <v>71</v>
      </c>
      <c r="C29" s="105">
        <f>-'4. Avg Nt Fix Ass &amp;UCC'!J32</f>
        <v>-595046.2</v>
      </c>
      <c r="D29" s="106"/>
      <c r="E29" s="107"/>
    </row>
    <row r="30" spans="2:5" ht="15">
      <c r="B30" s="104" t="s">
        <v>94</v>
      </c>
      <c r="C30" s="105">
        <f>-'4. Avg Nt Fix Ass &amp;UCC'!J49</f>
        <v>-60628.799999999996</v>
      </c>
      <c r="D30" s="106"/>
      <c r="E30" s="107"/>
    </row>
    <row r="31" spans="2:5" ht="15">
      <c r="B31" s="104"/>
      <c r="C31" s="95">
        <f>SUM(C28:C30)</f>
        <v>-1659011.6666666667</v>
      </c>
      <c r="D31" s="106"/>
      <c r="E31" s="107"/>
    </row>
    <row r="32" spans="2:5" ht="15">
      <c r="B32" s="104"/>
      <c r="C32" s="105"/>
      <c r="D32" s="106"/>
      <c r="E32" s="107"/>
    </row>
    <row r="33" spans="2:5" ht="16.5" thickBot="1">
      <c r="B33" s="108" t="s">
        <v>76</v>
      </c>
      <c r="C33" s="96">
        <f>+C26+C31</f>
        <v>4743685.333333333</v>
      </c>
      <c r="D33" s="106"/>
      <c r="E33" s="107"/>
    </row>
    <row r="34" spans="2:5" ht="15.75" thickTop="1">
      <c r="B34" s="104"/>
      <c r="C34" s="105"/>
      <c r="D34" s="106"/>
      <c r="E34" s="107"/>
    </row>
    <row r="35" spans="2:5" ht="15.75">
      <c r="B35" s="101"/>
      <c r="C35" s="105"/>
      <c r="D35" s="106"/>
      <c r="E35" s="107"/>
    </row>
    <row r="36" spans="2:5" ht="31.5">
      <c r="B36" s="101"/>
      <c r="C36" s="93" t="s">
        <v>112</v>
      </c>
      <c r="D36" s="93" t="s">
        <v>117</v>
      </c>
      <c r="E36" s="107"/>
    </row>
    <row r="37" spans="2:5" ht="15">
      <c r="B37" s="109" t="s">
        <v>114</v>
      </c>
      <c r="C37" s="105">
        <f>'4. Avg Nt Fix Ass &amp;UCC'!H10+'4. Avg Nt Fix Ass &amp;UCC'!H27+'4. Avg Nt Fix Ass &amp;UCC'!H44</f>
        <v>4822697</v>
      </c>
      <c r="D37" s="110">
        <f>C37/C39</f>
        <v>0.7532289908455765</v>
      </c>
      <c r="E37" s="107"/>
    </row>
    <row r="38" spans="2:5" ht="15">
      <c r="B38" s="109" t="s">
        <v>115</v>
      </c>
      <c r="C38" s="97">
        <f>'4. Avg Nt Fix Ass &amp;UCC'!I9+'4. Avg Nt Fix Ass &amp;UCC'!I26+'4. Avg Nt Fix Ass &amp;UCC'!I43</f>
        <v>1580000</v>
      </c>
      <c r="D38" s="150">
        <f>C38/C39</f>
        <v>0.24677100915442352</v>
      </c>
      <c r="E38" s="107"/>
    </row>
    <row r="39" spans="2:5" ht="15">
      <c r="B39" s="111" t="s">
        <v>116</v>
      </c>
      <c r="C39" s="97">
        <f>C37+C38</f>
        <v>6402697</v>
      </c>
      <c r="D39" s="98">
        <f>D37+D38</f>
        <v>1</v>
      </c>
      <c r="E39" s="112"/>
    </row>
    <row r="41" spans="2:3" ht="15">
      <c r="B41" s="91"/>
      <c r="C41" s="80"/>
    </row>
  </sheetData>
  <sheetProtection/>
  <mergeCells count="1">
    <mergeCell ref="B20:E20"/>
  </mergeCells>
  <printOptions/>
  <pageMargins left="0.75" right="0.75" top="0.6" bottom="0.35" header="0.5" footer="0.17"/>
  <pageSetup horizontalDpi="600" verticalDpi="600" orientation="portrait" r:id="rId1"/>
  <headerFooter alignWithMargins="0">
    <oddFooter>&amp;R&amp;8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8.88671875" defaultRowHeight="15"/>
  <cols>
    <col min="1" max="1" width="2.3359375" style="0" customWidth="1"/>
    <col min="2" max="2" width="15.4453125" style="0" customWidth="1"/>
    <col min="3" max="4" width="8.77734375" style="0" bestFit="1" customWidth="1"/>
    <col min="5" max="5" width="9.77734375" style="0" bestFit="1" customWidth="1"/>
    <col min="6" max="6" width="11.21484375" style="0" bestFit="1" customWidth="1"/>
    <col min="7" max="7" width="6.3359375" style="0" bestFit="1" customWidth="1"/>
    <col min="8" max="8" width="11.21484375" style="0" bestFit="1" customWidth="1"/>
    <col min="9" max="9" width="9.88671875" style="0" customWidth="1"/>
    <col min="10" max="10" width="12.10546875" style="0" customWidth="1"/>
    <col min="11" max="11" width="9.5546875" style="0" bestFit="1" customWidth="1"/>
    <col min="12" max="12" width="12.5546875" style="0" customWidth="1"/>
    <col min="13" max="13" width="9.5546875" style="0" bestFit="1" customWidth="1"/>
    <col min="14" max="14" width="12.6640625" style="0" bestFit="1" customWidth="1"/>
    <col min="15" max="15" width="9.99609375" style="0" customWidth="1"/>
    <col min="16" max="16" width="10.99609375" style="0" bestFit="1" customWidth="1"/>
  </cols>
  <sheetData>
    <row r="2" ht="15.75">
      <c r="B2" s="39" t="str">
        <f>'1. Summary'!B2</f>
        <v>Whitby Hydro Electric Corporation</v>
      </c>
    </row>
    <row r="3" ht="15.75">
      <c r="B3" s="39" t="str">
        <f>'1. Summary'!B3</f>
        <v>Review of Smart Meter Forecast - 2012</v>
      </c>
    </row>
    <row r="4" ht="15.75" thickBot="1"/>
    <row r="5" spans="2:5" ht="16.5" thickBot="1">
      <c r="B5" s="42" t="s">
        <v>51</v>
      </c>
      <c r="C5" s="43"/>
      <c r="D5" s="44"/>
      <c r="E5" s="45"/>
    </row>
    <row r="6" ht="15.75" thickBot="1"/>
    <row r="7" spans="3:16" ht="15.75" thickBot="1">
      <c r="C7" s="154" t="s">
        <v>88</v>
      </c>
      <c r="D7" s="155"/>
      <c r="E7" s="154" t="s">
        <v>89</v>
      </c>
      <c r="F7" s="155"/>
      <c r="G7" s="154" t="s">
        <v>90</v>
      </c>
      <c r="H7" s="155"/>
      <c r="I7" s="154" t="s">
        <v>91</v>
      </c>
      <c r="J7" s="155"/>
      <c r="K7" s="154" t="s">
        <v>92</v>
      </c>
      <c r="L7" s="155"/>
      <c r="M7" s="154" t="s">
        <v>93</v>
      </c>
      <c r="N7" s="155"/>
      <c r="O7" s="154" t="s">
        <v>111</v>
      </c>
      <c r="P7" s="155"/>
    </row>
    <row r="8" spans="2:16" ht="15">
      <c r="B8" t="s">
        <v>46</v>
      </c>
      <c r="C8" s="6"/>
      <c r="D8" s="2">
        <f>'4. Avg Nt Fix Ass &amp;UCC'!D19+'4. Avg Nt Fix Ass &amp;UCC'!D36+'4. Avg Nt Fix Ass &amp;UCC'!D53</f>
        <v>0</v>
      </c>
      <c r="E8" s="6"/>
      <c r="F8" s="2">
        <f>'4. Avg Nt Fix Ass &amp;UCC'!E19+'4. Avg Nt Fix Ass &amp;UCC'!E36+'4. Avg Nt Fix Ass &amp;UCC'!E53</f>
        <v>0</v>
      </c>
      <c r="G8" s="6"/>
      <c r="H8" s="2">
        <f>'4. Avg Nt Fix Ass &amp;UCC'!F19+'4. Avg Nt Fix Ass &amp;UCC'!F36+'4. Avg Nt Fix Ass &amp;UCC'!F53</f>
        <v>0</v>
      </c>
      <c r="I8" s="6"/>
      <c r="J8" s="2">
        <f>'4. Avg Nt Fix Ass &amp;UCC'!G19+'4. Avg Nt Fix Ass &amp;UCC'!G36+'4. Avg Nt Fix Ass &amp;UCC'!G53</f>
        <v>540651.4166666666</v>
      </c>
      <c r="K8" s="6"/>
      <c r="L8" s="2">
        <f>+'4. Avg Nt Fix Ass &amp;UCC'!H19+'4. Avg Nt Fix Ass &amp;UCC'!H36+'4. Avg Nt Fix Ass &amp;UCC'!H53</f>
        <v>2675439.5833333335</v>
      </c>
      <c r="M8" s="6"/>
      <c r="N8" s="2">
        <f>+'4. Avg Nt Fix Ass &amp;UCC'!I19+'4. Avg Nt Fix Ass &amp;UCC'!I36+'4. Avg Nt Fix Ass &amp;UCC'!I53</f>
        <v>4794103.583333333</v>
      </c>
      <c r="O8" s="6"/>
      <c r="P8" s="2">
        <f>+'4. Avg Nt Fix Ass &amp;UCC'!J19+'4. Avg Nt Fix Ass &amp;UCC'!J36+'4. Avg Nt Fix Ass &amp;UCC'!J53</f>
        <v>5031158.083333334</v>
      </c>
    </row>
    <row r="9" spans="2:15" ht="15">
      <c r="B9" t="s">
        <v>0</v>
      </c>
      <c r="C9" s="35">
        <f>D23</f>
        <v>0</v>
      </c>
      <c r="E9" s="35">
        <f>F23</f>
        <v>0</v>
      </c>
      <c r="G9" s="35">
        <f>H23</f>
        <v>0</v>
      </c>
      <c r="I9" s="35">
        <f>J23</f>
        <v>50841.58</v>
      </c>
      <c r="K9" s="35">
        <f>L23</f>
        <v>87846.51000000001</v>
      </c>
      <c r="M9" s="35">
        <f>N23</f>
        <v>173999.81</v>
      </c>
      <c r="O9" s="35">
        <f>P23</f>
        <v>303000</v>
      </c>
    </row>
    <row r="10" spans="2:16" ht="15">
      <c r="B10" t="s">
        <v>1</v>
      </c>
      <c r="C10" s="6">
        <v>0.15</v>
      </c>
      <c r="D10" s="11">
        <f>C9*C10</f>
        <v>0</v>
      </c>
      <c r="E10" s="6">
        <v>0.15</v>
      </c>
      <c r="F10" s="11">
        <f>E9*E10</f>
        <v>0</v>
      </c>
      <c r="G10" s="6">
        <v>0.15</v>
      </c>
      <c r="H10" s="11">
        <f>G9*G10</f>
        <v>0</v>
      </c>
      <c r="I10" s="6">
        <v>0.15</v>
      </c>
      <c r="J10" s="11">
        <f>I9*I10</f>
        <v>7626.237</v>
      </c>
      <c r="K10" s="6">
        <v>0.15</v>
      </c>
      <c r="L10" s="11">
        <f>K9*K10</f>
        <v>13176.9765</v>
      </c>
      <c r="M10" s="6">
        <v>0.15</v>
      </c>
      <c r="N10" s="11">
        <f>M9*M10</f>
        <v>26099.9715</v>
      </c>
      <c r="O10" s="6">
        <v>0.15</v>
      </c>
      <c r="P10" s="11">
        <f>O9*O10</f>
        <v>45450</v>
      </c>
    </row>
    <row r="11" spans="2:16" ht="15">
      <c r="B11" t="s">
        <v>73</v>
      </c>
      <c r="D11" s="3">
        <f>SUM(D8:D10)</f>
        <v>0</v>
      </c>
      <c r="F11" s="3">
        <f>SUM(F8:F10)</f>
        <v>0</v>
      </c>
      <c r="H11" s="3">
        <f>SUM(H8:H10)</f>
        <v>0</v>
      </c>
      <c r="J11" s="3">
        <f>SUM(J8:J10)</f>
        <v>548277.6536666666</v>
      </c>
      <c r="L11" s="3">
        <f>SUM(L8:L10)</f>
        <v>2688616.5598333334</v>
      </c>
      <c r="N11" s="3">
        <f>SUM(N8:N10)</f>
        <v>4820203.554833333</v>
      </c>
      <c r="P11" s="3">
        <f>SUM(P8:P10)</f>
        <v>5076608.083333334</v>
      </c>
    </row>
    <row r="14" spans="2:16" ht="15">
      <c r="B14" t="s">
        <v>3</v>
      </c>
      <c r="C14" s="81">
        <v>0</v>
      </c>
      <c r="D14" s="51">
        <f>D11*C14</f>
        <v>0</v>
      </c>
      <c r="E14" s="81">
        <v>0</v>
      </c>
      <c r="F14" s="51">
        <f>F11*E14</f>
        <v>0</v>
      </c>
      <c r="G14" s="81">
        <v>0</v>
      </c>
      <c r="H14" s="51">
        <f>H11*G14</f>
        <v>0</v>
      </c>
      <c r="I14" s="81">
        <v>0</v>
      </c>
      <c r="J14" s="51">
        <f>J11*I14</f>
        <v>0</v>
      </c>
      <c r="K14" s="81">
        <v>0</v>
      </c>
      <c r="L14" s="3">
        <f>L11*K14</f>
        <v>0</v>
      </c>
      <c r="M14" s="6">
        <v>0.04</v>
      </c>
      <c r="N14" s="3">
        <f>N11*M14</f>
        <v>192808.14219333333</v>
      </c>
      <c r="O14" s="6">
        <f>M14</f>
        <v>0.04</v>
      </c>
      <c r="P14" s="3">
        <f>P11*O14</f>
        <v>203064.32333333336</v>
      </c>
    </row>
    <row r="15" spans="2:16" ht="15">
      <c r="B15" t="s">
        <v>4</v>
      </c>
      <c r="C15" s="82">
        <v>0.5</v>
      </c>
      <c r="D15" s="51">
        <f>D11*C15</f>
        <v>0</v>
      </c>
      <c r="E15" s="82">
        <v>0.5</v>
      </c>
      <c r="F15" s="51">
        <f>F11*E15</f>
        <v>0</v>
      </c>
      <c r="G15" s="82">
        <v>0.533</v>
      </c>
      <c r="H15" s="51">
        <f>H11*G15</f>
        <v>0</v>
      </c>
      <c r="I15" s="82">
        <v>0.567</v>
      </c>
      <c r="J15" s="51">
        <f>J11*I15</f>
        <v>310873.4296289999</v>
      </c>
      <c r="K15" s="82">
        <v>0.567</v>
      </c>
      <c r="L15" s="3">
        <f>L11*K15</f>
        <v>1524445.5894254998</v>
      </c>
      <c r="M15" s="7">
        <v>0.56</v>
      </c>
      <c r="N15" s="3">
        <f>N11*M15</f>
        <v>2699313.990706667</v>
      </c>
      <c r="O15" s="7">
        <f>M15</f>
        <v>0.56</v>
      </c>
      <c r="P15" s="3">
        <f>P11*O15</f>
        <v>2842900.5266666673</v>
      </c>
    </row>
    <row r="16" spans="2:16" ht="15">
      <c r="B16" t="s">
        <v>2</v>
      </c>
      <c r="C16" s="83">
        <v>0.5</v>
      </c>
      <c r="D16" s="51">
        <f>D11*C16</f>
        <v>0</v>
      </c>
      <c r="E16" s="83">
        <v>0.5</v>
      </c>
      <c r="F16" s="51">
        <f>F11*E16</f>
        <v>0</v>
      </c>
      <c r="G16" s="83">
        <v>0.467</v>
      </c>
      <c r="H16" s="51">
        <f>H11*G16</f>
        <v>0</v>
      </c>
      <c r="I16" s="83">
        <v>0.433</v>
      </c>
      <c r="J16" s="51">
        <f>J11*I16</f>
        <v>237404.22403766663</v>
      </c>
      <c r="K16" s="83">
        <v>0.433</v>
      </c>
      <c r="L16" s="3">
        <f>L11*K16</f>
        <v>1164170.9704078333</v>
      </c>
      <c r="M16" s="8">
        <v>0.4</v>
      </c>
      <c r="N16" s="3">
        <f>N11*M16</f>
        <v>1928081.4219333334</v>
      </c>
      <c r="O16" s="8">
        <f>M16</f>
        <v>0.4</v>
      </c>
      <c r="P16" s="3">
        <f>P11*O16</f>
        <v>2030643.2333333336</v>
      </c>
    </row>
    <row r="17" spans="3:16" ht="15">
      <c r="C17" s="13"/>
      <c r="D17" s="84"/>
      <c r="E17" s="13"/>
      <c r="F17" s="84"/>
      <c r="G17" s="13"/>
      <c r="H17" s="84"/>
      <c r="I17" s="13"/>
      <c r="J17" s="84"/>
      <c r="K17" s="13"/>
      <c r="L17" s="1"/>
      <c r="N17" s="1"/>
      <c r="P17" s="1"/>
    </row>
    <row r="18" spans="2:16" ht="15">
      <c r="B18" t="s">
        <v>5</v>
      </c>
      <c r="C18" s="85">
        <v>0</v>
      </c>
      <c r="D18" s="51">
        <f>D14*C18</f>
        <v>0</v>
      </c>
      <c r="E18" s="85">
        <v>0</v>
      </c>
      <c r="F18" s="51">
        <f>F14*E18</f>
        <v>0</v>
      </c>
      <c r="G18" s="85">
        <v>0</v>
      </c>
      <c r="H18" s="51">
        <f>H14*G18</f>
        <v>0</v>
      </c>
      <c r="I18" s="85">
        <v>0</v>
      </c>
      <c r="J18" s="51">
        <f>J14*I18</f>
        <v>0</v>
      </c>
      <c r="K18" s="85">
        <v>0</v>
      </c>
      <c r="L18" s="3">
        <f>L14*K18</f>
        <v>0</v>
      </c>
      <c r="M18" s="9">
        <v>0.0243</v>
      </c>
      <c r="N18" s="3">
        <f>N14*M18</f>
        <v>4685.237855298</v>
      </c>
      <c r="O18" s="9">
        <v>0.0243</v>
      </c>
      <c r="P18" s="3">
        <f>P14*O18</f>
        <v>4934.463057000001</v>
      </c>
    </row>
    <row r="19" spans="2:16" ht="15">
      <c r="B19" t="s">
        <v>6</v>
      </c>
      <c r="C19" s="85">
        <v>0.0725</v>
      </c>
      <c r="D19" s="51">
        <f>D15*C19</f>
        <v>0</v>
      </c>
      <c r="E19" s="85">
        <v>0.0725</v>
      </c>
      <c r="F19" s="51">
        <f>F15*E19</f>
        <v>0</v>
      </c>
      <c r="G19" s="85">
        <v>0.0725</v>
      </c>
      <c r="H19" s="51">
        <f>H15*G19</f>
        <v>0</v>
      </c>
      <c r="I19" s="85">
        <v>0.0725</v>
      </c>
      <c r="J19" s="51">
        <f>J15*I19</f>
        <v>22538.32364810249</v>
      </c>
      <c r="K19" s="85">
        <v>0.0725</v>
      </c>
      <c r="L19" s="3">
        <f>L15*K19</f>
        <v>110522.30523334873</v>
      </c>
      <c r="M19" s="9">
        <v>0.0548</v>
      </c>
      <c r="N19" s="3">
        <f>N15*M19</f>
        <v>147922.40669072536</v>
      </c>
      <c r="O19" s="9">
        <v>0.0548</v>
      </c>
      <c r="P19" s="3">
        <f>P15*O19</f>
        <v>155790.94886133337</v>
      </c>
    </row>
    <row r="20" spans="2:16" ht="15">
      <c r="B20" t="s">
        <v>7</v>
      </c>
      <c r="C20" s="85">
        <v>0.09</v>
      </c>
      <c r="D20" s="51">
        <f>D16*C20</f>
        <v>0</v>
      </c>
      <c r="E20" s="85">
        <v>0.09</v>
      </c>
      <c r="F20" s="51">
        <f>F16*E20</f>
        <v>0</v>
      </c>
      <c r="G20" s="85">
        <v>0.09</v>
      </c>
      <c r="H20" s="51">
        <f>H16*G20</f>
        <v>0</v>
      </c>
      <c r="I20" s="85">
        <v>0.09</v>
      </c>
      <c r="J20" s="51">
        <f>J16*I20</f>
        <v>21366.380163389997</v>
      </c>
      <c r="K20" s="85">
        <v>0.09</v>
      </c>
      <c r="L20" s="3">
        <f>L16*K20</f>
        <v>104775.387336705</v>
      </c>
      <c r="M20" s="9">
        <v>0.0966</v>
      </c>
      <c r="N20" s="3">
        <f>N16*M20</f>
        <v>186252.66535876002</v>
      </c>
      <c r="O20" s="9">
        <v>0.0966</v>
      </c>
      <c r="P20" s="3">
        <f>P16*O20</f>
        <v>196160.13634000003</v>
      </c>
    </row>
    <row r="21" spans="3:16" ht="15">
      <c r="C21" s="13"/>
      <c r="D21" s="86">
        <f>SUM(D18:D20)</f>
        <v>0</v>
      </c>
      <c r="E21" s="13"/>
      <c r="F21" s="86">
        <f>SUM(F18:F20)</f>
        <v>0</v>
      </c>
      <c r="G21" s="13"/>
      <c r="H21" s="86">
        <f>SUM(H18:H20)</f>
        <v>0</v>
      </c>
      <c r="I21" s="13"/>
      <c r="J21" s="86">
        <f>SUM(J18:J20)</f>
        <v>43904.70381149249</v>
      </c>
      <c r="K21" s="13"/>
      <c r="L21" s="10">
        <f>SUM(L18:L20)</f>
        <v>215297.69257005374</v>
      </c>
      <c r="N21" s="10">
        <f>SUM(N18:N20)</f>
        <v>338860.3099047834</v>
      </c>
      <c r="P21" s="10">
        <f>SUM(P18:P20)</f>
        <v>356885.5482583334</v>
      </c>
    </row>
    <row r="23" spans="2:16" ht="15">
      <c r="B23" t="s">
        <v>0</v>
      </c>
      <c r="D23" s="87">
        <f>'5b. Principal -1556'!C90</f>
        <v>0</v>
      </c>
      <c r="E23" s="88"/>
      <c r="F23" s="87">
        <f>'5b. Principal -1556'!C91</f>
        <v>0</v>
      </c>
      <c r="G23" s="88"/>
      <c r="H23" s="87">
        <f>'5b. Principal -1556'!C92</f>
        <v>0</v>
      </c>
      <c r="I23" s="88"/>
      <c r="J23" s="87">
        <f>'5b. Principal -1556'!C93</f>
        <v>50841.58</v>
      </c>
      <c r="K23" s="88"/>
      <c r="L23" s="87">
        <f>'5b. Principal -1556'!C94</f>
        <v>87846.51000000001</v>
      </c>
      <c r="M23" s="88"/>
      <c r="N23" s="87">
        <f>'5b. Principal -1556'!C95</f>
        <v>173999.81</v>
      </c>
      <c r="O23" s="88"/>
      <c r="P23" s="87">
        <f>'5b. Principal -1556'!C96</f>
        <v>303000</v>
      </c>
    </row>
    <row r="24" spans="2:16" ht="15">
      <c r="B24" t="s">
        <v>10</v>
      </c>
      <c r="D24" s="87">
        <f>SUM('4. Avg Nt Fix Ass &amp;UCC'!D13:D14)+SUM('4. Avg Nt Fix Ass &amp;UCC'!D30:D31)+'4. Avg Nt Fix Ass &amp;UCC'!D47+'4. Avg Nt Fix Ass &amp;UCC'!D48</f>
        <v>0</v>
      </c>
      <c r="E24" s="13"/>
      <c r="F24" s="87">
        <f>SUM('4. Avg Nt Fix Ass &amp;UCC'!E13:E14)+SUM('4. Avg Nt Fix Ass &amp;UCC'!E30:E31)+'4. Avg Nt Fix Ass &amp;UCC'!E47+'4. Avg Nt Fix Ass &amp;UCC'!E48</f>
        <v>0</v>
      </c>
      <c r="G24" s="13"/>
      <c r="H24" s="87">
        <f>SUM('4. Avg Nt Fix Ass &amp;UCC'!F13:F14)+SUM('4. Avg Nt Fix Ass &amp;UCC'!F30:F31)+'4. Avg Nt Fix Ass &amp;UCC'!F47+'4. Avg Nt Fix Ass &amp;UCC'!F48</f>
        <v>0</v>
      </c>
      <c r="I24" s="13"/>
      <c r="J24" s="87">
        <f>+'4. Avg Nt Fix Ass &amp;UCC'!G13+'4. Avg Nt Fix Ass &amp;UCC'!G14+'4. Avg Nt Fix Ass &amp;UCC'!G30+'4. Avg Nt Fix Ass &amp;UCC'!G31+'4. Avg Nt Fix Ass &amp;UCC'!G47+'4. Avg Nt Fix Ass &amp;UCC'!G48</f>
        <v>142175.16666666666</v>
      </c>
      <c r="K24" s="13"/>
      <c r="L24" s="87">
        <f>+'4. Avg Nt Fix Ass &amp;UCC'!H13+'4. Avg Nt Fix Ass &amp;UCC'!H14+'4. Avg Nt Fix Ass &amp;UCC'!H30+'4. Avg Nt Fix Ass &amp;UCC'!H31+'4. Avg Nt Fix Ass &amp;UCC'!H47+'4. Avg Nt Fix Ass &amp;UCC'!H48</f>
        <v>410945.49999999994</v>
      </c>
      <c r="M24" s="13"/>
      <c r="N24" s="87">
        <f>+'4. Avg Nt Fix Ass &amp;UCC'!I13+'4. Avg Nt Fix Ass &amp;UCC'!I14+'4. Avg Nt Fix Ass &amp;UCC'!I30+'4. Avg Nt Fix Ass &amp;UCC'!I31+'4. Avg Nt Fix Ass &amp;UCC'!I47+'4. Avg Nt Fix Ass &amp;UCC'!I48</f>
        <v>530945.5</v>
      </c>
      <c r="O24" s="13"/>
      <c r="P24" s="87">
        <f>+'4. Avg Nt Fix Ass &amp;UCC'!J13+'4. Avg Nt Fix Ass &amp;UCC'!J14+'4. Avg Nt Fix Ass &amp;UCC'!J30+'4. Avg Nt Fix Ass &amp;UCC'!J31+'4. Avg Nt Fix Ass &amp;UCC'!J47+'4. Avg Nt Fix Ass &amp;UCC'!J48</f>
        <v>574945.5</v>
      </c>
    </row>
    <row r="25" spans="2:16" ht="15">
      <c r="B25" t="s">
        <v>8</v>
      </c>
      <c r="D25" s="25">
        <f>'3. PILs'!C35</f>
        <v>0</v>
      </c>
      <c r="E25" s="13"/>
      <c r="F25" s="25">
        <f>'3. PILs'!D35</f>
        <v>0</v>
      </c>
      <c r="G25" s="13"/>
      <c r="H25" s="25">
        <f>'3. PILs'!E35</f>
        <v>0</v>
      </c>
      <c r="I25" s="13"/>
      <c r="J25" s="25">
        <f>'3. PILs'!F35</f>
        <v>6814.118508833866</v>
      </c>
      <c r="K25" s="13"/>
      <c r="L25" s="25">
        <f>'3. PILs'!G35</f>
        <v>48400.64841576598</v>
      </c>
      <c r="M25" s="13"/>
      <c r="N25" s="25">
        <f>'3. PILs'!H35</f>
        <v>39039.49492475567</v>
      </c>
      <c r="O25" s="13"/>
      <c r="P25" s="25">
        <f>'3. PILs'!I35</f>
        <v>57890.195242878806</v>
      </c>
    </row>
    <row r="27" spans="2:16" ht="15.75" thickBot="1">
      <c r="B27" t="s">
        <v>9</v>
      </c>
      <c r="D27" s="4">
        <f>SUM(D21:D25)</f>
        <v>0</v>
      </c>
      <c r="F27" s="4">
        <f>SUM(F21:F25)</f>
        <v>0</v>
      </c>
      <c r="H27" s="4">
        <f>SUM(H21:H25)</f>
        <v>0</v>
      </c>
      <c r="J27" s="4">
        <f>SUM(J21:J25)</f>
        <v>243735.56898699302</v>
      </c>
      <c r="L27" s="4">
        <f>SUM(L21:L25)</f>
        <v>762490.3509858197</v>
      </c>
      <c r="N27" s="50">
        <f>SUM(N21:N25)</f>
        <v>1082845.114829539</v>
      </c>
      <c r="P27" s="50">
        <f>SUM(P21:P25)</f>
        <v>1292721.2435012122</v>
      </c>
    </row>
    <row r="30" ht="15">
      <c r="D30" s="3"/>
    </row>
    <row r="31" spans="3:4" ht="15">
      <c r="C31" s="2"/>
      <c r="D31" s="3"/>
    </row>
    <row r="32" spans="3:4" ht="15">
      <c r="C32" s="12"/>
      <c r="D32" s="5"/>
    </row>
    <row r="33" spans="3:4" ht="15">
      <c r="C33" s="2"/>
      <c r="D33" s="1"/>
    </row>
    <row r="34" ht="15">
      <c r="D34" s="5"/>
    </row>
  </sheetData>
  <sheetProtection/>
  <mergeCells count="7">
    <mergeCell ref="O7:P7"/>
    <mergeCell ref="C7:D7"/>
    <mergeCell ref="E7:F7"/>
    <mergeCell ref="K7:L7"/>
    <mergeCell ref="M7:N7"/>
    <mergeCell ref="I7:J7"/>
    <mergeCell ref="G7:H7"/>
  </mergeCells>
  <printOptions/>
  <pageMargins left="0.68" right="0.46" top="1" bottom="0.41" header="0.5" footer="0.24"/>
  <pageSetup fitToHeight="1" fitToWidth="1" horizontalDpi="600" verticalDpi="600" orientation="landscape" scale="6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D24" sqref="D24"/>
    </sheetView>
  </sheetViews>
  <sheetFormatPr defaultColWidth="8.88671875" defaultRowHeight="15"/>
  <cols>
    <col min="1" max="1" width="3.3359375" style="13" customWidth="1"/>
    <col min="2" max="2" width="25.4453125" style="13" bestFit="1" customWidth="1"/>
    <col min="3" max="3" width="13.10546875" style="13" customWidth="1"/>
    <col min="4" max="4" width="13.99609375" style="13" customWidth="1"/>
    <col min="5" max="5" width="15.99609375" style="13" customWidth="1"/>
    <col min="6" max="6" width="13.21484375" style="13" bestFit="1" customWidth="1"/>
    <col min="7" max="7" width="10.99609375" style="13" customWidth="1"/>
    <col min="8" max="8" width="11.4453125" style="13" customWidth="1"/>
    <col min="9" max="9" width="9.3359375" style="13" bestFit="1" customWidth="1"/>
    <col min="10" max="16384" width="8.88671875" style="13" customWidth="1"/>
  </cols>
  <sheetData>
    <row r="1" ht="15.75">
      <c r="B1" s="47" t="str">
        <f>+'1. Summary'!B2</f>
        <v>Whitby Hydro Electric Corporation</v>
      </c>
    </row>
    <row r="2" ht="15.75">
      <c r="B2" s="47" t="str">
        <f>+'1. Summary'!B3</f>
        <v>Review of Smart Meter Forecast - 2012</v>
      </c>
    </row>
    <row r="4" spans="1:5" ht="26.25">
      <c r="A4" s="14"/>
      <c r="B4" s="15" t="s">
        <v>11</v>
      </c>
      <c r="C4" s="14"/>
      <c r="D4" s="16"/>
      <c r="E4" s="16"/>
    </row>
    <row r="5" spans="1:5" ht="15">
      <c r="A5" s="14"/>
      <c r="B5" s="14"/>
      <c r="C5" s="14"/>
      <c r="D5" s="16"/>
      <c r="E5" s="16"/>
    </row>
    <row r="6" spans="1:9" ht="15">
      <c r="A6" s="14"/>
      <c r="B6" s="14"/>
      <c r="C6" s="17">
        <v>2006</v>
      </c>
      <c r="D6" s="17">
        <v>2007</v>
      </c>
      <c r="E6" s="17">
        <v>2008</v>
      </c>
      <c r="F6" s="17">
        <v>2009</v>
      </c>
      <c r="G6" s="17">
        <v>2010</v>
      </c>
      <c r="H6" s="17">
        <v>2011</v>
      </c>
      <c r="I6" s="17">
        <v>2012</v>
      </c>
    </row>
    <row r="7" spans="1:9" ht="15">
      <c r="A7" s="14"/>
      <c r="B7" s="18" t="s">
        <v>12</v>
      </c>
      <c r="C7" s="17" t="s">
        <v>42</v>
      </c>
      <c r="D7" s="17" t="s">
        <v>42</v>
      </c>
      <c r="E7" s="17" t="s">
        <v>42</v>
      </c>
      <c r="F7" s="17" t="s">
        <v>42</v>
      </c>
      <c r="G7" s="17" t="s">
        <v>42</v>
      </c>
      <c r="H7" s="17" t="s">
        <v>42</v>
      </c>
      <c r="I7" s="17" t="s">
        <v>42</v>
      </c>
    </row>
    <row r="8" spans="1:9" ht="15">
      <c r="A8" s="14"/>
      <c r="B8" s="14" t="s">
        <v>13</v>
      </c>
      <c r="C8" s="124">
        <f>'2. Revenue Requirement'!D20</f>
        <v>0</v>
      </c>
      <c r="D8" s="124">
        <f>'2. Revenue Requirement'!F20</f>
        <v>0</v>
      </c>
      <c r="E8" s="124">
        <f>'2. Revenue Requirement'!H20</f>
        <v>0</v>
      </c>
      <c r="F8" s="124">
        <f>'2. Revenue Requirement'!J20</f>
        <v>21366.380163389997</v>
      </c>
      <c r="G8" s="124">
        <f>'2. Revenue Requirement'!L20</f>
        <v>104775.387336705</v>
      </c>
      <c r="H8" s="124">
        <f>'2. Revenue Requirement'!N20</f>
        <v>186252.66535876002</v>
      </c>
      <c r="I8" s="124">
        <f>'2. Revenue Requirement'!P20</f>
        <v>196160.13634000003</v>
      </c>
    </row>
    <row r="9" spans="1:9" ht="15">
      <c r="A9" s="14"/>
      <c r="B9" s="14" t="s">
        <v>45</v>
      </c>
      <c r="C9" s="124">
        <f>'2. Revenue Requirement'!D24</f>
        <v>0</v>
      </c>
      <c r="D9" s="124">
        <f>'2. Revenue Requirement'!F24</f>
        <v>0</v>
      </c>
      <c r="E9" s="124">
        <f>'2. Revenue Requirement'!H24</f>
        <v>0</v>
      </c>
      <c r="F9" s="124">
        <f>'2. Revenue Requirement'!J24</f>
        <v>142175.16666666666</v>
      </c>
      <c r="G9" s="124">
        <f>'2. Revenue Requirement'!L24</f>
        <v>410945.49999999994</v>
      </c>
      <c r="H9" s="124">
        <f>'2. Revenue Requirement'!N24</f>
        <v>530945.5</v>
      </c>
      <c r="I9" s="124">
        <f>'2. Revenue Requirement'!P24</f>
        <v>574945.5</v>
      </c>
    </row>
    <row r="10" spans="1:9" ht="15">
      <c r="A10" s="14"/>
      <c r="B10" s="36" t="s">
        <v>40</v>
      </c>
      <c r="C10" s="125">
        <f>-'4. Avg Nt Fix Ass &amp;UCC'!D75-'4. Avg Nt Fix Ass &amp;UCC'!D92</f>
        <v>0</v>
      </c>
      <c r="D10" s="125">
        <f>-'4. Avg Nt Fix Ass &amp;UCC'!E75-'4. Avg Nt Fix Ass &amp;UCC'!E92</f>
        <v>0</v>
      </c>
      <c r="E10" s="125">
        <f>-'4. Avg Nt Fix Ass &amp;UCC'!F75-'4. Avg Nt Fix Ass &amp;UCC'!F92</f>
        <v>0</v>
      </c>
      <c r="F10" s="125">
        <f>-'4. Avg Nt Fix Ass &amp;UCC'!G75-'4. Avg Nt Fix Ass &amp;UCC'!G92</f>
        <v>-154597.85</v>
      </c>
      <c r="G10" s="125">
        <f>-'4. Avg Nt Fix Ass &amp;UCC'!H75-'4. Avg Nt Fix Ass &amp;UCC'!H92</f>
        <v>-414822.1035</v>
      </c>
      <c r="H10" s="125">
        <f>-'4. Avg Nt Fix Ass &amp;UCC'!I75-'4. Avg Nt Fix Ass &amp;UCC'!I92</f>
        <v>-618044.757895</v>
      </c>
      <c r="I10" s="125">
        <f>-'4. Avg Nt Fix Ass &amp;UCC'!J75-'4. Avg Nt Fix Ass &amp;UCC'!J92</f>
        <v>-608461.75446715</v>
      </c>
    </row>
    <row r="11" spans="1:9" ht="15">
      <c r="A11" s="14"/>
      <c r="B11" s="14" t="s">
        <v>14</v>
      </c>
      <c r="C11" s="126">
        <f aca="true" t="shared" si="0" ref="C11:I11">SUM(C8:C10)</f>
        <v>0</v>
      </c>
      <c r="D11" s="126">
        <f t="shared" si="0"/>
        <v>0</v>
      </c>
      <c r="E11" s="126">
        <f t="shared" si="0"/>
        <v>0</v>
      </c>
      <c r="F11" s="126">
        <f t="shared" si="0"/>
        <v>8943.696830056637</v>
      </c>
      <c r="G11" s="126">
        <f t="shared" si="0"/>
        <v>100898.78383670491</v>
      </c>
      <c r="H11" s="126">
        <f t="shared" si="0"/>
        <v>99153.40746376</v>
      </c>
      <c r="I11" s="126">
        <f t="shared" si="0"/>
        <v>162643.88187285</v>
      </c>
    </row>
    <row r="12" spans="1:9" ht="15">
      <c r="A12" s="14"/>
      <c r="B12" s="36" t="s">
        <v>52</v>
      </c>
      <c r="C12" s="127">
        <v>0.3612</v>
      </c>
      <c r="D12" s="127">
        <v>0.3612</v>
      </c>
      <c r="E12" s="127">
        <v>0.335</v>
      </c>
      <c r="F12" s="127">
        <v>0.33</v>
      </c>
      <c r="G12" s="127">
        <v>0.31</v>
      </c>
      <c r="H12" s="127">
        <v>0.2825</v>
      </c>
      <c r="I12" s="127">
        <v>0.2625</v>
      </c>
    </row>
    <row r="13" spans="1:9" ht="15">
      <c r="A13" s="14"/>
      <c r="B13" s="14" t="s">
        <v>15</v>
      </c>
      <c r="C13" s="126">
        <f aca="true" t="shared" si="1" ref="C13:I13">C11*C12</f>
        <v>0</v>
      </c>
      <c r="D13" s="126">
        <f t="shared" si="1"/>
        <v>0</v>
      </c>
      <c r="E13" s="126">
        <f t="shared" si="1"/>
        <v>0</v>
      </c>
      <c r="F13" s="126">
        <f t="shared" si="1"/>
        <v>2951.41995391869</v>
      </c>
      <c r="G13" s="126">
        <f t="shared" si="1"/>
        <v>31278.622989378524</v>
      </c>
      <c r="H13" s="126">
        <f t="shared" si="1"/>
        <v>28010.837608512196</v>
      </c>
      <c r="I13" s="126">
        <f t="shared" si="1"/>
        <v>42694.018991623125</v>
      </c>
    </row>
    <row r="14" spans="1:9" ht="15">
      <c r="A14" s="14"/>
      <c r="B14" s="14"/>
      <c r="C14" s="128"/>
      <c r="D14" s="128"/>
      <c r="E14" s="129"/>
      <c r="F14" s="129"/>
      <c r="G14" s="129"/>
      <c r="H14" s="129"/>
      <c r="I14" s="129"/>
    </row>
    <row r="15" spans="1:9" ht="15">
      <c r="A15" s="14"/>
      <c r="B15" s="18" t="s">
        <v>16</v>
      </c>
      <c r="C15" s="128"/>
      <c r="D15" s="128"/>
      <c r="E15" s="129"/>
      <c r="F15" s="129"/>
      <c r="G15" s="129"/>
      <c r="H15" s="129"/>
      <c r="I15" s="129"/>
    </row>
    <row r="16" spans="1:9" ht="15">
      <c r="A16" s="14"/>
      <c r="B16" s="20" t="s">
        <v>32</v>
      </c>
      <c r="C16" s="130">
        <f>'4. Avg Nt Fix Ass &amp;UCC'!D18+'4. Avg Nt Fix Ass &amp;UCC'!D35</f>
        <v>0</v>
      </c>
      <c r="D16" s="130">
        <f>'4. Avg Nt Fix Ass &amp;UCC'!E18+'4. Avg Nt Fix Ass &amp;UCC'!E35</f>
        <v>0</v>
      </c>
      <c r="E16" s="130">
        <f>'4. Avg Nt Fix Ass &amp;UCC'!F18+'4. Avg Nt Fix Ass &amp;UCC'!F35</f>
        <v>0</v>
      </c>
      <c r="F16" s="130">
        <f>'4. Avg Nt Fix Ass &amp;UCC'!G18+'4. Avg Nt Fix Ass &amp;UCC'!G35</f>
        <v>1070672.9333333333</v>
      </c>
      <c r="G16" s="130">
        <f>'4. Avg Nt Fix Ass &amp;UCC'!H18+'4. Avg Nt Fix Ass &amp;UCC'!H35</f>
        <v>4092414.3333333335</v>
      </c>
      <c r="H16" s="130">
        <f>'4. Avg Nt Fix Ass &amp;UCC'!I18+'4. Avg Nt Fix Ass &amp;UCC'!I35</f>
        <v>5161284.733333333</v>
      </c>
      <c r="I16" s="130">
        <f>'4. Avg Nt Fix Ass &amp;UCC'!J18+'4. Avg Nt Fix Ass &amp;UCC'!J35</f>
        <v>4606155.133333333</v>
      </c>
    </row>
    <row r="17" spans="1:9" ht="15">
      <c r="A17" s="14"/>
      <c r="B17" s="14" t="s">
        <v>17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</row>
    <row r="18" spans="1:9" ht="15">
      <c r="A18" s="14"/>
      <c r="B18" s="14" t="s">
        <v>18</v>
      </c>
      <c r="C18" s="126">
        <f aca="true" t="shared" si="2" ref="C18:I18">C16-C17</f>
        <v>0</v>
      </c>
      <c r="D18" s="126">
        <f t="shared" si="2"/>
        <v>0</v>
      </c>
      <c r="E18" s="126">
        <f t="shared" si="2"/>
        <v>0</v>
      </c>
      <c r="F18" s="126">
        <f t="shared" si="2"/>
        <v>1070672.9333333333</v>
      </c>
      <c r="G18" s="126">
        <f t="shared" si="2"/>
        <v>4092414.3333333335</v>
      </c>
      <c r="H18" s="126">
        <f t="shared" si="2"/>
        <v>5161284.733333333</v>
      </c>
      <c r="I18" s="126">
        <f t="shared" si="2"/>
        <v>4606155.133333333</v>
      </c>
    </row>
    <row r="19" spans="1:9" ht="15">
      <c r="A19" s="14"/>
      <c r="B19" s="14" t="s">
        <v>19</v>
      </c>
      <c r="C19" s="132">
        <v>0.003</v>
      </c>
      <c r="D19" s="132">
        <v>0.00225</v>
      </c>
      <c r="E19" s="133">
        <v>0.00225</v>
      </c>
      <c r="F19" s="133">
        <v>0.00225</v>
      </c>
      <c r="G19" s="133">
        <v>0.00075</v>
      </c>
      <c r="H19" s="133">
        <v>0</v>
      </c>
      <c r="I19" s="133">
        <v>0</v>
      </c>
    </row>
    <row r="20" spans="1:9" ht="15">
      <c r="A20" s="14"/>
      <c r="B20" s="14" t="s">
        <v>20</v>
      </c>
      <c r="C20" s="113">
        <f aca="true" t="shared" si="3" ref="C20:I20">C18*C19</f>
        <v>0</v>
      </c>
      <c r="D20" s="113">
        <f t="shared" si="3"/>
        <v>0</v>
      </c>
      <c r="E20" s="113">
        <f t="shared" si="3"/>
        <v>0</v>
      </c>
      <c r="F20" s="113">
        <f t="shared" si="3"/>
        <v>2409.0141</v>
      </c>
      <c r="G20" s="113">
        <f t="shared" si="3"/>
        <v>3069.31075</v>
      </c>
      <c r="H20" s="113">
        <f t="shared" si="3"/>
        <v>0</v>
      </c>
      <c r="I20" s="113">
        <f t="shared" si="3"/>
        <v>0</v>
      </c>
    </row>
    <row r="21" spans="1:9" ht="15">
      <c r="A21" s="14"/>
      <c r="B21" s="14"/>
      <c r="C21" s="128"/>
      <c r="D21" s="128"/>
      <c r="E21" s="129"/>
      <c r="F21" s="129"/>
      <c r="G21" s="129"/>
      <c r="H21" s="129"/>
      <c r="I21" s="129"/>
    </row>
    <row r="22" spans="1:9" ht="15">
      <c r="A22" s="14"/>
      <c r="B22" s="14"/>
      <c r="C22" s="128"/>
      <c r="D22" s="128"/>
      <c r="E22" s="129"/>
      <c r="F22" s="129"/>
      <c r="G22" s="129"/>
      <c r="H22" s="129"/>
      <c r="I22" s="129"/>
    </row>
    <row r="23" spans="1:9" ht="15.75">
      <c r="A23" s="14"/>
      <c r="B23" s="19" t="s">
        <v>21</v>
      </c>
      <c r="C23" s="128"/>
      <c r="D23" s="128"/>
      <c r="E23" s="129"/>
      <c r="F23" s="129"/>
      <c r="G23" s="129"/>
      <c r="H23" s="129"/>
      <c r="I23" s="129"/>
    </row>
    <row r="24" spans="1:9" ht="15">
      <c r="A24" s="14"/>
      <c r="B24" s="14"/>
      <c r="C24" s="134" t="s">
        <v>22</v>
      </c>
      <c r="D24" s="134" t="s">
        <v>22</v>
      </c>
      <c r="E24" s="134" t="s">
        <v>22</v>
      </c>
      <c r="F24" s="134" t="s">
        <v>22</v>
      </c>
      <c r="G24" s="134" t="s">
        <v>22</v>
      </c>
      <c r="H24" s="134" t="s">
        <v>22</v>
      </c>
      <c r="I24" s="134" t="s">
        <v>22</v>
      </c>
    </row>
    <row r="25" spans="1:9" ht="15">
      <c r="A25" s="14"/>
      <c r="B25" s="14" t="s">
        <v>23</v>
      </c>
      <c r="C25" s="125">
        <f aca="true" t="shared" si="4" ref="C25:H25">C13</f>
        <v>0</v>
      </c>
      <c r="D25" s="125">
        <f t="shared" si="4"/>
        <v>0</v>
      </c>
      <c r="E25" s="125">
        <f t="shared" si="4"/>
        <v>0</v>
      </c>
      <c r="F25" s="125">
        <f t="shared" si="4"/>
        <v>2951.41995391869</v>
      </c>
      <c r="G25" s="125">
        <f t="shared" si="4"/>
        <v>31278.622989378524</v>
      </c>
      <c r="H25" s="125">
        <f t="shared" si="4"/>
        <v>28010.837608512196</v>
      </c>
      <c r="I25" s="125">
        <f>I13</f>
        <v>42694.018991623125</v>
      </c>
    </row>
    <row r="26" spans="1:9" ht="15">
      <c r="A26" s="14"/>
      <c r="B26" s="14" t="s">
        <v>24</v>
      </c>
      <c r="C26" s="125">
        <f aca="true" t="shared" si="5" ref="C26:H26">C20</f>
        <v>0</v>
      </c>
      <c r="D26" s="125">
        <f t="shared" si="5"/>
        <v>0</v>
      </c>
      <c r="E26" s="125">
        <f t="shared" si="5"/>
        <v>0</v>
      </c>
      <c r="F26" s="125">
        <f t="shared" si="5"/>
        <v>2409.0141</v>
      </c>
      <c r="G26" s="125">
        <f t="shared" si="5"/>
        <v>3069.31075</v>
      </c>
      <c r="H26" s="125">
        <f t="shared" si="5"/>
        <v>0</v>
      </c>
      <c r="I26" s="125">
        <f>I20</f>
        <v>0</v>
      </c>
    </row>
    <row r="27" spans="1:9" ht="15">
      <c r="A27" s="14"/>
      <c r="B27" s="14" t="s">
        <v>25</v>
      </c>
      <c r="C27" s="113">
        <f aca="true" t="shared" si="6" ref="C27:I27">SUM(C25:C26)</f>
        <v>0</v>
      </c>
      <c r="D27" s="113">
        <f t="shared" si="6"/>
        <v>0</v>
      </c>
      <c r="E27" s="113">
        <f t="shared" si="6"/>
        <v>0</v>
      </c>
      <c r="F27" s="113">
        <f t="shared" si="6"/>
        <v>5360.434053918691</v>
      </c>
      <c r="G27" s="113">
        <f t="shared" si="6"/>
        <v>34347.933739378524</v>
      </c>
      <c r="H27" s="113">
        <f t="shared" si="6"/>
        <v>28010.837608512196</v>
      </c>
      <c r="I27" s="113">
        <f t="shared" si="6"/>
        <v>42694.018991623125</v>
      </c>
    </row>
    <row r="28" spans="1:9" ht="15">
      <c r="A28" s="16"/>
      <c r="B28" s="16"/>
      <c r="C28" s="129"/>
      <c r="D28" s="129"/>
      <c r="E28" s="129"/>
      <c r="F28" s="129"/>
      <c r="G28" s="129"/>
      <c r="H28" s="129"/>
      <c r="I28" s="129"/>
    </row>
    <row r="29" spans="1:9" ht="15">
      <c r="A29" s="16"/>
      <c r="B29" s="16"/>
      <c r="C29" s="134" t="s">
        <v>21</v>
      </c>
      <c r="D29" s="134" t="s">
        <v>21</v>
      </c>
      <c r="E29" s="134" t="s">
        <v>21</v>
      </c>
      <c r="F29" s="134" t="s">
        <v>21</v>
      </c>
      <c r="G29" s="134" t="s">
        <v>21</v>
      </c>
      <c r="H29" s="134" t="s">
        <v>21</v>
      </c>
      <c r="I29" s="134" t="s">
        <v>21</v>
      </c>
    </row>
    <row r="30" spans="1:9" ht="15">
      <c r="A30" s="16"/>
      <c r="B30" s="16"/>
      <c r="C30" s="127">
        <f aca="true" t="shared" si="7" ref="C30:H30">+C12</f>
        <v>0.3612</v>
      </c>
      <c r="D30" s="127">
        <f t="shared" si="7"/>
        <v>0.3612</v>
      </c>
      <c r="E30" s="127">
        <f t="shared" si="7"/>
        <v>0.335</v>
      </c>
      <c r="F30" s="127">
        <f t="shared" si="7"/>
        <v>0.33</v>
      </c>
      <c r="G30" s="127">
        <f t="shared" si="7"/>
        <v>0.31</v>
      </c>
      <c r="H30" s="127">
        <f t="shared" si="7"/>
        <v>0.2825</v>
      </c>
      <c r="I30" s="127">
        <f>+I12</f>
        <v>0.2625</v>
      </c>
    </row>
    <row r="31" spans="1:9" ht="15">
      <c r="A31" s="16"/>
      <c r="B31" s="16"/>
      <c r="C31" s="129"/>
      <c r="D31" s="129"/>
      <c r="E31" s="129"/>
      <c r="F31" s="129"/>
      <c r="G31" s="129"/>
      <c r="H31" s="129"/>
      <c r="I31" s="129"/>
    </row>
    <row r="32" spans="1:9" ht="25.5">
      <c r="A32" s="16"/>
      <c r="B32" s="16"/>
      <c r="C32" s="135" t="s">
        <v>26</v>
      </c>
      <c r="D32" s="135" t="s">
        <v>26</v>
      </c>
      <c r="E32" s="135" t="s">
        <v>26</v>
      </c>
      <c r="F32" s="135" t="s">
        <v>26</v>
      </c>
      <c r="G32" s="135" t="s">
        <v>26</v>
      </c>
      <c r="H32" s="135" t="s">
        <v>26</v>
      </c>
      <c r="I32" s="135" t="s">
        <v>26</v>
      </c>
    </row>
    <row r="33" spans="1:9" ht="15">
      <c r="A33" s="16"/>
      <c r="B33" s="14" t="s">
        <v>23</v>
      </c>
      <c r="C33" s="136">
        <f aca="true" t="shared" si="8" ref="C33:H33">C25/(1-C12)</f>
        <v>0</v>
      </c>
      <c r="D33" s="136">
        <f t="shared" si="8"/>
        <v>0</v>
      </c>
      <c r="E33" s="136">
        <f t="shared" si="8"/>
        <v>0</v>
      </c>
      <c r="F33" s="136">
        <f t="shared" si="8"/>
        <v>4405.104408833867</v>
      </c>
      <c r="G33" s="136">
        <f t="shared" si="8"/>
        <v>45331.33766576598</v>
      </c>
      <c r="H33" s="136">
        <f t="shared" si="8"/>
        <v>39039.49492475567</v>
      </c>
      <c r="I33" s="136">
        <f>I25/(1-I12)</f>
        <v>57890.195242878806</v>
      </c>
    </row>
    <row r="34" spans="1:9" ht="15">
      <c r="A34" s="16"/>
      <c r="B34" s="14" t="s">
        <v>24</v>
      </c>
      <c r="C34" s="136">
        <f aca="true" t="shared" si="9" ref="C34:H34">C20</f>
        <v>0</v>
      </c>
      <c r="D34" s="136">
        <f t="shared" si="9"/>
        <v>0</v>
      </c>
      <c r="E34" s="136">
        <f t="shared" si="9"/>
        <v>0</v>
      </c>
      <c r="F34" s="136">
        <f t="shared" si="9"/>
        <v>2409.0141</v>
      </c>
      <c r="G34" s="136">
        <f t="shared" si="9"/>
        <v>3069.31075</v>
      </c>
      <c r="H34" s="136">
        <f t="shared" si="9"/>
        <v>0</v>
      </c>
      <c r="I34" s="136">
        <f>I20</f>
        <v>0</v>
      </c>
    </row>
    <row r="35" spans="1:9" ht="15">
      <c r="A35" s="16"/>
      <c r="B35" s="14" t="s">
        <v>25</v>
      </c>
      <c r="C35" s="113">
        <f aca="true" t="shared" si="10" ref="C35:I35">SUM(C33:C34)</f>
        <v>0</v>
      </c>
      <c r="D35" s="113">
        <f t="shared" si="10"/>
        <v>0</v>
      </c>
      <c r="E35" s="113">
        <f t="shared" si="10"/>
        <v>0</v>
      </c>
      <c r="F35" s="113">
        <f t="shared" si="10"/>
        <v>6814.118508833866</v>
      </c>
      <c r="G35" s="113">
        <f t="shared" si="10"/>
        <v>48400.64841576598</v>
      </c>
      <c r="H35" s="113">
        <f t="shared" si="10"/>
        <v>39039.49492475567</v>
      </c>
      <c r="I35" s="113">
        <f t="shared" si="10"/>
        <v>57890.195242878806</v>
      </c>
    </row>
  </sheetData>
  <sheetProtection formatColumns="0" selectLockedCells="1"/>
  <printOptions/>
  <pageMargins left="0.75" right="0.75" top="1" bottom="0.4" header="0.5" footer="0.17"/>
  <pageSetup fitToHeight="1" fitToWidth="1" horizontalDpi="600" verticalDpi="600" orientation="landscape" scale="8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95"/>
  <sheetViews>
    <sheetView zoomScalePageLayoutView="0" workbookViewId="0" topLeftCell="A40">
      <selection activeCell="D24" sqref="D24"/>
    </sheetView>
  </sheetViews>
  <sheetFormatPr defaultColWidth="8.88671875" defaultRowHeight="15"/>
  <cols>
    <col min="1" max="1" width="8.88671875" style="13" customWidth="1"/>
    <col min="2" max="2" width="40.5546875" style="13" bestFit="1" customWidth="1"/>
    <col min="3" max="3" width="6.3359375" style="13" bestFit="1" customWidth="1"/>
    <col min="4" max="4" width="9.77734375" style="25" bestFit="1" customWidth="1"/>
    <col min="5" max="5" width="10.4453125" style="25" bestFit="1" customWidth="1"/>
    <col min="6" max="6" width="10.5546875" style="25" customWidth="1"/>
    <col min="7" max="8" width="10.4453125" style="13" customWidth="1"/>
    <col min="9" max="12" width="10.99609375" style="13" bestFit="1" customWidth="1"/>
    <col min="13" max="16384" width="8.88671875" style="13" customWidth="1"/>
  </cols>
  <sheetData>
    <row r="3" spans="1:7" ht="15">
      <c r="A3" s="20"/>
      <c r="B3" s="20"/>
      <c r="C3" s="20"/>
      <c r="D3" s="26"/>
      <c r="E3" s="26"/>
      <c r="F3" s="26"/>
      <c r="G3" s="20"/>
    </row>
    <row r="4" spans="1:7" ht="26.25">
      <c r="A4" s="20"/>
      <c r="B4" s="139" t="s">
        <v>33</v>
      </c>
      <c r="C4" s="21"/>
      <c r="D4" s="26"/>
      <c r="E4" s="26"/>
      <c r="F4" s="26"/>
      <c r="G4" s="20"/>
    </row>
    <row r="5" spans="1:10" ht="15">
      <c r="A5" s="20"/>
      <c r="B5" s="20"/>
      <c r="C5" s="20"/>
      <c r="D5" s="32">
        <v>2006</v>
      </c>
      <c r="E5" s="32">
        <v>2007</v>
      </c>
      <c r="F5" s="32">
        <v>2008</v>
      </c>
      <c r="G5" s="32">
        <v>2009</v>
      </c>
      <c r="H5" s="32">
        <v>2010</v>
      </c>
      <c r="I5" s="32">
        <v>2011</v>
      </c>
      <c r="J5" s="32">
        <v>2012</v>
      </c>
    </row>
    <row r="6" spans="1:10" ht="18">
      <c r="A6" s="20"/>
      <c r="B6" s="22" t="s">
        <v>79</v>
      </c>
      <c r="C6" s="22"/>
      <c r="D6" s="27" t="s">
        <v>78</v>
      </c>
      <c r="E6" s="27" t="s">
        <v>78</v>
      </c>
      <c r="F6" s="27" t="s">
        <v>78</v>
      </c>
      <c r="G6" s="27" t="s">
        <v>78</v>
      </c>
      <c r="H6" s="27" t="s">
        <v>78</v>
      </c>
      <c r="I6" s="27" t="s">
        <v>42</v>
      </c>
      <c r="J6" s="27" t="s">
        <v>42</v>
      </c>
    </row>
    <row r="7" spans="1:7" ht="8.25" customHeight="1">
      <c r="A7" s="20"/>
      <c r="B7" s="20"/>
      <c r="C7" s="20"/>
      <c r="D7" s="26"/>
      <c r="E7" s="26"/>
      <c r="F7" s="26"/>
      <c r="G7" s="26"/>
    </row>
    <row r="8" spans="1:10" ht="15">
      <c r="A8" s="20"/>
      <c r="B8" s="20" t="s">
        <v>27</v>
      </c>
      <c r="C8" s="20"/>
      <c r="D8" s="28">
        <v>0</v>
      </c>
      <c r="E8" s="28">
        <f aca="true" t="shared" si="0" ref="E8:J8">D10</f>
        <v>0</v>
      </c>
      <c r="F8" s="28">
        <f t="shared" si="0"/>
        <v>0</v>
      </c>
      <c r="G8" s="28">
        <f t="shared" si="0"/>
        <v>0</v>
      </c>
      <c r="H8" s="28">
        <f t="shared" si="0"/>
        <v>760045</v>
      </c>
      <c r="I8" s="28">
        <f t="shared" si="0"/>
        <v>4003335</v>
      </c>
      <c r="J8" s="28">
        <f t="shared" si="0"/>
        <v>5143335</v>
      </c>
    </row>
    <row r="9" spans="1:12" ht="15">
      <c r="A9" s="20"/>
      <c r="B9" s="24" t="s">
        <v>47</v>
      </c>
      <c r="C9" s="24"/>
      <c r="D9" s="79"/>
      <c r="E9" s="79"/>
      <c r="F9" s="79"/>
      <c r="G9" s="122">
        <f>92425+374157+218687+74776-312165+312165</f>
        <v>760045</v>
      </c>
      <c r="H9" s="122">
        <f>27645+1285+3137791+69014+7555</f>
        <v>3243290</v>
      </c>
      <c r="I9" s="122">
        <f>1140000</f>
        <v>1140000</v>
      </c>
      <c r="J9" s="79"/>
      <c r="L9" s="51"/>
    </row>
    <row r="10" spans="1:10" ht="15">
      <c r="A10" s="20"/>
      <c r="B10" s="20" t="s">
        <v>28</v>
      </c>
      <c r="C10" s="20"/>
      <c r="D10" s="28">
        <f aca="true" t="shared" si="1" ref="D10:J10">SUM(D8:D9)</f>
        <v>0</v>
      </c>
      <c r="E10" s="28">
        <f t="shared" si="1"/>
        <v>0</v>
      </c>
      <c r="F10" s="28">
        <f t="shared" si="1"/>
        <v>0</v>
      </c>
      <c r="G10" s="28">
        <f t="shared" si="1"/>
        <v>760045</v>
      </c>
      <c r="H10" s="28">
        <f t="shared" si="1"/>
        <v>4003335</v>
      </c>
      <c r="I10" s="28">
        <f t="shared" si="1"/>
        <v>5143335</v>
      </c>
      <c r="J10" s="28">
        <f t="shared" si="1"/>
        <v>5143335</v>
      </c>
    </row>
    <row r="11" spans="1:10" ht="15">
      <c r="A11" s="20"/>
      <c r="B11" s="20"/>
      <c r="C11" s="20"/>
      <c r="D11" s="29"/>
      <c r="E11" s="29"/>
      <c r="F11" s="26"/>
      <c r="G11" s="26"/>
      <c r="H11" s="26"/>
      <c r="I11" s="26"/>
      <c r="J11" s="26"/>
    </row>
    <row r="12" spans="1:10" ht="15">
      <c r="A12" s="20"/>
      <c r="B12" s="20" t="s">
        <v>29</v>
      </c>
      <c r="C12" s="20"/>
      <c r="D12" s="28">
        <v>0</v>
      </c>
      <c r="E12" s="28">
        <f aca="true" t="shared" si="2" ref="E12:J12">D15</f>
        <v>0</v>
      </c>
      <c r="F12" s="28">
        <f t="shared" si="2"/>
        <v>0</v>
      </c>
      <c r="G12" s="28">
        <f t="shared" si="2"/>
        <v>0</v>
      </c>
      <c r="H12" s="28">
        <f t="shared" si="2"/>
        <v>50669.666666666664</v>
      </c>
      <c r="I12" s="28">
        <f t="shared" si="2"/>
        <v>317558.6666666667</v>
      </c>
      <c r="J12" s="28">
        <f t="shared" si="2"/>
        <v>660447.6666666667</v>
      </c>
    </row>
    <row r="13" spans="1:11" ht="15">
      <c r="A13" s="20"/>
      <c r="B13" s="24" t="s">
        <v>49</v>
      </c>
      <c r="C13" s="121" t="s">
        <v>62</v>
      </c>
      <c r="D13" s="26">
        <f>D9/15/2</f>
        <v>0</v>
      </c>
      <c r="E13" s="26">
        <f>E9/15/2</f>
        <v>0</v>
      </c>
      <c r="F13" s="26">
        <v>0</v>
      </c>
      <c r="G13" s="77">
        <f>G10/15</f>
        <v>50669.666666666664</v>
      </c>
      <c r="H13" s="77">
        <f>H9/15</f>
        <v>216219.33333333334</v>
      </c>
      <c r="I13" s="26">
        <f>I9/15</f>
        <v>76000</v>
      </c>
      <c r="J13" s="26">
        <f>J9/15/2</f>
        <v>0</v>
      </c>
      <c r="K13" s="78"/>
    </row>
    <row r="14" spans="1:11" ht="15">
      <c r="A14" s="20"/>
      <c r="B14" s="24" t="s">
        <v>50</v>
      </c>
      <c r="C14"/>
      <c r="D14" s="26">
        <f aca="true" t="shared" si="3" ref="D14:I14">D8/15</f>
        <v>0</v>
      </c>
      <c r="E14" s="26">
        <f t="shared" si="3"/>
        <v>0</v>
      </c>
      <c r="F14" s="26">
        <f t="shared" si="3"/>
        <v>0</v>
      </c>
      <c r="G14" s="77"/>
      <c r="H14" s="26">
        <f t="shared" si="3"/>
        <v>50669.666666666664</v>
      </c>
      <c r="I14" s="26">
        <f t="shared" si="3"/>
        <v>266889</v>
      </c>
      <c r="J14" s="26">
        <f>J8/15</f>
        <v>342889</v>
      </c>
      <c r="K14" s="51"/>
    </row>
    <row r="15" spans="1:11" ht="15">
      <c r="A15" s="20"/>
      <c r="B15" s="20" t="s">
        <v>30</v>
      </c>
      <c r="C15" s="20"/>
      <c r="D15" s="28">
        <f aca="true" t="shared" si="4" ref="D15:J15">SUM(D12:D14)</f>
        <v>0</v>
      </c>
      <c r="E15" s="28">
        <f t="shared" si="4"/>
        <v>0</v>
      </c>
      <c r="F15" s="28">
        <f t="shared" si="4"/>
        <v>0</v>
      </c>
      <c r="G15" s="28">
        <f t="shared" si="4"/>
        <v>50669.666666666664</v>
      </c>
      <c r="H15" s="28">
        <f t="shared" si="4"/>
        <v>317558.6666666667</v>
      </c>
      <c r="I15" s="28">
        <f t="shared" si="4"/>
        <v>660447.6666666667</v>
      </c>
      <c r="J15" s="28">
        <f t="shared" si="4"/>
        <v>1003336.6666666667</v>
      </c>
      <c r="K15" s="78"/>
    </row>
    <row r="16" spans="1:10" ht="15">
      <c r="A16" s="20"/>
      <c r="B16" s="20"/>
      <c r="C16" s="20"/>
      <c r="D16" s="30"/>
      <c r="E16" s="30"/>
      <c r="F16" s="26"/>
      <c r="G16" s="26"/>
      <c r="H16" s="26"/>
      <c r="I16" s="26"/>
      <c r="J16" s="26"/>
    </row>
    <row r="17" spans="1:10" ht="15">
      <c r="A17" s="20"/>
      <c r="B17" s="20" t="s">
        <v>31</v>
      </c>
      <c r="C17" s="20"/>
      <c r="D17" s="26">
        <f aca="true" t="shared" si="5" ref="D17:I17">D8-D12</f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709375.3333333334</v>
      </c>
      <c r="I17" s="26">
        <f t="shared" si="5"/>
        <v>3685776.3333333335</v>
      </c>
      <c r="J17" s="26">
        <f>J8-J12</f>
        <v>4482887.333333333</v>
      </c>
    </row>
    <row r="18" spans="1:10" ht="15">
      <c r="A18" s="20"/>
      <c r="B18" s="20" t="s">
        <v>32</v>
      </c>
      <c r="C18" s="20"/>
      <c r="D18" s="28">
        <f aca="true" t="shared" si="6" ref="D18:I18">D10-D15</f>
        <v>0</v>
      </c>
      <c r="E18" s="28">
        <f t="shared" si="6"/>
        <v>0</v>
      </c>
      <c r="F18" s="28">
        <f t="shared" si="6"/>
        <v>0</v>
      </c>
      <c r="G18" s="28">
        <f t="shared" si="6"/>
        <v>709375.3333333334</v>
      </c>
      <c r="H18" s="28">
        <f t="shared" si="6"/>
        <v>3685776.3333333335</v>
      </c>
      <c r="I18" s="28">
        <f t="shared" si="6"/>
        <v>4482887.333333333</v>
      </c>
      <c r="J18" s="28">
        <f>J10-J15</f>
        <v>4139998.333333333</v>
      </c>
    </row>
    <row r="19" spans="1:10" ht="15.75" thickBot="1">
      <c r="A19" s="20"/>
      <c r="B19" s="20" t="s">
        <v>33</v>
      </c>
      <c r="C19" s="20"/>
      <c r="D19" s="31">
        <f aca="true" t="shared" si="7" ref="D19:J19">SUM(D17:D18)/2</f>
        <v>0</v>
      </c>
      <c r="E19" s="31">
        <f t="shared" si="7"/>
        <v>0</v>
      </c>
      <c r="F19" s="31">
        <f t="shared" si="7"/>
        <v>0</v>
      </c>
      <c r="G19" s="31">
        <f t="shared" si="7"/>
        <v>354687.6666666667</v>
      </c>
      <c r="H19" s="31">
        <f t="shared" si="7"/>
        <v>2197575.8333333335</v>
      </c>
      <c r="I19" s="31">
        <f t="shared" si="7"/>
        <v>4084331.833333333</v>
      </c>
      <c r="J19" s="31">
        <f t="shared" si="7"/>
        <v>4311442.833333333</v>
      </c>
    </row>
    <row r="20" spans="1:7" ht="8.25" customHeight="1">
      <c r="A20" s="20"/>
      <c r="B20" s="20"/>
      <c r="C20" s="20"/>
      <c r="D20" s="29"/>
      <c r="E20" s="29"/>
      <c r="F20" s="29"/>
      <c r="G20" s="23"/>
    </row>
    <row r="21" spans="1:7" ht="7.5" customHeight="1">
      <c r="A21" s="20"/>
      <c r="B21" s="20"/>
      <c r="C21" s="20"/>
      <c r="D21" s="27"/>
      <c r="E21" s="27"/>
      <c r="F21" s="27"/>
      <c r="G21" s="20"/>
    </row>
    <row r="22" spans="1:10" ht="15">
      <c r="A22" s="20"/>
      <c r="B22" s="20"/>
      <c r="C22" s="20"/>
      <c r="D22" s="32">
        <v>2006</v>
      </c>
      <c r="E22" s="32">
        <v>2007</v>
      </c>
      <c r="F22" s="32">
        <v>2008</v>
      </c>
      <c r="G22" s="32">
        <v>2009</v>
      </c>
      <c r="H22" s="32">
        <v>2010</v>
      </c>
      <c r="I22" s="32">
        <v>2011</v>
      </c>
      <c r="J22" s="32">
        <f>J5</f>
        <v>2012</v>
      </c>
    </row>
    <row r="23" spans="1:10" ht="18">
      <c r="A23" s="20"/>
      <c r="B23" s="22" t="s">
        <v>80</v>
      </c>
      <c r="C23" s="22"/>
      <c r="D23" s="27" t="s">
        <v>78</v>
      </c>
      <c r="E23" s="27" t="s">
        <v>78</v>
      </c>
      <c r="F23" s="27" t="s">
        <v>78</v>
      </c>
      <c r="G23" s="27" t="s">
        <v>78</v>
      </c>
      <c r="H23" s="27" t="s">
        <v>78</v>
      </c>
      <c r="I23" s="27" t="s">
        <v>42</v>
      </c>
      <c r="J23" s="27" t="s">
        <v>42</v>
      </c>
    </row>
    <row r="24" spans="1:7" ht="7.5" customHeight="1">
      <c r="A24" s="20"/>
      <c r="B24" s="20"/>
      <c r="C24" s="20"/>
      <c r="D24" s="26"/>
      <c r="E24" s="26"/>
      <c r="F24" s="26"/>
      <c r="G24" s="26"/>
    </row>
    <row r="25" spans="1:10" ht="15">
      <c r="A25" s="20"/>
      <c r="B25" s="20" t="s">
        <v>27</v>
      </c>
      <c r="C25" s="20"/>
      <c r="D25" s="28">
        <v>0</v>
      </c>
      <c r="E25" s="28">
        <f aca="true" t="shared" si="8" ref="E25:J25">D27</f>
        <v>0</v>
      </c>
      <c r="F25" s="28">
        <f t="shared" si="8"/>
        <v>0</v>
      </c>
      <c r="G25" s="28">
        <f t="shared" si="8"/>
        <v>0</v>
      </c>
      <c r="H25" s="28">
        <f t="shared" si="8"/>
        <v>451622</v>
      </c>
      <c r="I25" s="28">
        <f t="shared" si="8"/>
        <v>621203</v>
      </c>
      <c r="J25" s="28">
        <f t="shared" si="8"/>
        <v>1061203</v>
      </c>
    </row>
    <row r="26" spans="1:12" ht="15">
      <c r="A26" s="20"/>
      <c r="B26" s="24" t="s">
        <v>47</v>
      </c>
      <c r="C26" s="24"/>
      <c r="D26" s="122"/>
      <c r="E26" s="122"/>
      <c r="F26" s="122"/>
      <c r="G26" s="122">
        <f>53567+103720+75028+219307</f>
        <v>451622</v>
      </c>
      <c r="H26" s="122">
        <f>37675+131906</f>
        <v>169581</v>
      </c>
      <c r="I26" s="122">
        <f>349000+82000+9000</f>
        <v>440000</v>
      </c>
      <c r="J26" s="122"/>
      <c r="K26" s="51"/>
      <c r="L26" s="51"/>
    </row>
    <row r="27" spans="1:11" ht="15">
      <c r="A27" s="20"/>
      <c r="B27" s="20" t="s">
        <v>28</v>
      </c>
      <c r="C27" s="20"/>
      <c r="D27" s="28">
        <f aca="true" t="shared" si="9" ref="D27:J27">SUM(D25:D26)</f>
        <v>0</v>
      </c>
      <c r="E27" s="28">
        <f t="shared" si="9"/>
        <v>0</v>
      </c>
      <c r="F27" s="28">
        <f t="shared" si="9"/>
        <v>0</v>
      </c>
      <c r="G27" s="28">
        <f t="shared" si="9"/>
        <v>451622</v>
      </c>
      <c r="H27" s="28">
        <f t="shared" si="9"/>
        <v>621203</v>
      </c>
      <c r="I27" s="28">
        <f t="shared" si="9"/>
        <v>1061203</v>
      </c>
      <c r="J27" s="28">
        <f t="shared" si="9"/>
        <v>1061203</v>
      </c>
      <c r="K27" s="29"/>
    </row>
    <row r="28" spans="1:10" ht="15">
      <c r="A28" s="20"/>
      <c r="B28" s="20"/>
      <c r="C28" s="20"/>
      <c r="D28" s="29"/>
      <c r="E28" s="29"/>
      <c r="F28" s="26"/>
      <c r="G28" s="26"/>
      <c r="H28" s="26"/>
      <c r="I28" s="26"/>
      <c r="J28" s="26"/>
    </row>
    <row r="29" spans="1:10" ht="15">
      <c r="A29" s="20"/>
      <c r="B29" s="20" t="s">
        <v>29</v>
      </c>
      <c r="C29" s="20"/>
      <c r="D29" s="28">
        <v>0</v>
      </c>
      <c r="E29" s="28">
        <f aca="true" t="shared" si="10" ref="E29:J29">D32</f>
        <v>0</v>
      </c>
      <c r="F29" s="28">
        <f t="shared" si="10"/>
        <v>0</v>
      </c>
      <c r="G29" s="28">
        <f t="shared" si="10"/>
        <v>0</v>
      </c>
      <c r="H29" s="28">
        <f t="shared" si="10"/>
        <v>90324.4</v>
      </c>
      <c r="I29" s="28">
        <f t="shared" si="10"/>
        <v>214565</v>
      </c>
      <c r="J29" s="28">
        <f t="shared" si="10"/>
        <v>382805.6</v>
      </c>
    </row>
    <row r="30" spans="1:10" ht="15">
      <c r="A30" s="20"/>
      <c r="B30" s="24" t="s">
        <v>49</v>
      </c>
      <c r="C30" s="121" t="s">
        <v>85</v>
      </c>
      <c r="D30" s="26">
        <f>D26/3/2</f>
        <v>0</v>
      </c>
      <c r="E30" s="26"/>
      <c r="F30" s="26"/>
      <c r="G30" s="77">
        <f>G27/5</f>
        <v>90324.4</v>
      </c>
      <c r="H30" s="77">
        <f>H26/5</f>
        <v>33916.2</v>
      </c>
      <c r="I30" s="26">
        <f>I26/5/2</f>
        <v>44000</v>
      </c>
      <c r="J30" s="26">
        <f>J26/5/2</f>
        <v>0</v>
      </c>
    </row>
    <row r="31" spans="1:11" ht="15">
      <c r="A31" s="20"/>
      <c r="B31" s="24" t="s">
        <v>50</v>
      </c>
      <c r="C31"/>
      <c r="D31" s="26">
        <f>D25/3</f>
        <v>0</v>
      </c>
      <c r="E31" s="26"/>
      <c r="F31" s="26"/>
      <c r="G31" s="26"/>
      <c r="H31" s="26">
        <f>H25/5</f>
        <v>90324.4</v>
      </c>
      <c r="I31" s="26">
        <f>I25/5</f>
        <v>124240.6</v>
      </c>
      <c r="J31" s="26">
        <f>J25/5</f>
        <v>212240.6</v>
      </c>
      <c r="K31" s="51"/>
    </row>
    <row r="32" spans="1:10" ht="15">
      <c r="A32" s="20"/>
      <c r="B32" s="20" t="s">
        <v>30</v>
      </c>
      <c r="C32" s="20"/>
      <c r="D32" s="28">
        <f aca="true" t="shared" si="11" ref="D32:J32">SUM(D29:D31)</f>
        <v>0</v>
      </c>
      <c r="E32" s="28">
        <f t="shared" si="11"/>
        <v>0</v>
      </c>
      <c r="F32" s="28">
        <f t="shared" si="11"/>
        <v>0</v>
      </c>
      <c r="G32" s="28">
        <f t="shared" si="11"/>
        <v>90324.4</v>
      </c>
      <c r="H32" s="28">
        <f t="shared" si="11"/>
        <v>214565</v>
      </c>
      <c r="I32" s="28">
        <f t="shared" si="11"/>
        <v>382805.6</v>
      </c>
      <c r="J32" s="28">
        <f t="shared" si="11"/>
        <v>595046.2</v>
      </c>
    </row>
    <row r="33" spans="1:10" ht="15">
      <c r="A33" s="20"/>
      <c r="B33" s="20"/>
      <c r="C33" s="20"/>
      <c r="D33" s="30"/>
      <c r="E33" s="30"/>
      <c r="F33" s="26"/>
      <c r="G33" s="26"/>
      <c r="H33" s="26"/>
      <c r="I33" s="26"/>
      <c r="J33" s="26"/>
    </row>
    <row r="34" spans="1:10" ht="15">
      <c r="A34" s="20"/>
      <c r="B34" s="20" t="s">
        <v>31</v>
      </c>
      <c r="C34" s="20"/>
      <c r="D34" s="26">
        <f aca="true" t="shared" si="12" ref="D34:I34">D25-D29</f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361297.6</v>
      </c>
      <c r="I34" s="26">
        <f t="shared" si="12"/>
        <v>406638</v>
      </c>
      <c r="J34" s="26">
        <f>J25-J29</f>
        <v>678397.4</v>
      </c>
    </row>
    <row r="35" spans="1:10" ht="15">
      <c r="A35" s="20"/>
      <c r="B35" s="20" t="s">
        <v>32</v>
      </c>
      <c r="C35" s="20"/>
      <c r="D35" s="28">
        <f aca="true" t="shared" si="13" ref="D35:I35">D27-D32</f>
        <v>0</v>
      </c>
      <c r="E35" s="28">
        <f t="shared" si="13"/>
        <v>0</v>
      </c>
      <c r="F35" s="28">
        <f t="shared" si="13"/>
        <v>0</v>
      </c>
      <c r="G35" s="28">
        <f t="shared" si="13"/>
        <v>361297.6</v>
      </c>
      <c r="H35" s="28">
        <f t="shared" si="13"/>
        <v>406638</v>
      </c>
      <c r="I35" s="28">
        <f t="shared" si="13"/>
        <v>678397.4</v>
      </c>
      <c r="J35" s="28">
        <f>J27-J32</f>
        <v>466156.80000000005</v>
      </c>
    </row>
    <row r="36" spans="1:10" ht="15.75" thickBot="1">
      <c r="A36" s="20"/>
      <c r="B36" s="20" t="s">
        <v>33</v>
      </c>
      <c r="C36" s="20"/>
      <c r="D36" s="31">
        <f aca="true" t="shared" si="14" ref="D36:J36">SUM(D34:D35)/2</f>
        <v>0</v>
      </c>
      <c r="E36" s="31">
        <f t="shared" si="14"/>
        <v>0</v>
      </c>
      <c r="F36" s="31">
        <f t="shared" si="14"/>
        <v>0</v>
      </c>
      <c r="G36" s="31">
        <f t="shared" si="14"/>
        <v>180648.8</v>
      </c>
      <c r="H36" s="31">
        <f t="shared" si="14"/>
        <v>383967.8</v>
      </c>
      <c r="I36" s="31">
        <f t="shared" si="14"/>
        <v>542517.7</v>
      </c>
      <c r="J36" s="31">
        <f t="shared" si="14"/>
        <v>572277.1000000001</v>
      </c>
    </row>
    <row r="37" spans="1:7" ht="8.25" customHeight="1">
      <c r="A37" s="20"/>
      <c r="B37" s="20"/>
      <c r="C37" s="20"/>
      <c r="D37" s="29"/>
      <c r="E37" s="29"/>
      <c r="F37" s="29"/>
      <c r="G37" s="23"/>
    </row>
    <row r="38" spans="1:7" ht="7.5" customHeight="1">
      <c r="A38" s="20"/>
      <c r="B38" s="20"/>
      <c r="C38" s="20"/>
      <c r="D38" s="27"/>
      <c r="E38" s="27"/>
      <c r="F38" s="27"/>
      <c r="G38" s="20"/>
    </row>
    <row r="39" spans="1:10" ht="15">
      <c r="A39" s="20"/>
      <c r="B39" s="20"/>
      <c r="C39" s="20"/>
      <c r="D39" s="32">
        <v>2006</v>
      </c>
      <c r="E39" s="32">
        <v>2007</v>
      </c>
      <c r="F39" s="32">
        <v>2008</v>
      </c>
      <c r="G39" s="32">
        <v>2009</v>
      </c>
      <c r="H39" s="32">
        <v>2010</v>
      </c>
      <c r="I39" s="32">
        <v>2011</v>
      </c>
      <c r="J39" s="32">
        <f>J5</f>
        <v>2012</v>
      </c>
    </row>
    <row r="40" spans="1:10" ht="18">
      <c r="A40" s="20"/>
      <c r="B40" s="22" t="s">
        <v>86</v>
      </c>
      <c r="C40" s="22"/>
      <c r="D40" s="27" t="s">
        <v>78</v>
      </c>
      <c r="E40" s="27" t="s">
        <v>78</v>
      </c>
      <c r="F40" s="27" t="s">
        <v>78</v>
      </c>
      <c r="G40" s="27" t="s">
        <v>78</v>
      </c>
      <c r="H40" s="27" t="s">
        <v>78</v>
      </c>
      <c r="I40" s="27" t="s">
        <v>42</v>
      </c>
      <c r="J40" s="27" t="s">
        <v>42</v>
      </c>
    </row>
    <row r="41" spans="1:7" ht="9.75" customHeight="1">
      <c r="A41" s="20"/>
      <c r="B41" s="20"/>
      <c r="C41" s="20"/>
      <c r="D41" s="26"/>
      <c r="E41" s="26"/>
      <c r="F41" s="26"/>
      <c r="G41" s="26"/>
    </row>
    <row r="42" spans="1:10" ht="15">
      <c r="A42" s="20"/>
      <c r="B42" s="20" t="s">
        <v>27</v>
      </c>
      <c r="C42" s="20"/>
      <c r="D42" s="28">
        <v>0</v>
      </c>
      <c r="E42" s="28">
        <f aca="true" t="shared" si="15" ref="E42:J42">D44</f>
        <v>0</v>
      </c>
      <c r="F42" s="28">
        <f t="shared" si="15"/>
        <v>0</v>
      </c>
      <c r="G42" s="28">
        <f t="shared" si="15"/>
        <v>0</v>
      </c>
      <c r="H42" s="28">
        <f t="shared" si="15"/>
        <v>11811</v>
      </c>
      <c r="I42" s="28">
        <f t="shared" si="15"/>
        <v>198159</v>
      </c>
      <c r="J42" s="28">
        <f t="shared" si="15"/>
        <v>198159</v>
      </c>
    </row>
    <row r="43" spans="1:12" ht="15">
      <c r="A43" s="20"/>
      <c r="B43" s="24" t="s">
        <v>47</v>
      </c>
      <c r="C43" s="123"/>
      <c r="D43" s="122"/>
      <c r="E43" s="122"/>
      <c r="F43" s="122"/>
      <c r="G43" s="122">
        <v>11811</v>
      </c>
      <c r="H43" s="122">
        <v>186348</v>
      </c>
      <c r="I43" s="122"/>
      <c r="J43" s="122"/>
      <c r="L43" s="51"/>
    </row>
    <row r="44" spans="1:10" ht="15">
      <c r="A44" s="20"/>
      <c r="B44" s="20" t="s">
        <v>28</v>
      </c>
      <c r="C44" s="20"/>
      <c r="D44" s="28">
        <f aca="true" t="shared" si="16" ref="D44:J44">SUM(D42:D43)</f>
        <v>0</v>
      </c>
      <c r="E44" s="28">
        <f t="shared" si="16"/>
        <v>0</v>
      </c>
      <c r="F44" s="28">
        <f t="shared" si="16"/>
        <v>0</v>
      </c>
      <c r="G44" s="28">
        <f t="shared" si="16"/>
        <v>11811</v>
      </c>
      <c r="H44" s="28">
        <f t="shared" si="16"/>
        <v>198159</v>
      </c>
      <c r="I44" s="28">
        <f t="shared" si="16"/>
        <v>198159</v>
      </c>
      <c r="J44" s="28">
        <f t="shared" si="16"/>
        <v>198159</v>
      </c>
    </row>
    <row r="45" spans="1:10" ht="15">
      <c r="A45" s="20"/>
      <c r="B45" s="20"/>
      <c r="C45" s="20"/>
      <c r="D45" s="29"/>
      <c r="E45" s="29"/>
      <c r="F45" s="26"/>
      <c r="G45" s="26"/>
      <c r="H45" s="26"/>
      <c r="I45" s="26"/>
      <c r="J45" s="26"/>
    </row>
    <row r="46" spans="1:10" ht="15">
      <c r="A46" s="20"/>
      <c r="B46" s="20" t="s">
        <v>29</v>
      </c>
      <c r="C46" s="20"/>
      <c r="D46" s="28">
        <v>0</v>
      </c>
      <c r="E46" s="28">
        <f aca="true" t="shared" si="17" ref="E46:J46">D49</f>
        <v>0</v>
      </c>
      <c r="F46" s="28">
        <f t="shared" si="17"/>
        <v>0</v>
      </c>
      <c r="G46" s="28">
        <f t="shared" si="17"/>
        <v>0</v>
      </c>
      <c r="H46" s="28">
        <f t="shared" si="17"/>
        <v>1181.1</v>
      </c>
      <c r="I46" s="28">
        <f t="shared" si="17"/>
        <v>20996.999999999996</v>
      </c>
      <c r="J46" s="28">
        <f t="shared" si="17"/>
        <v>40812.899999999994</v>
      </c>
    </row>
    <row r="47" spans="1:10" ht="15">
      <c r="A47" s="20"/>
      <c r="B47" s="24" t="s">
        <v>49</v>
      </c>
      <c r="C47" s="121" t="s">
        <v>87</v>
      </c>
      <c r="D47" s="26">
        <f>D43/3/2</f>
        <v>0</v>
      </c>
      <c r="E47" s="26">
        <f aca="true" t="shared" si="18" ref="E47:J47">E43/10/2</f>
        <v>0</v>
      </c>
      <c r="F47" s="26">
        <f t="shared" si="18"/>
        <v>0</v>
      </c>
      <c r="G47" s="77">
        <f>G43/10</f>
        <v>1181.1</v>
      </c>
      <c r="H47" s="77">
        <f>H43/10</f>
        <v>18634.8</v>
      </c>
      <c r="I47" s="26">
        <f t="shared" si="18"/>
        <v>0</v>
      </c>
      <c r="J47" s="26">
        <f t="shared" si="18"/>
        <v>0</v>
      </c>
    </row>
    <row r="48" spans="1:11" ht="15">
      <c r="A48" s="20"/>
      <c r="B48" s="24" t="s">
        <v>50</v>
      </c>
      <c r="C48"/>
      <c r="D48" s="26">
        <f>D42/3</f>
        <v>0</v>
      </c>
      <c r="E48" s="26">
        <f aca="true" t="shared" si="19" ref="E48:J48">E42/10</f>
        <v>0</v>
      </c>
      <c r="F48" s="26">
        <f t="shared" si="19"/>
        <v>0</v>
      </c>
      <c r="G48" s="77"/>
      <c r="H48" s="26">
        <f t="shared" si="19"/>
        <v>1181.1</v>
      </c>
      <c r="I48" s="26">
        <f t="shared" si="19"/>
        <v>19815.9</v>
      </c>
      <c r="J48" s="26">
        <f t="shared" si="19"/>
        <v>19815.9</v>
      </c>
      <c r="K48" s="51"/>
    </row>
    <row r="49" spans="1:11" ht="15">
      <c r="A49" s="20"/>
      <c r="B49" s="20" t="s">
        <v>30</v>
      </c>
      <c r="C49" s="20"/>
      <c r="D49" s="28">
        <f aca="true" t="shared" si="20" ref="D49:J49">SUM(D46:D48)</f>
        <v>0</v>
      </c>
      <c r="E49" s="28">
        <f t="shared" si="20"/>
        <v>0</v>
      </c>
      <c r="F49" s="28">
        <f t="shared" si="20"/>
        <v>0</v>
      </c>
      <c r="G49" s="28">
        <f t="shared" si="20"/>
        <v>1181.1</v>
      </c>
      <c r="H49" s="28">
        <f t="shared" si="20"/>
        <v>20996.999999999996</v>
      </c>
      <c r="I49" s="28">
        <f t="shared" si="20"/>
        <v>40812.899999999994</v>
      </c>
      <c r="J49" s="28">
        <f t="shared" si="20"/>
        <v>60628.799999999996</v>
      </c>
      <c r="K49" s="51"/>
    </row>
    <row r="50" spans="1:10" ht="15">
      <c r="A50" s="20"/>
      <c r="B50" s="20"/>
      <c r="C50" s="20"/>
      <c r="D50" s="30"/>
      <c r="E50" s="30"/>
      <c r="F50" s="26"/>
      <c r="G50" s="26"/>
      <c r="H50" s="26"/>
      <c r="I50" s="26"/>
      <c r="J50" s="26"/>
    </row>
    <row r="51" spans="1:10" ht="15">
      <c r="A51" s="20"/>
      <c r="B51" s="20" t="s">
        <v>31</v>
      </c>
      <c r="C51" s="20"/>
      <c r="D51" s="26">
        <f aca="true" t="shared" si="21" ref="D51:I51">D42-D46</f>
        <v>0</v>
      </c>
      <c r="E51" s="26">
        <f t="shared" si="21"/>
        <v>0</v>
      </c>
      <c r="F51" s="26">
        <f t="shared" si="21"/>
        <v>0</v>
      </c>
      <c r="G51" s="26">
        <f t="shared" si="21"/>
        <v>0</v>
      </c>
      <c r="H51" s="26">
        <f t="shared" si="21"/>
        <v>10629.9</v>
      </c>
      <c r="I51" s="26">
        <f t="shared" si="21"/>
        <v>177162</v>
      </c>
      <c r="J51" s="26">
        <f>J42-J46</f>
        <v>157346.1</v>
      </c>
    </row>
    <row r="52" spans="1:10" ht="15">
      <c r="A52" s="20"/>
      <c r="B52" s="20" t="s">
        <v>32</v>
      </c>
      <c r="C52" s="20"/>
      <c r="D52" s="28">
        <f aca="true" t="shared" si="22" ref="D52:I52">D44-D49</f>
        <v>0</v>
      </c>
      <c r="E52" s="28">
        <f t="shared" si="22"/>
        <v>0</v>
      </c>
      <c r="F52" s="28">
        <f t="shared" si="22"/>
        <v>0</v>
      </c>
      <c r="G52" s="28">
        <f t="shared" si="22"/>
        <v>10629.9</v>
      </c>
      <c r="H52" s="28">
        <f t="shared" si="22"/>
        <v>177162</v>
      </c>
      <c r="I52" s="28">
        <f t="shared" si="22"/>
        <v>157346.1</v>
      </c>
      <c r="J52" s="28">
        <f>J44-J49</f>
        <v>137530.2</v>
      </c>
    </row>
    <row r="53" spans="1:12" ht="15.75" thickBot="1">
      <c r="A53" s="20"/>
      <c r="B53" s="20" t="s">
        <v>33</v>
      </c>
      <c r="C53" s="20"/>
      <c r="D53" s="31">
        <f aca="true" t="shared" si="23" ref="D53:J53">SUM(D51:D52)/2</f>
        <v>0</v>
      </c>
      <c r="E53" s="31">
        <f t="shared" si="23"/>
        <v>0</v>
      </c>
      <c r="F53" s="31">
        <f t="shared" si="23"/>
        <v>0</v>
      </c>
      <c r="G53" s="31">
        <f t="shared" si="23"/>
        <v>5314.95</v>
      </c>
      <c r="H53" s="31">
        <f t="shared" si="23"/>
        <v>93895.95</v>
      </c>
      <c r="I53" s="31">
        <f t="shared" si="23"/>
        <v>167254.05</v>
      </c>
      <c r="J53" s="31">
        <f t="shared" si="23"/>
        <v>147438.15000000002</v>
      </c>
      <c r="L53" s="51"/>
    </row>
    <row r="54" spans="1:10" ht="15">
      <c r="A54" s="20"/>
      <c r="B54" s="20"/>
      <c r="C54" s="20"/>
      <c r="D54" s="29"/>
      <c r="E54" s="29"/>
      <c r="F54" s="29"/>
      <c r="G54" s="29"/>
      <c r="H54" s="29"/>
      <c r="I54" s="29"/>
      <c r="J54" s="29"/>
    </row>
    <row r="55" spans="1:12" ht="15">
      <c r="A55" s="20"/>
      <c r="B55" s="24" t="s">
        <v>84</v>
      </c>
      <c r="C55" s="20"/>
      <c r="D55" s="26">
        <f>+D10+D27</f>
        <v>0</v>
      </c>
      <c r="E55" s="26">
        <f aca="true" t="shared" si="24" ref="E55:J55">+E10+E27+E44</f>
        <v>0</v>
      </c>
      <c r="F55" s="26">
        <f t="shared" si="24"/>
        <v>0</v>
      </c>
      <c r="G55" s="26">
        <f t="shared" si="24"/>
        <v>1223478</v>
      </c>
      <c r="H55" s="26">
        <f t="shared" si="24"/>
        <v>4822697</v>
      </c>
      <c r="I55" s="26">
        <f t="shared" si="24"/>
        <v>6402697</v>
      </c>
      <c r="J55" s="26">
        <f t="shared" si="24"/>
        <v>6402697</v>
      </c>
      <c r="L55" s="51"/>
    </row>
    <row r="56" spans="1:10" ht="15">
      <c r="A56" s="20"/>
      <c r="B56" s="24" t="s">
        <v>81</v>
      </c>
      <c r="C56" s="20"/>
      <c r="D56" s="26">
        <f>+D19+D36</f>
        <v>0</v>
      </c>
      <c r="E56" s="26">
        <f aca="true" t="shared" si="25" ref="E56:J56">+E19+E36+E53</f>
        <v>0</v>
      </c>
      <c r="F56" s="26">
        <f t="shared" si="25"/>
        <v>0</v>
      </c>
      <c r="G56" s="26">
        <f t="shared" si="25"/>
        <v>540651.4166666666</v>
      </c>
      <c r="H56" s="26">
        <f t="shared" si="25"/>
        <v>2675439.5833333335</v>
      </c>
      <c r="I56" s="26">
        <f t="shared" si="25"/>
        <v>4794103.583333333</v>
      </c>
      <c r="J56" s="26">
        <f t="shared" si="25"/>
        <v>5031158.083333334</v>
      </c>
    </row>
    <row r="57" spans="1:10" ht="15">
      <c r="A57" s="20"/>
      <c r="B57" s="24" t="s">
        <v>82</v>
      </c>
      <c r="C57" s="20"/>
      <c r="D57" s="26">
        <f>+D13+D14+D30+D31</f>
        <v>0</v>
      </c>
      <c r="E57" s="26">
        <f aca="true" t="shared" si="26" ref="E57:J57">+E13+E14+E30+E31+E47+E48</f>
        <v>0</v>
      </c>
      <c r="F57" s="26">
        <f t="shared" si="26"/>
        <v>0</v>
      </c>
      <c r="G57" s="26">
        <f t="shared" si="26"/>
        <v>142175.16666666666</v>
      </c>
      <c r="H57" s="26">
        <f t="shared" si="26"/>
        <v>410945.49999999994</v>
      </c>
      <c r="I57" s="26">
        <f t="shared" si="26"/>
        <v>530945.5</v>
      </c>
      <c r="J57" s="26">
        <f t="shared" si="26"/>
        <v>574945.5</v>
      </c>
    </row>
    <row r="58" spans="1:10" ht="15">
      <c r="A58" s="20"/>
      <c r="B58" s="20"/>
      <c r="C58" s="20"/>
      <c r="D58" s="26"/>
      <c r="E58" s="26"/>
      <c r="F58" s="26"/>
      <c r="G58" s="20"/>
      <c r="I58" s="51"/>
      <c r="J58" s="51"/>
    </row>
    <row r="59" spans="1:7" ht="15" hidden="1">
      <c r="A59" s="20"/>
      <c r="B59" s="20"/>
      <c r="C59" s="20"/>
      <c r="D59" s="26"/>
      <c r="E59" s="26"/>
      <c r="F59" s="26"/>
      <c r="G59" s="20"/>
    </row>
    <row r="60" spans="1:7" ht="15" hidden="1">
      <c r="A60" s="20"/>
      <c r="B60" s="20"/>
      <c r="C60" s="20"/>
      <c r="D60" s="26"/>
      <c r="E60" s="26"/>
      <c r="F60" s="26"/>
      <c r="G60" s="20"/>
    </row>
    <row r="61" spans="1:7" ht="15" hidden="1">
      <c r="A61" s="20"/>
      <c r="B61" s="20"/>
      <c r="C61" s="20"/>
      <c r="D61" s="26"/>
      <c r="E61" s="26"/>
      <c r="F61" s="26"/>
      <c r="G61" s="20"/>
    </row>
    <row r="62" spans="1:7" ht="15">
      <c r="A62" s="20"/>
      <c r="B62" s="20"/>
      <c r="C62" s="20"/>
      <c r="D62" s="26"/>
      <c r="E62" s="26"/>
      <c r="F62" s="26"/>
      <c r="G62" s="20"/>
    </row>
    <row r="63" spans="1:7" ht="26.25">
      <c r="A63" s="20"/>
      <c r="B63" s="139" t="s">
        <v>34</v>
      </c>
      <c r="C63" s="21"/>
      <c r="D63" s="26"/>
      <c r="E63" s="26"/>
      <c r="F63" s="26"/>
      <c r="G63" s="20"/>
    </row>
    <row r="64" spans="1:7" ht="15">
      <c r="A64" s="20"/>
      <c r="B64" s="20"/>
      <c r="C64" s="20"/>
      <c r="D64" s="26"/>
      <c r="E64" s="26"/>
      <c r="F64" s="26"/>
      <c r="G64" s="20"/>
    </row>
    <row r="65" spans="1:10" ht="18">
      <c r="A65" s="20"/>
      <c r="B65" s="22" t="s">
        <v>48</v>
      </c>
      <c r="C65" s="22"/>
      <c r="D65" s="32">
        <v>2006</v>
      </c>
      <c r="E65" s="32">
        <v>2007</v>
      </c>
      <c r="F65" s="32">
        <v>2008</v>
      </c>
      <c r="G65" s="32">
        <v>2009</v>
      </c>
      <c r="H65" s="32">
        <v>2010</v>
      </c>
      <c r="I65" s="32">
        <v>2011</v>
      </c>
      <c r="J65" s="32">
        <f>J5</f>
        <v>2012</v>
      </c>
    </row>
    <row r="66" spans="1:10" ht="15">
      <c r="A66" s="20"/>
      <c r="B66" s="20"/>
      <c r="C66" s="20"/>
      <c r="D66" s="27" t="s">
        <v>78</v>
      </c>
      <c r="E66" s="27" t="s">
        <v>78</v>
      </c>
      <c r="F66" s="27" t="s">
        <v>78</v>
      </c>
      <c r="G66" s="27" t="s">
        <v>78</v>
      </c>
      <c r="H66" s="27" t="s">
        <v>42</v>
      </c>
      <c r="I66" s="27" t="s">
        <v>42</v>
      </c>
      <c r="J66" s="27" t="s">
        <v>42</v>
      </c>
    </row>
    <row r="67" spans="1:7" ht="8.25" customHeight="1">
      <c r="A67" s="20"/>
      <c r="B67" s="20"/>
      <c r="C67" s="20"/>
      <c r="D67" s="26"/>
      <c r="E67" s="26"/>
      <c r="F67" s="26"/>
      <c r="G67" s="26"/>
    </row>
    <row r="68" spans="1:10" ht="15">
      <c r="A68" s="20"/>
      <c r="B68" s="20" t="s">
        <v>35</v>
      </c>
      <c r="C68" s="20"/>
      <c r="D68" s="28">
        <v>0</v>
      </c>
      <c r="E68" s="28">
        <f aca="true" t="shared" si="27" ref="E68:J68">D76</f>
        <v>0</v>
      </c>
      <c r="F68" s="28">
        <f t="shared" si="27"/>
        <v>0</v>
      </c>
      <c r="G68" s="28">
        <f t="shared" si="27"/>
        <v>0</v>
      </c>
      <c r="H68" s="28">
        <f t="shared" si="27"/>
        <v>729643.2</v>
      </c>
      <c r="I68" s="28">
        <f t="shared" si="27"/>
        <v>3784830.1440000003</v>
      </c>
      <c r="J68" s="28">
        <f t="shared" si="27"/>
        <v>4576443.732480001</v>
      </c>
    </row>
    <row r="69" spans="1:10" ht="15">
      <c r="A69" s="20"/>
      <c r="B69" s="20" t="s">
        <v>36</v>
      </c>
      <c r="C69" s="20"/>
      <c r="D69" s="26">
        <f aca="true" t="shared" si="28" ref="D69:I69">D9</f>
        <v>0</v>
      </c>
      <c r="E69" s="26">
        <f t="shared" si="28"/>
        <v>0</v>
      </c>
      <c r="F69" s="26">
        <f t="shared" si="28"/>
        <v>0</v>
      </c>
      <c r="G69" s="26">
        <f t="shared" si="28"/>
        <v>760045</v>
      </c>
      <c r="H69" s="26">
        <f t="shared" si="28"/>
        <v>3243290</v>
      </c>
      <c r="I69" s="26">
        <f t="shared" si="28"/>
        <v>1140000</v>
      </c>
      <c r="J69" s="26">
        <f>J9</f>
        <v>0</v>
      </c>
    </row>
    <row r="70" spans="1:10" ht="15">
      <c r="A70" s="20"/>
      <c r="B70" s="20" t="s">
        <v>37</v>
      </c>
      <c r="C70" s="20"/>
      <c r="D70" s="28">
        <f aca="true" t="shared" si="29" ref="D70:J70">SUM(D68:D69)</f>
        <v>0</v>
      </c>
      <c r="E70" s="28">
        <f t="shared" si="29"/>
        <v>0</v>
      </c>
      <c r="F70" s="28">
        <f t="shared" si="29"/>
        <v>0</v>
      </c>
      <c r="G70" s="28">
        <f t="shared" si="29"/>
        <v>760045</v>
      </c>
      <c r="H70" s="28">
        <f t="shared" si="29"/>
        <v>3972933.2</v>
      </c>
      <c r="I70" s="28">
        <f t="shared" si="29"/>
        <v>4924830.144</v>
      </c>
      <c r="J70" s="28">
        <f t="shared" si="29"/>
        <v>4576443.732480001</v>
      </c>
    </row>
    <row r="71" spans="1:10" ht="15">
      <c r="A71" s="20"/>
      <c r="B71" s="20" t="s">
        <v>38</v>
      </c>
      <c r="C71" s="20"/>
      <c r="D71" s="26">
        <f aca="true" t="shared" si="30" ref="D71:I71">D69/2</f>
        <v>0</v>
      </c>
      <c r="E71" s="26">
        <f t="shared" si="30"/>
        <v>0</v>
      </c>
      <c r="F71" s="26">
        <f t="shared" si="30"/>
        <v>0</v>
      </c>
      <c r="G71" s="26">
        <f t="shared" si="30"/>
        <v>380022.5</v>
      </c>
      <c r="H71" s="26">
        <f t="shared" si="30"/>
        <v>1621645</v>
      </c>
      <c r="I71" s="26">
        <f t="shared" si="30"/>
        <v>570000</v>
      </c>
      <c r="J71" s="26">
        <f>J69/2</f>
        <v>0</v>
      </c>
    </row>
    <row r="72" spans="1:10" ht="15">
      <c r="A72" s="20"/>
      <c r="B72" s="20" t="s">
        <v>39</v>
      </c>
      <c r="C72" s="20"/>
      <c r="D72" s="28">
        <f aca="true" t="shared" si="31" ref="D72:J72">D70-D71</f>
        <v>0</v>
      </c>
      <c r="E72" s="28">
        <f t="shared" si="31"/>
        <v>0</v>
      </c>
      <c r="F72" s="28">
        <f t="shared" si="31"/>
        <v>0</v>
      </c>
      <c r="G72" s="28">
        <f t="shared" si="31"/>
        <v>380022.5</v>
      </c>
      <c r="H72" s="28">
        <f t="shared" si="31"/>
        <v>2351288.2</v>
      </c>
      <c r="I72" s="28">
        <f t="shared" si="31"/>
        <v>4354830.144</v>
      </c>
      <c r="J72" s="28">
        <f t="shared" si="31"/>
        <v>4576443.732480001</v>
      </c>
    </row>
    <row r="73" spans="1:10" ht="15">
      <c r="A73" s="20"/>
      <c r="B73" s="20" t="s">
        <v>43</v>
      </c>
      <c r="C73" s="32">
        <v>47</v>
      </c>
      <c r="D73" s="33"/>
      <c r="E73" s="34"/>
      <c r="F73" s="34"/>
      <c r="G73" s="34"/>
      <c r="H73" s="34"/>
      <c r="I73" s="34"/>
      <c r="J73" s="34"/>
    </row>
    <row r="74" spans="1:10" ht="15">
      <c r="A74" s="20"/>
      <c r="B74" s="20" t="s">
        <v>44</v>
      </c>
      <c r="C74" s="121">
        <v>0.08</v>
      </c>
      <c r="D74" s="33"/>
      <c r="E74" s="34"/>
      <c r="F74" s="34"/>
      <c r="G74" s="34"/>
      <c r="H74" s="34"/>
      <c r="I74" s="34"/>
      <c r="J74" s="34"/>
    </row>
    <row r="75" spans="1:10" ht="15">
      <c r="A75" s="20"/>
      <c r="B75" s="20" t="s">
        <v>40</v>
      </c>
      <c r="C75" s="20"/>
      <c r="D75" s="28">
        <f aca="true" t="shared" si="32" ref="D75:I75">D72*$C$74</f>
        <v>0</v>
      </c>
      <c r="E75" s="28">
        <f t="shared" si="32"/>
        <v>0</v>
      </c>
      <c r="F75" s="28">
        <f t="shared" si="32"/>
        <v>0</v>
      </c>
      <c r="G75" s="28">
        <f t="shared" si="32"/>
        <v>30401.8</v>
      </c>
      <c r="H75" s="28">
        <f t="shared" si="32"/>
        <v>188103.056</v>
      </c>
      <c r="I75" s="28">
        <f t="shared" si="32"/>
        <v>348386.41152</v>
      </c>
      <c r="J75" s="28">
        <f>J72*$C$74</f>
        <v>366115.49859840004</v>
      </c>
    </row>
    <row r="76" spans="1:10" ht="15.75" thickBot="1">
      <c r="A76" s="20"/>
      <c r="B76" s="20" t="s">
        <v>41</v>
      </c>
      <c r="C76" s="20"/>
      <c r="D76" s="31">
        <f aca="true" t="shared" si="33" ref="D76:J76">D70-D75</f>
        <v>0</v>
      </c>
      <c r="E76" s="31">
        <f t="shared" si="33"/>
        <v>0</v>
      </c>
      <c r="F76" s="31">
        <f t="shared" si="33"/>
        <v>0</v>
      </c>
      <c r="G76" s="31">
        <f t="shared" si="33"/>
        <v>729643.2</v>
      </c>
      <c r="H76" s="31">
        <f t="shared" si="33"/>
        <v>3784830.1440000003</v>
      </c>
      <c r="I76" s="31">
        <f t="shared" si="33"/>
        <v>4576443.732480001</v>
      </c>
      <c r="J76" s="31">
        <f t="shared" si="33"/>
        <v>4210328.2338816</v>
      </c>
    </row>
    <row r="77" spans="1:7" ht="15">
      <c r="A77" s="20"/>
      <c r="B77" s="20"/>
      <c r="C77" s="20"/>
      <c r="D77" s="26"/>
      <c r="E77" s="26"/>
      <c r="F77" s="26"/>
      <c r="G77" s="20"/>
    </row>
    <row r="82" spans="2:10" ht="18">
      <c r="B82" s="22" t="s">
        <v>48</v>
      </c>
      <c r="C82" s="22"/>
      <c r="D82" s="32">
        <v>2006</v>
      </c>
      <c r="E82" s="32">
        <v>2007</v>
      </c>
      <c r="F82" s="32">
        <v>2008</v>
      </c>
      <c r="G82" s="32">
        <v>2009</v>
      </c>
      <c r="H82" s="32">
        <v>2010</v>
      </c>
      <c r="I82" s="32">
        <v>2011</v>
      </c>
      <c r="J82" s="32">
        <v>2012</v>
      </c>
    </row>
    <row r="83" spans="2:10" ht="15">
      <c r="B83" s="20"/>
      <c r="C83" s="20"/>
      <c r="D83" s="27" t="s">
        <v>78</v>
      </c>
      <c r="E83" s="27" t="s">
        <v>78</v>
      </c>
      <c r="F83" s="27" t="s">
        <v>78</v>
      </c>
      <c r="G83" s="27" t="s">
        <v>78</v>
      </c>
      <c r="H83" s="27" t="s">
        <v>42</v>
      </c>
      <c r="I83" s="27" t="s">
        <v>42</v>
      </c>
      <c r="J83" s="27" t="s">
        <v>42</v>
      </c>
    </row>
    <row r="84" spans="2:7" ht="9" customHeight="1">
      <c r="B84" s="20"/>
      <c r="C84" s="20"/>
      <c r="D84" s="26"/>
      <c r="E84" s="26"/>
      <c r="F84" s="26"/>
      <c r="G84" s="26"/>
    </row>
    <row r="85" spans="2:10" ht="15">
      <c r="B85" s="20" t="s">
        <v>35</v>
      </c>
      <c r="C85" s="20"/>
      <c r="D85" s="28">
        <v>0</v>
      </c>
      <c r="E85" s="28">
        <f aca="true" t="shared" si="34" ref="E85:J85">D93</f>
        <v>0</v>
      </c>
      <c r="F85" s="28">
        <f t="shared" si="34"/>
        <v>0</v>
      </c>
      <c r="G85" s="28">
        <f t="shared" si="34"/>
        <v>0</v>
      </c>
      <c r="H85" s="28">
        <f t="shared" si="34"/>
        <v>327425.95</v>
      </c>
      <c r="I85" s="28">
        <f t="shared" si="34"/>
        <v>270287.90249999997</v>
      </c>
      <c r="J85" s="28">
        <f t="shared" si="34"/>
        <v>440629.55612499994</v>
      </c>
    </row>
    <row r="86" spans="2:10" ht="15">
      <c r="B86" s="20" t="s">
        <v>36</v>
      </c>
      <c r="C86" s="20"/>
      <c r="D86" s="26">
        <f aca="true" t="shared" si="35" ref="D86:I86">D26</f>
        <v>0</v>
      </c>
      <c r="E86" s="26">
        <f t="shared" si="35"/>
        <v>0</v>
      </c>
      <c r="F86" s="26">
        <f t="shared" si="35"/>
        <v>0</v>
      </c>
      <c r="G86" s="26">
        <f t="shared" si="35"/>
        <v>451622</v>
      </c>
      <c r="H86" s="26">
        <f t="shared" si="35"/>
        <v>169581</v>
      </c>
      <c r="I86" s="26">
        <f t="shared" si="35"/>
        <v>440000</v>
      </c>
      <c r="J86" s="26">
        <f>J26</f>
        <v>0</v>
      </c>
    </row>
    <row r="87" spans="2:10" ht="15">
      <c r="B87" s="20" t="s">
        <v>37</v>
      </c>
      <c r="C87" s="20"/>
      <c r="D87" s="28">
        <f aca="true" t="shared" si="36" ref="D87:J87">SUM(D85:D86)</f>
        <v>0</v>
      </c>
      <c r="E87" s="28">
        <f t="shared" si="36"/>
        <v>0</v>
      </c>
      <c r="F87" s="28">
        <f t="shared" si="36"/>
        <v>0</v>
      </c>
      <c r="G87" s="28">
        <f t="shared" si="36"/>
        <v>451622</v>
      </c>
      <c r="H87" s="28">
        <f t="shared" si="36"/>
        <v>497006.95</v>
      </c>
      <c r="I87" s="28">
        <f t="shared" si="36"/>
        <v>710287.9025</v>
      </c>
      <c r="J87" s="28">
        <f t="shared" si="36"/>
        <v>440629.55612499994</v>
      </c>
    </row>
    <row r="88" spans="2:10" ht="15">
      <c r="B88" s="20" t="s">
        <v>38</v>
      </c>
      <c r="C88" s="20"/>
      <c r="D88" s="26">
        <f aca="true" t="shared" si="37" ref="D88:I88">D86/2</f>
        <v>0</v>
      </c>
      <c r="E88" s="26">
        <f t="shared" si="37"/>
        <v>0</v>
      </c>
      <c r="F88" s="26">
        <f t="shared" si="37"/>
        <v>0</v>
      </c>
      <c r="G88" s="26">
        <f t="shared" si="37"/>
        <v>225811</v>
      </c>
      <c r="H88" s="26">
        <f t="shared" si="37"/>
        <v>84790.5</v>
      </c>
      <c r="I88" s="26">
        <f t="shared" si="37"/>
        <v>220000</v>
      </c>
      <c r="J88" s="26">
        <f>J86/2</f>
        <v>0</v>
      </c>
    </row>
    <row r="89" spans="2:10" ht="15">
      <c r="B89" s="20" t="s">
        <v>39</v>
      </c>
      <c r="C89" s="20"/>
      <c r="D89" s="28">
        <f aca="true" t="shared" si="38" ref="D89:J89">D87-D88</f>
        <v>0</v>
      </c>
      <c r="E89" s="28">
        <f t="shared" si="38"/>
        <v>0</v>
      </c>
      <c r="F89" s="28">
        <f t="shared" si="38"/>
        <v>0</v>
      </c>
      <c r="G89" s="28">
        <f t="shared" si="38"/>
        <v>225811</v>
      </c>
      <c r="H89" s="28">
        <f t="shared" si="38"/>
        <v>412216.45</v>
      </c>
      <c r="I89" s="28">
        <f t="shared" si="38"/>
        <v>490287.90249999997</v>
      </c>
      <c r="J89" s="28">
        <f t="shared" si="38"/>
        <v>440629.55612499994</v>
      </c>
    </row>
    <row r="90" spans="2:10" ht="15">
      <c r="B90" s="20" t="s">
        <v>43</v>
      </c>
      <c r="C90" s="32">
        <v>50</v>
      </c>
      <c r="D90" s="33"/>
      <c r="E90" s="34"/>
      <c r="F90" s="34"/>
      <c r="G90" s="34"/>
      <c r="H90" s="34"/>
      <c r="I90" s="34"/>
      <c r="J90" s="34"/>
    </row>
    <row r="91" spans="2:10" ht="15">
      <c r="B91" s="20" t="s">
        <v>44</v>
      </c>
      <c r="C91" s="121">
        <v>0.55</v>
      </c>
      <c r="D91" s="33"/>
      <c r="E91" s="34"/>
      <c r="F91" s="34"/>
      <c r="G91" s="34"/>
      <c r="H91" s="34"/>
      <c r="I91" s="34"/>
      <c r="J91" s="34"/>
    </row>
    <row r="92" spans="2:10" ht="15">
      <c r="B92" s="20" t="s">
        <v>40</v>
      </c>
      <c r="C92" s="20"/>
      <c r="D92" s="28">
        <f>D89*$C$74</f>
        <v>0</v>
      </c>
      <c r="E92" s="28">
        <f aca="true" t="shared" si="39" ref="E92:J92">E89*$C$91</f>
        <v>0</v>
      </c>
      <c r="F92" s="28">
        <f t="shared" si="39"/>
        <v>0</v>
      </c>
      <c r="G92" s="28">
        <f t="shared" si="39"/>
        <v>124196.05</v>
      </c>
      <c r="H92" s="28">
        <f t="shared" si="39"/>
        <v>226719.04750000002</v>
      </c>
      <c r="I92" s="28">
        <f t="shared" si="39"/>
        <v>269658.346375</v>
      </c>
      <c r="J92" s="28">
        <f t="shared" si="39"/>
        <v>242346.25586874998</v>
      </c>
    </row>
    <row r="93" spans="2:10" ht="15.75" thickBot="1">
      <c r="B93" s="20" t="s">
        <v>41</v>
      </c>
      <c r="C93" s="20"/>
      <c r="D93" s="31">
        <f aca="true" t="shared" si="40" ref="D93:J93">D87-D92</f>
        <v>0</v>
      </c>
      <c r="E93" s="31">
        <f t="shared" si="40"/>
        <v>0</v>
      </c>
      <c r="F93" s="31">
        <f t="shared" si="40"/>
        <v>0</v>
      </c>
      <c r="G93" s="31">
        <f t="shared" si="40"/>
        <v>327425.95</v>
      </c>
      <c r="H93" s="31">
        <f t="shared" si="40"/>
        <v>270287.90249999997</v>
      </c>
      <c r="I93" s="31">
        <f t="shared" si="40"/>
        <v>440629.55612499994</v>
      </c>
      <c r="J93" s="31">
        <f t="shared" si="40"/>
        <v>198283.30025624996</v>
      </c>
    </row>
    <row r="94" spans="2:7" ht="15">
      <c r="B94" s="20"/>
      <c r="C94" s="20"/>
      <c r="D94" s="26"/>
      <c r="E94" s="26"/>
      <c r="F94" s="26"/>
      <c r="G94" s="20"/>
    </row>
    <row r="95" spans="2:10" ht="15">
      <c r="B95" s="20" t="s">
        <v>83</v>
      </c>
      <c r="D95" s="30">
        <f aca="true" t="shared" si="41" ref="D95:I95">+D75+D92</f>
        <v>0</v>
      </c>
      <c r="E95" s="30">
        <f t="shared" si="41"/>
        <v>0</v>
      </c>
      <c r="F95" s="30">
        <f t="shared" si="41"/>
        <v>0</v>
      </c>
      <c r="G95" s="30">
        <f t="shared" si="41"/>
        <v>154597.85</v>
      </c>
      <c r="H95" s="30">
        <f t="shared" si="41"/>
        <v>414822.1035</v>
      </c>
      <c r="I95" s="30">
        <f t="shared" si="41"/>
        <v>618044.757895</v>
      </c>
      <c r="J95" s="30">
        <f>+J75+J92</f>
        <v>608461.75446715</v>
      </c>
    </row>
  </sheetData>
  <sheetProtection formatColumns="0" selectLockedCells="1"/>
  <printOptions/>
  <pageMargins left="0.75" right="0.75" top="0.66" bottom="0.32" header="0.5" footer="0.16"/>
  <pageSetup fitToHeight="2" horizontalDpi="600" verticalDpi="600" orientation="landscape" scale="70" r:id="rId1"/>
  <headerFooter alignWithMargins="0">
    <oddFooter>&amp;R&amp;A</oddFoot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zoomScalePageLayoutView="0" workbookViewId="0" topLeftCell="A1">
      <pane ySplit="7" topLeftCell="A85" activePane="bottomLeft" state="frozen"/>
      <selection pane="topLeft" activeCell="D24" sqref="D24"/>
      <selection pane="bottomLeft" activeCell="D24" sqref="D24"/>
    </sheetView>
  </sheetViews>
  <sheetFormatPr defaultColWidth="8.88671875" defaultRowHeight="15"/>
  <cols>
    <col min="1" max="1" width="11.99609375" style="0" customWidth="1"/>
    <col min="2" max="2" width="14.99609375" style="0" customWidth="1"/>
    <col min="3" max="3" width="12.3359375" style="0" customWidth="1"/>
    <col min="4" max="4" width="15.10546875" style="0" customWidth="1"/>
    <col min="5" max="9" width="12.3359375" style="0" customWidth="1"/>
    <col min="10" max="10" width="15.5546875" style="0" customWidth="1"/>
    <col min="11" max="11" width="12.3359375" style="0" customWidth="1"/>
    <col min="12" max="12" width="14.21484375" style="0" customWidth="1"/>
    <col min="13" max="13" width="15.5546875" style="0" customWidth="1"/>
  </cols>
  <sheetData>
    <row r="1" s="39" customFormat="1" ht="15.75">
      <c r="A1" s="39" t="str">
        <f>+'1. Summary'!B2</f>
        <v>Whitby Hydro Electric Corporation</v>
      </c>
    </row>
    <row r="2" s="39" customFormat="1" ht="15.75">
      <c r="A2" s="39" t="str">
        <f>+'1. Summary'!B3</f>
        <v>Review of Smart Meter Forecast - 2012</v>
      </c>
    </row>
    <row r="4" ht="15.75">
      <c r="A4" s="39" t="s">
        <v>98</v>
      </c>
    </row>
    <row r="5" ht="15.75">
      <c r="A5" s="39"/>
    </row>
    <row r="6" spans="1:11" ht="15.75">
      <c r="A6" s="39"/>
      <c r="B6" s="156" t="s">
        <v>99</v>
      </c>
      <c r="C6" s="157"/>
      <c r="D6" s="158"/>
      <c r="E6" s="156" t="s">
        <v>100</v>
      </c>
      <c r="F6" s="157"/>
      <c r="G6" s="157"/>
      <c r="H6" s="158"/>
      <c r="I6" s="159" t="s">
        <v>77</v>
      </c>
      <c r="J6" s="160"/>
      <c r="K6" s="65"/>
    </row>
    <row r="7" spans="1:14" s="56" customFormat="1" ht="48" customHeight="1">
      <c r="A7" s="140" t="s">
        <v>53</v>
      </c>
      <c r="B7" s="140" t="s">
        <v>54</v>
      </c>
      <c r="C7" s="140" t="s">
        <v>55</v>
      </c>
      <c r="D7" s="141" t="s">
        <v>56</v>
      </c>
      <c r="E7" s="142" t="s">
        <v>101</v>
      </c>
      <c r="F7" s="143" t="s">
        <v>102</v>
      </c>
      <c r="G7" s="143" t="s">
        <v>103</v>
      </c>
      <c r="H7" s="144" t="s">
        <v>104</v>
      </c>
      <c r="I7" s="142" t="s">
        <v>101</v>
      </c>
      <c r="J7" s="143" t="s">
        <v>121</v>
      </c>
      <c r="K7" s="54"/>
      <c r="L7" s="55" t="s">
        <v>9</v>
      </c>
      <c r="M7" s="53" t="s">
        <v>96</v>
      </c>
      <c r="N7" s="56" t="s">
        <v>57</v>
      </c>
    </row>
    <row r="8" spans="1:14" ht="15">
      <c r="A8" s="57">
        <v>38838</v>
      </c>
      <c r="B8" s="58">
        <v>0</v>
      </c>
      <c r="C8" s="58">
        <f>'[1]1555 SM'!E10+'[1]1555 SM'!F10</f>
        <v>-9726</v>
      </c>
      <c r="D8" s="60">
        <f>B8+C8</f>
        <v>-9726</v>
      </c>
      <c r="E8" s="61">
        <v>0</v>
      </c>
      <c r="F8" s="58">
        <f>'[1]1555 SM'!C10</f>
        <v>0</v>
      </c>
      <c r="G8" s="58">
        <f>'[1]1555 SM'!D10</f>
        <v>0</v>
      </c>
      <c r="H8" s="60">
        <f>SUM(E8:G8)</f>
        <v>0</v>
      </c>
      <c r="I8" s="61">
        <f>B8+E8</f>
        <v>0</v>
      </c>
      <c r="J8" s="58">
        <f>D8+H8</f>
        <v>-9726</v>
      </c>
      <c r="K8" s="52"/>
      <c r="L8" s="41">
        <f>'2. Revenue Requirement'!$D$27/8</f>
        <v>0</v>
      </c>
      <c r="M8" s="41">
        <f aca="true" t="shared" si="0" ref="M8:M39">B8+C8+L8</f>
        <v>-9726</v>
      </c>
      <c r="N8" t="s">
        <v>57</v>
      </c>
    </row>
    <row r="9" spans="1:14" ht="15">
      <c r="A9" s="57">
        <v>38869</v>
      </c>
      <c r="B9" s="58">
        <f>D8</f>
        <v>-9726</v>
      </c>
      <c r="C9" s="58">
        <f>'[1]1555 SM'!E11+'[1]1555 SM'!F11</f>
        <v>-4899</v>
      </c>
      <c r="D9" s="60">
        <f aca="true" t="shared" si="1" ref="D9:D72">B9+C9</f>
        <v>-14625</v>
      </c>
      <c r="E9" s="61">
        <f>H8</f>
        <v>0</v>
      </c>
      <c r="F9" s="58">
        <f>'[1]1555 SM'!C11</f>
        <v>0</v>
      </c>
      <c r="G9" s="58">
        <f>'[1]1555 SM'!D11</f>
        <v>0</v>
      </c>
      <c r="H9" s="60">
        <f aca="true" t="shared" si="2" ref="H9:H72">SUM(E9:G9)</f>
        <v>0</v>
      </c>
      <c r="I9" s="61">
        <f aca="true" t="shared" si="3" ref="I9:I72">B9+E9</f>
        <v>-9726</v>
      </c>
      <c r="J9" s="58">
        <f aca="true" t="shared" si="4" ref="J9:J72">D9+H9</f>
        <v>-14625</v>
      </c>
      <c r="K9" s="41"/>
      <c r="L9" s="41">
        <f>'2. Revenue Requirement'!$D$27/8</f>
        <v>0</v>
      </c>
      <c r="M9" s="41">
        <f t="shared" si="0"/>
        <v>-14625</v>
      </c>
      <c r="N9" t="s">
        <v>57</v>
      </c>
    </row>
    <row r="10" spans="1:14" ht="15">
      <c r="A10" s="57">
        <v>38899</v>
      </c>
      <c r="B10" s="58">
        <f aca="true" t="shared" si="5" ref="B10:B73">D9</f>
        <v>-14625</v>
      </c>
      <c r="C10" s="58">
        <f>'[1]1555 SM'!E12+'[1]1555 SM'!F12</f>
        <v>-18872</v>
      </c>
      <c r="D10" s="60">
        <f t="shared" si="1"/>
        <v>-33497</v>
      </c>
      <c r="E10" s="61">
        <f aca="true" t="shared" si="6" ref="E10:E73">H9</f>
        <v>0</v>
      </c>
      <c r="F10" s="58">
        <f>'[1]1555 SM'!C12</f>
        <v>0</v>
      </c>
      <c r="G10" s="58">
        <f>'[1]1555 SM'!D12</f>
        <v>0</v>
      </c>
      <c r="H10" s="60">
        <f t="shared" si="2"/>
        <v>0</v>
      </c>
      <c r="I10" s="61">
        <f t="shared" si="3"/>
        <v>-14625</v>
      </c>
      <c r="J10" s="58">
        <f t="shared" si="4"/>
        <v>-33497</v>
      </c>
      <c r="K10" s="41"/>
      <c r="L10" s="41">
        <f>'2. Revenue Requirement'!$D$27/8</f>
        <v>0</v>
      </c>
      <c r="M10" s="41">
        <f t="shared" si="0"/>
        <v>-33497</v>
      </c>
      <c r="N10" t="s">
        <v>57</v>
      </c>
    </row>
    <row r="11" spans="1:14" ht="15">
      <c r="A11" s="57">
        <v>38930</v>
      </c>
      <c r="B11" s="58">
        <f t="shared" si="5"/>
        <v>-33497</v>
      </c>
      <c r="C11" s="58">
        <f>'[1]1555 SM'!E13+'[1]1555 SM'!F13</f>
        <v>-10795</v>
      </c>
      <c r="D11" s="60">
        <f t="shared" si="1"/>
        <v>-44292</v>
      </c>
      <c r="E11" s="61">
        <f t="shared" si="6"/>
        <v>0</v>
      </c>
      <c r="F11" s="58">
        <f>'[1]1555 SM'!C13</f>
        <v>0</v>
      </c>
      <c r="G11" s="58">
        <f>'[1]1555 SM'!D13</f>
        <v>0</v>
      </c>
      <c r="H11" s="60">
        <f t="shared" si="2"/>
        <v>0</v>
      </c>
      <c r="I11" s="61">
        <f t="shared" si="3"/>
        <v>-33497</v>
      </c>
      <c r="J11" s="58">
        <f t="shared" si="4"/>
        <v>-44292</v>
      </c>
      <c r="K11" s="41"/>
      <c r="L11" s="41">
        <f>'2. Revenue Requirement'!$D$27/8</f>
        <v>0</v>
      </c>
      <c r="M11" s="41">
        <f t="shared" si="0"/>
        <v>-44292</v>
      </c>
      <c r="N11" t="s">
        <v>57</v>
      </c>
    </row>
    <row r="12" spans="1:14" ht="15">
      <c r="A12" s="57">
        <v>38961</v>
      </c>
      <c r="B12" s="58">
        <f t="shared" si="5"/>
        <v>-44292</v>
      </c>
      <c r="C12" s="58">
        <f>'[1]1555 SM'!E14+'[1]1555 SM'!F14</f>
        <v>-8928</v>
      </c>
      <c r="D12" s="60">
        <f t="shared" si="1"/>
        <v>-53220</v>
      </c>
      <c r="E12" s="61">
        <f t="shared" si="6"/>
        <v>0</v>
      </c>
      <c r="F12" s="58">
        <f>'[1]1555 SM'!C14</f>
        <v>0</v>
      </c>
      <c r="G12" s="58">
        <f>'[1]1555 SM'!D14</f>
        <v>0</v>
      </c>
      <c r="H12" s="60">
        <f t="shared" si="2"/>
        <v>0</v>
      </c>
      <c r="I12" s="61">
        <f t="shared" si="3"/>
        <v>-44292</v>
      </c>
      <c r="J12" s="58">
        <f t="shared" si="4"/>
        <v>-53220</v>
      </c>
      <c r="K12" s="41"/>
      <c r="L12" s="41">
        <f>'2. Revenue Requirement'!$D$27/8</f>
        <v>0</v>
      </c>
      <c r="M12" s="41">
        <f t="shared" si="0"/>
        <v>-53220</v>
      </c>
      <c r="N12" t="s">
        <v>57</v>
      </c>
    </row>
    <row r="13" spans="1:14" ht="15">
      <c r="A13" s="57">
        <v>38991</v>
      </c>
      <c r="B13" s="58">
        <f t="shared" si="5"/>
        <v>-53220</v>
      </c>
      <c r="C13" s="58">
        <f>'[1]1555 SM'!E15+'[1]1555 SM'!F15</f>
        <v>-8204</v>
      </c>
      <c r="D13" s="60">
        <f t="shared" si="1"/>
        <v>-61424</v>
      </c>
      <c r="E13" s="61">
        <f t="shared" si="6"/>
        <v>0</v>
      </c>
      <c r="F13" s="58">
        <f>'[1]1555 SM'!C15</f>
        <v>0</v>
      </c>
      <c r="G13" s="58">
        <f>'[1]1555 SM'!D15</f>
        <v>0</v>
      </c>
      <c r="H13" s="60">
        <f t="shared" si="2"/>
        <v>0</v>
      </c>
      <c r="I13" s="61">
        <f t="shared" si="3"/>
        <v>-53220</v>
      </c>
      <c r="J13" s="58">
        <f t="shared" si="4"/>
        <v>-61424</v>
      </c>
      <c r="K13" s="41"/>
      <c r="L13" s="41">
        <f>'2. Revenue Requirement'!$D$27/8</f>
        <v>0</v>
      </c>
      <c r="M13" s="41">
        <f t="shared" si="0"/>
        <v>-61424</v>
      </c>
      <c r="N13" t="s">
        <v>57</v>
      </c>
    </row>
    <row r="14" spans="1:14" ht="15">
      <c r="A14" s="57">
        <v>39022</v>
      </c>
      <c r="B14" s="58">
        <f t="shared" si="5"/>
        <v>-61424</v>
      </c>
      <c r="C14" s="58">
        <f>'[1]1555 SM'!E16+'[1]1555 SM'!F16</f>
        <v>-9791</v>
      </c>
      <c r="D14" s="60">
        <f t="shared" si="1"/>
        <v>-71215</v>
      </c>
      <c r="E14" s="61">
        <f t="shared" si="6"/>
        <v>0</v>
      </c>
      <c r="F14" s="58">
        <f>'[1]1555 SM'!C16</f>
        <v>0</v>
      </c>
      <c r="G14" s="58">
        <f>'[1]1555 SM'!D16</f>
        <v>0</v>
      </c>
      <c r="H14" s="60">
        <f t="shared" si="2"/>
        <v>0</v>
      </c>
      <c r="I14" s="61">
        <f t="shared" si="3"/>
        <v>-61424</v>
      </c>
      <c r="J14" s="58">
        <f t="shared" si="4"/>
        <v>-71215</v>
      </c>
      <c r="K14" s="41"/>
      <c r="L14" s="41">
        <f>'2. Revenue Requirement'!$D$27/8</f>
        <v>0</v>
      </c>
      <c r="M14" s="41">
        <f t="shared" si="0"/>
        <v>-71215</v>
      </c>
      <c r="N14" t="s">
        <v>57</v>
      </c>
    </row>
    <row r="15" spans="1:14" ht="15">
      <c r="A15" s="57">
        <v>39052</v>
      </c>
      <c r="B15" s="58">
        <f t="shared" si="5"/>
        <v>-71215</v>
      </c>
      <c r="C15" s="58">
        <f>'[1]1555 SM'!E17+'[1]1555 SM'!F17</f>
        <v>-11001</v>
      </c>
      <c r="D15" s="60">
        <f t="shared" si="1"/>
        <v>-82216</v>
      </c>
      <c r="E15" s="61">
        <f t="shared" si="6"/>
        <v>0</v>
      </c>
      <c r="F15" s="58">
        <f>'[1]1555 SM'!C17</f>
        <v>0</v>
      </c>
      <c r="G15" s="58">
        <f>'[1]1555 SM'!D17</f>
        <v>0</v>
      </c>
      <c r="H15" s="60">
        <f t="shared" si="2"/>
        <v>0</v>
      </c>
      <c r="I15" s="61">
        <f t="shared" si="3"/>
        <v>-71215</v>
      </c>
      <c r="J15" s="58">
        <f t="shared" si="4"/>
        <v>-82216</v>
      </c>
      <c r="K15" s="41"/>
      <c r="L15" s="41">
        <f>'2. Revenue Requirement'!$D$27/8</f>
        <v>0</v>
      </c>
      <c r="M15" s="41">
        <f t="shared" si="0"/>
        <v>-82216</v>
      </c>
      <c r="N15" t="s">
        <v>57</v>
      </c>
    </row>
    <row r="16" spans="1:14" ht="15">
      <c r="A16" s="57">
        <v>39083</v>
      </c>
      <c r="B16" s="58">
        <f t="shared" si="5"/>
        <v>-82216</v>
      </c>
      <c r="C16" s="58">
        <f>'[1]1555 SM'!E18+'[1]1555 SM'!F18</f>
        <v>-12101</v>
      </c>
      <c r="D16" s="60">
        <f t="shared" si="1"/>
        <v>-94317</v>
      </c>
      <c r="E16" s="61">
        <f t="shared" si="6"/>
        <v>0</v>
      </c>
      <c r="F16" s="58">
        <f>'[1]1555 SM'!C18</f>
        <v>0</v>
      </c>
      <c r="G16" s="58">
        <f>'[1]1555 SM'!D18</f>
        <v>0</v>
      </c>
      <c r="H16" s="60">
        <f t="shared" si="2"/>
        <v>0</v>
      </c>
      <c r="I16" s="61">
        <f t="shared" si="3"/>
        <v>-82216</v>
      </c>
      <c r="J16" s="58">
        <f t="shared" si="4"/>
        <v>-94317</v>
      </c>
      <c r="K16" s="41"/>
      <c r="L16" s="41">
        <f>'2. Revenue Requirement'!$F$27/12</f>
        <v>0</v>
      </c>
      <c r="M16" s="41">
        <f t="shared" si="0"/>
        <v>-94317</v>
      </c>
      <c r="N16" t="s">
        <v>57</v>
      </c>
    </row>
    <row r="17" spans="1:14" ht="15">
      <c r="A17" s="57">
        <v>39114</v>
      </c>
      <c r="B17" s="58">
        <f t="shared" si="5"/>
        <v>-94317</v>
      </c>
      <c r="C17" s="58">
        <f>'[1]1555 SM'!E19+'[1]1555 SM'!F19</f>
        <v>-10972</v>
      </c>
      <c r="D17" s="60">
        <f t="shared" si="1"/>
        <v>-105289</v>
      </c>
      <c r="E17" s="61">
        <f t="shared" si="6"/>
        <v>0</v>
      </c>
      <c r="F17" s="58">
        <f>'[1]1555 SM'!C19</f>
        <v>0</v>
      </c>
      <c r="G17" s="58">
        <f>'[1]1555 SM'!D19</f>
        <v>0</v>
      </c>
      <c r="H17" s="60">
        <f t="shared" si="2"/>
        <v>0</v>
      </c>
      <c r="I17" s="61">
        <f t="shared" si="3"/>
        <v>-94317</v>
      </c>
      <c r="J17" s="58">
        <f t="shared" si="4"/>
        <v>-105289</v>
      </c>
      <c r="K17" s="41"/>
      <c r="L17" s="41">
        <f>'2. Revenue Requirement'!$F$27/12</f>
        <v>0</v>
      </c>
      <c r="M17" s="41">
        <f t="shared" si="0"/>
        <v>-105289</v>
      </c>
      <c r="N17" t="s">
        <v>57</v>
      </c>
    </row>
    <row r="18" spans="1:14" ht="15">
      <c r="A18" s="57">
        <v>39142</v>
      </c>
      <c r="B18" s="58">
        <f t="shared" si="5"/>
        <v>-105289</v>
      </c>
      <c r="C18" s="58">
        <f>'[1]1555 SM'!E20+'[1]1555 SM'!F20</f>
        <v>-11130</v>
      </c>
      <c r="D18" s="60">
        <f t="shared" si="1"/>
        <v>-116419</v>
      </c>
      <c r="E18" s="61">
        <f t="shared" si="6"/>
        <v>0</v>
      </c>
      <c r="F18" s="58">
        <f>'[1]1555 SM'!C20</f>
        <v>0</v>
      </c>
      <c r="G18" s="58">
        <f>'[1]1555 SM'!D20</f>
        <v>0</v>
      </c>
      <c r="H18" s="60">
        <f t="shared" si="2"/>
        <v>0</v>
      </c>
      <c r="I18" s="61">
        <f t="shared" si="3"/>
        <v>-105289</v>
      </c>
      <c r="J18" s="58">
        <f t="shared" si="4"/>
        <v>-116419</v>
      </c>
      <c r="K18" s="41"/>
      <c r="L18" s="41">
        <f>'2. Revenue Requirement'!$F$27/12</f>
        <v>0</v>
      </c>
      <c r="M18" s="41">
        <f t="shared" si="0"/>
        <v>-116419</v>
      </c>
      <c r="N18" t="s">
        <v>57</v>
      </c>
    </row>
    <row r="19" spans="1:14" ht="15">
      <c r="A19" s="57">
        <v>39173</v>
      </c>
      <c r="B19" s="58">
        <f t="shared" si="5"/>
        <v>-116419</v>
      </c>
      <c r="C19" s="58">
        <f>'[1]1555 SM'!E21+'[1]1555 SM'!F21</f>
        <v>-8399</v>
      </c>
      <c r="D19" s="60">
        <f t="shared" si="1"/>
        <v>-124818</v>
      </c>
      <c r="E19" s="61">
        <f t="shared" si="6"/>
        <v>0</v>
      </c>
      <c r="F19" s="58">
        <f>'[1]1555 SM'!C21</f>
        <v>0</v>
      </c>
      <c r="G19" s="58">
        <f>'[1]1555 SM'!D21</f>
        <v>0</v>
      </c>
      <c r="H19" s="60">
        <f t="shared" si="2"/>
        <v>0</v>
      </c>
      <c r="I19" s="61">
        <f t="shared" si="3"/>
        <v>-116419</v>
      </c>
      <c r="J19" s="58">
        <f t="shared" si="4"/>
        <v>-124818</v>
      </c>
      <c r="K19" s="41"/>
      <c r="L19" s="41">
        <f>'2. Revenue Requirement'!$F$27/12</f>
        <v>0</v>
      </c>
      <c r="M19" s="41">
        <f t="shared" si="0"/>
        <v>-124818</v>
      </c>
      <c r="N19" t="s">
        <v>57</v>
      </c>
    </row>
    <row r="20" spans="1:14" ht="15">
      <c r="A20" s="57">
        <v>39203</v>
      </c>
      <c r="B20" s="58">
        <f t="shared" si="5"/>
        <v>-124818</v>
      </c>
      <c r="C20" s="58">
        <f>'[1]1555 SM'!E22+'[1]1555 SM'!F22</f>
        <v>-9126</v>
      </c>
      <c r="D20" s="60">
        <f t="shared" si="1"/>
        <v>-133944</v>
      </c>
      <c r="E20" s="61">
        <f t="shared" si="6"/>
        <v>0</v>
      </c>
      <c r="F20" s="58">
        <f>'[1]1555 SM'!C22</f>
        <v>0</v>
      </c>
      <c r="G20" s="58">
        <f>'[1]1555 SM'!D22</f>
        <v>0</v>
      </c>
      <c r="H20" s="60">
        <f t="shared" si="2"/>
        <v>0</v>
      </c>
      <c r="I20" s="61">
        <f t="shared" si="3"/>
        <v>-124818</v>
      </c>
      <c r="J20" s="58">
        <f t="shared" si="4"/>
        <v>-133944</v>
      </c>
      <c r="K20" s="41"/>
      <c r="L20" s="41">
        <f>'2. Revenue Requirement'!$F$27/12</f>
        <v>0</v>
      </c>
      <c r="M20" s="41">
        <f t="shared" si="0"/>
        <v>-133944</v>
      </c>
      <c r="N20" t="s">
        <v>57</v>
      </c>
    </row>
    <row r="21" spans="1:14" ht="15">
      <c r="A21" s="57">
        <v>39234</v>
      </c>
      <c r="B21" s="58">
        <f t="shared" si="5"/>
        <v>-133944</v>
      </c>
      <c r="C21" s="58">
        <f>'[1]1555 SM'!E23+'[1]1555 SM'!F23</f>
        <v>-9624</v>
      </c>
      <c r="D21" s="60">
        <f t="shared" si="1"/>
        <v>-143568</v>
      </c>
      <c r="E21" s="61">
        <f t="shared" si="6"/>
        <v>0</v>
      </c>
      <c r="F21" s="58">
        <f>'[1]1555 SM'!C23</f>
        <v>0</v>
      </c>
      <c r="G21" s="58">
        <f>'[1]1555 SM'!D23</f>
        <v>0</v>
      </c>
      <c r="H21" s="60">
        <f t="shared" si="2"/>
        <v>0</v>
      </c>
      <c r="I21" s="61">
        <f t="shared" si="3"/>
        <v>-133944</v>
      </c>
      <c r="J21" s="58">
        <f t="shared" si="4"/>
        <v>-143568</v>
      </c>
      <c r="K21" s="41"/>
      <c r="L21" s="41">
        <f>'2. Revenue Requirement'!$F$27/12</f>
        <v>0</v>
      </c>
      <c r="M21" s="41">
        <f t="shared" si="0"/>
        <v>-143568</v>
      </c>
      <c r="N21" t="s">
        <v>57</v>
      </c>
    </row>
    <row r="22" spans="1:14" ht="15">
      <c r="A22" s="57">
        <v>39264</v>
      </c>
      <c r="B22" s="58">
        <f t="shared" si="5"/>
        <v>-143568</v>
      </c>
      <c r="C22" s="58">
        <f>'[1]1555 SM'!E24+'[1]1555 SM'!F24</f>
        <v>-12060</v>
      </c>
      <c r="D22" s="60">
        <f t="shared" si="1"/>
        <v>-155628</v>
      </c>
      <c r="E22" s="61">
        <f t="shared" si="6"/>
        <v>0</v>
      </c>
      <c r="F22" s="58">
        <f>'[1]1555 SM'!C24</f>
        <v>0</v>
      </c>
      <c r="G22" s="58">
        <f>'[1]1555 SM'!D24</f>
        <v>0</v>
      </c>
      <c r="H22" s="60">
        <f t="shared" si="2"/>
        <v>0</v>
      </c>
      <c r="I22" s="61">
        <f t="shared" si="3"/>
        <v>-143568</v>
      </c>
      <c r="J22" s="58">
        <f t="shared" si="4"/>
        <v>-155628</v>
      </c>
      <c r="K22" s="41"/>
      <c r="L22" s="41">
        <f>'2. Revenue Requirement'!$F$27/12</f>
        <v>0</v>
      </c>
      <c r="M22" s="41">
        <f t="shared" si="0"/>
        <v>-155628</v>
      </c>
      <c r="N22" t="s">
        <v>57</v>
      </c>
    </row>
    <row r="23" spans="1:14" ht="15">
      <c r="A23" s="57">
        <v>39295</v>
      </c>
      <c r="B23" s="58">
        <f t="shared" si="5"/>
        <v>-155628</v>
      </c>
      <c r="C23" s="58">
        <f>'[1]1555 SM'!E25+'[1]1555 SM'!F25</f>
        <v>-12051</v>
      </c>
      <c r="D23" s="60">
        <f t="shared" si="1"/>
        <v>-167679</v>
      </c>
      <c r="E23" s="61">
        <f t="shared" si="6"/>
        <v>0</v>
      </c>
      <c r="F23" s="58">
        <f>'[1]1555 SM'!C25</f>
        <v>5820.5</v>
      </c>
      <c r="G23" s="58">
        <f>'[1]1555 SM'!D25</f>
        <v>0</v>
      </c>
      <c r="H23" s="60">
        <f t="shared" si="2"/>
        <v>5820.5</v>
      </c>
      <c r="I23" s="61">
        <f t="shared" si="3"/>
        <v>-155628</v>
      </c>
      <c r="J23" s="58">
        <f t="shared" si="4"/>
        <v>-161858.5</v>
      </c>
      <c r="K23" s="41"/>
      <c r="L23" s="41">
        <f>'2. Revenue Requirement'!$F$27/12</f>
        <v>0</v>
      </c>
      <c r="M23" s="41">
        <f t="shared" si="0"/>
        <v>-167679</v>
      </c>
      <c r="N23" t="s">
        <v>57</v>
      </c>
    </row>
    <row r="24" spans="1:14" ht="15">
      <c r="A24" s="57">
        <v>39326</v>
      </c>
      <c r="B24" s="58">
        <f t="shared" si="5"/>
        <v>-167679</v>
      </c>
      <c r="C24" s="58">
        <f>'[1]1555 SM'!E26+'[1]1555 SM'!F26</f>
        <v>-11204</v>
      </c>
      <c r="D24" s="60">
        <f t="shared" si="1"/>
        <v>-178883</v>
      </c>
      <c r="E24" s="61">
        <f t="shared" si="6"/>
        <v>5820.5</v>
      </c>
      <c r="F24" s="58">
        <f>'[1]1555 SM'!C26</f>
        <v>19999.6</v>
      </c>
      <c r="G24" s="58">
        <f>'[1]1555 SM'!D26</f>
        <v>0</v>
      </c>
      <c r="H24" s="60">
        <f t="shared" si="2"/>
        <v>25820.1</v>
      </c>
      <c r="I24" s="61">
        <f t="shared" si="3"/>
        <v>-161858.5</v>
      </c>
      <c r="J24" s="58">
        <f t="shared" si="4"/>
        <v>-153062.9</v>
      </c>
      <c r="K24" s="41"/>
      <c r="L24" s="41">
        <f>'2. Revenue Requirement'!$F$27/12</f>
        <v>0</v>
      </c>
      <c r="M24" s="41">
        <f t="shared" si="0"/>
        <v>-178883</v>
      </c>
      <c r="N24" t="s">
        <v>57</v>
      </c>
    </row>
    <row r="25" spans="1:14" ht="15">
      <c r="A25" s="57">
        <v>39356</v>
      </c>
      <c r="B25" s="58">
        <f t="shared" si="5"/>
        <v>-178883</v>
      </c>
      <c r="C25" s="58">
        <f>'[1]1555 SM'!E27+'[1]1555 SM'!F27</f>
        <v>-7406</v>
      </c>
      <c r="D25" s="60">
        <f t="shared" si="1"/>
        <v>-186289</v>
      </c>
      <c r="E25" s="61">
        <f t="shared" si="6"/>
        <v>25820.1</v>
      </c>
      <c r="F25" s="58">
        <f>'[1]1555 SM'!C27</f>
        <v>7757.5</v>
      </c>
      <c r="G25" s="58">
        <f>'[1]1555 SM'!D27</f>
        <v>0</v>
      </c>
      <c r="H25" s="60">
        <f t="shared" si="2"/>
        <v>33577.6</v>
      </c>
      <c r="I25" s="61">
        <f t="shared" si="3"/>
        <v>-153062.9</v>
      </c>
      <c r="J25" s="58">
        <f t="shared" si="4"/>
        <v>-152711.4</v>
      </c>
      <c r="K25" s="41"/>
      <c r="L25" s="41">
        <f>'2. Revenue Requirement'!$F$27/12</f>
        <v>0</v>
      </c>
      <c r="M25" s="41">
        <f t="shared" si="0"/>
        <v>-186289</v>
      </c>
      <c r="N25" t="s">
        <v>57</v>
      </c>
    </row>
    <row r="26" spans="1:14" ht="15">
      <c r="A26" s="57">
        <v>39387</v>
      </c>
      <c r="B26" s="58">
        <f t="shared" si="5"/>
        <v>-186289</v>
      </c>
      <c r="C26" s="58">
        <f>'[1]1555 SM'!E28+'[1]1555 SM'!F28</f>
        <v>-9979</v>
      </c>
      <c r="D26" s="60">
        <f t="shared" si="1"/>
        <v>-196268</v>
      </c>
      <c r="E26" s="61">
        <f t="shared" si="6"/>
        <v>33577.6</v>
      </c>
      <c r="F26" s="58">
        <f>'[1]1555 SM'!C28</f>
        <v>22620.64</v>
      </c>
      <c r="G26" s="58">
        <f>'[1]1555 SM'!D28</f>
        <v>0</v>
      </c>
      <c r="H26" s="60">
        <f t="shared" si="2"/>
        <v>56198.24</v>
      </c>
      <c r="I26" s="61">
        <f t="shared" si="3"/>
        <v>-152711.4</v>
      </c>
      <c r="J26" s="58">
        <f t="shared" si="4"/>
        <v>-140069.76</v>
      </c>
      <c r="K26" s="41"/>
      <c r="L26" s="41">
        <f>'2. Revenue Requirement'!$F$27/12</f>
        <v>0</v>
      </c>
      <c r="M26" s="41">
        <f t="shared" si="0"/>
        <v>-196268</v>
      </c>
      <c r="N26" t="s">
        <v>57</v>
      </c>
    </row>
    <row r="27" spans="1:14" ht="15">
      <c r="A27" s="57">
        <v>39417</v>
      </c>
      <c r="B27" s="58">
        <f t="shared" si="5"/>
        <v>-196268</v>
      </c>
      <c r="C27" s="58">
        <f>'[1]1555 SM'!E29+'[1]1555 SM'!F29</f>
        <v>-11596</v>
      </c>
      <c r="D27" s="60">
        <f t="shared" si="1"/>
        <v>-207864</v>
      </c>
      <c r="E27" s="61">
        <f t="shared" si="6"/>
        <v>56198.24</v>
      </c>
      <c r="F27" s="58">
        <f>'[1]1555 SM'!C29</f>
        <v>18829.89</v>
      </c>
      <c r="G27" s="58">
        <f>'[1]1555 SM'!D29</f>
        <v>0</v>
      </c>
      <c r="H27" s="60">
        <f t="shared" si="2"/>
        <v>75028.13</v>
      </c>
      <c r="I27" s="61">
        <f t="shared" si="3"/>
        <v>-140069.76</v>
      </c>
      <c r="J27" s="58">
        <f t="shared" si="4"/>
        <v>-132835.87</v>
      </c>
      <c r="K27" s="41"/>
      <c r="L27" s="41">
        <f>'2. Revenue Requirement'!$F$27/12</f>
        <v>0</v>
      </c>
      <c r="M27" s="41">
        <f t="shared" si="0"/>
        <v>-207864</v>
      </c>
      <c r="N27" t="s">
        <v>57</v>
      </c>
    </row>
    <row r="28" spans="1:13" ht="15">
      <c r="A28" s="57">
        <v>39448</v>
      </c>
      <c r="B28" s="58">
        <f t="shared" si="5"/>
        <v>-207864</v>
      </c>
      <c r="C28" s="58">
        <f>'[1]1555 SM'!E30+'[1]1555 SM'!F30</f>
        <v>-13947</v>
      </c>
      <c r="D28" s="60">
        <f t="shared" si="1"/>
        <v>-221811</v>
      </c>
      <c r="E28" s="61">
        <f t="shared" si="6"/>
        <v>75028.13</v>
      </c>
      <c r="F28" s="58">
        <f>'[1]1555 SM'!C30</f>
        <v>11085.05</v>
      </c>
      <c r="G28" s="58">
        <f>'[1]1555 SM'!D30</f>
        <v>0</v>
      </c>
      <c r="H28" s="60">
        <f t="shared" si="2"/>
        <v>86113.18000000001</v>
      </c>
      <c r="I28" s="61">
        <f t="shared" si="3"/>
        <v>-132835.87</v>
      </c>
      <c r="J28" s="58">
        <f t="shared" si="4"/>
        <v>-135697.82</v>
      </c>
      <c r="K28" s="41"/>
      <c r="L28" s="41">
        <f>'2. Revenue Requirement'!$H$27/12</f>
        <v>0</v>
      </c>
      <c r="M28" s="41">
        <f t="shared" si="0"/>
        <v>-221811</v>
      </c>
    </row>
    <row r="29" spans="1:13" ht="15">
      <c r="A29" s="57">
        <v>39479</v>
      </c>
      <c r="B29" s="58">
        <f t="shared" si="5"/>
        <v>-221811</v>
      </c>
      <c r="C29" s="58">
        <f>'[1]1555 SM'!E31+'[1]1555 SM'!F31</f>
        <v>-8475</v>
      </c>
      <c r="D29" s="60">
        <f t="shared" si="1"/>
        <v>-230286</v>
      </c>
      <c r="E29" s="61">
        <f t="shared" si="6"/>
        <v>86113.18000000001</v>
      </c>
      <c r="F29" s="58">
        <f>'[1]1555 SM'!C31</f>
        <v>10392.74</v>
      </c>
      <c r="G29" s="58">
        <f>'[1]1555 SM'!D31</f>
        <v>0</v>
      </c>
      <c r="H29" s="60">
        <f t="shared" si="2"/>
        <v>96505.92000000001</v>
      </c>
      <c r="I29" s="61">
        <f t="shared" si="3"/>
        <v>-135697.82</v>
      </c>
      <c r="J29" s="58">
        <f t="shared" si="4"/>
        <v>-133780.08</v>
      </c>
      <c r="K29" s="41"/>
      <c r="L29" s="41">
        <f>'2. Revenue Requirement'!$H$27/12</f>
        <v>0</v>
      </c>
      <c r="M29" s="41">
        <f t="shared" si="0"/>
        <v>-230286</v>
      </c>
    </row>
    <row r="30" spans="1:13" ht="15">
      <c r="A30" s="57">
        <v>39508</v>
      </c>
      <c r="B30" s="58">
        <f t="shared" si="5"/>
        <v>-230286</v>
      </c>
      <c r="C30" s="58">
        <f>'[1]1555 SM'!E32+'[1]1555 SM'!F32</f>
        <v>-9415</v>
      </c>
      <c r="D30" s="60">
        <f t="shared" si="1"/>
        <v>-239701</v>
      </c>
      <c r="E30" s="61">
        <f t="shared" si="6"/>
        <v>96505.92000000001</v>
      </c>
      <c r="F30" s="58">
        <f>'[1]1555 SM'!C32</f>
        <v>21323.75</v>
      </c>
      <c r="G30" s="58">
        <f>'[1]1555 SM'!D32</f>
        <v>0</v>
      </c>
      <c r="H30" s="60">
        <f t="shared" si="2"/>
        <v>117829.67000000001</v>
      </c>
      <c r="I30" s="61">
        <f t="shared" si="3"/>
        <v>-133780.08</v>
      </c>
      <c r="J30" s="58">
        <f t="shared" si="4"/>
        <v>-121871.32999999999</v>
      </c>
      <c r="K30" s="41"/>
      <c r="L30" s="41">
        <f>'2. Revenue Requirement'!$H$27/12</f>
        <v>0</v>
      </c>
      <c r="M30" s="41">
        <f t="shared" si="0"/>
        <v>-239701</v>
      </c>
    </row>
    <row r="31" spans="1:13" ht="15">
      <c r="A31" s="57">
        <v>39539</v>
      </c>
      <c r="B31" s="58">
        <f t="shared" si="5"/>
        <v>-239701</v>
      </c>
      <c r="C31" s="58">
        <f>'[1]1555 SM'!E33+'[1]1555 SM'!F33</f>
        <v>-13742</v>
      </c>
      <c r="D31" s="60">
        <f t="shared" si="1"/>
        <v>-253443</v>
      </c>
      <c r="E31" s="61">
        <f t="shared" si="6"/>
        <v>117829.67000000001</v>
      </c>
      <c r="F31" s="58">
        <f>'[1]1555 SM'!C33</f>
        <v>11522.71</v>
      </c>
      <c r="G31" s="58">
        <f>'[1]1555 SM'!D33</f>
        <v>0</v>
      </c>
      <c r="H31" s="60">
        <f t="shared" si="2"/>
        <v>129352.38</v>
      </c>
      <c r="I31" s="61">
        <f t="shared" si="3"/>
        <v>-121871.32999999999</v>
      </c>
      <c r="J31" s="58">
        <f t="shared" si="4"/>
        <v>-124090.62</v>
      </c>
      <c r="K31" s="41"/>
      <c r="L31" s="41">
        <f>'2. Revenue Requirement'!$H$27/12</f>
        <v>0</v>
      </c>
      <c r="M31" s="41">
        <f t="shared" si="0"/>
        <v>-253443</v>
      </c>
    </row>
    <row r="32" spans="1:13" ht="15">
      <c r="A32" s="57">
        <v>39569</v>
      </c>
      <c r="B32" s="58">
        <f t="shared" si="5"/>
        <v>-253443</v>
      </c>
      <c r="C32" s="58">
        <f>'[1]1555 SM'!E34+'[1]1555 SM'!F34</f>
        <v>-5120</v>
      </c>
      <c r="D32" s="60">
        <f t="shared" si="1"/>
        <v>-258563</v>
      </c>
      <c r="E32" s="61">
        <f t="shared" si="6"/>
        <v>129352.38</v>
      </c>
      <c r="F32" s="58">
        <f>'[1]1555 SM'!C34</f>
        <v>10562.65</v>
      </c>
      <c r="G32" s="58">
        <f>'[1]1555 SM'!D34</f>
        <v>0</v>
      </c>
      <c r="H32" s="60">
        <f t="shared" si="2"/>
        <v>139915.03</v>
      </c>
      <c r="I32" s="61">
        <f t="shared" si="3"/>
        <v>-124090.62</v>
      </c>
      <c r="J32" s="58">
        <f t="shared" si="4"/>
        <v>-118647.97</v>
      </c>
      <c r="K32" s="41"/>
      <c r="L32" s="41">
        <f>'2. Revenue Requirement'!$H$27/12</f>
        <v>0</v>
      </c>
      <c r="M32" s="41">
        <f t="shared" si="0"/>
        <v>-258563</v>
      </c>
    </row>
    <row r="33" spans="1:13" ht="15">
      <c r="A33" s="57">
        <v>39600</v>
      </c>
      <c r="B33" s="58">
        <f t="shared" si="5"/>
        <v>-258563</v>
      </c>
      <c r="C33" s="58">
        <f>'[1]1555 SM'!E35+'[1]1555 SM'!F35</f>
        <v>-15878</v>
      </c>
      <c r="D33" s="60">
        <f t="shared" si="1"/>
        <v>-274441</v>
      </c>
      <c r="E33" s="61">
        <f t="shared" si="6"/>
        <v>139915.03</v>
      </c>
      <c r="F33" s="58">
        <f>'[1]1555 SM'!C35</f>
        <v>10481.71</v>
      </c>
      <c r="G33" s="58">
        <f>'[1]1555 SM'!D35</f>
        <v>0</v>
      </c>
      <c r="H33" s="60">
        <f t="shared" si="2"/>
        <v>150396.74</v>
      </c>
      <c r="I33" s="61">
        <f t="shared" si="3"/>
        <v>-118647.97</v>
      </c>
      <c r="J33" s="58">
        <f t="shared" si="4"/>
        <v>-124044.26000000001</v>
      </c>
      <c r="K33" s="41"/>
      <c r="L33" s="41">
        <f>'2. Revenue Requirement'!$H$27/12</f>
        <v>0</v>
      </c>
      <c r="M33" s="41">
        <f t="shared" si="0"/>
        <v>-274441</v>
      </c>
    </row>
    <row r="34" spans="1:13" ht="15">
      <c r="A34" s="57">
        <v>39630</v>
      </c>
      <c r="B34" s="58">
        <f t="shared" si="5"/>
        <v>-274441</v>
      </c>
      <c r="C34" s="58">
        <f>'[1]1555 SM'!E36+'[1]1555 SM'!F36</f>
        <v>-13551</v>
      </c>
      <c r="D34" s="60">
        <f t="shared" si="1"/>
        <v>-287992</v>
      </c>
      <c r="E34" s="61">
        <f t="shared" si="6"/>
        <v>150396.74</v>
      </c>
      <c r="F34" s="58">
        <f>'[1]1555 SM'!C36</f>
        <v>12372.43</v>
      </c>
      <c r="G34" s="58">
        <f>'[1]1555 SM'!D36</f>
        <v>0</v>
      </c>
      <c r="H34" s="60">
        <f t="shared" si="2"/>
        <v>162769.16999999998</v>
      </c>
      <c r="I34" s="61">
        <f t="shared" si="3"/>
        <v>-124044.26000000001</v>
      </c>
      <c r="J34" s="58">
        <f t="shared" si="4"/>
        <v>-125222.83000000002</v>
      </c>
      <c r="K34" s="41"/>
      <c r="L34" s="41">
        <f>'2. Revenue Requirement'!$H$27/12</f>
        <v>0</v>
      </c>
      <c r="M34" s="41">
        <f t="shared" si="0"/>
        <v>-287992</v>
      </c>
    </row>
    <row r="35" spans="1:13" ht="15">
      <c r="A35" s="57">
        <v>39661</v>
      </c>
      <c r="B35" s="58">
        <f t="shared" si="5"/>
        <v>-287992</v>
      </c>
      <c r="C35" s="58">
        <f>'[1]1555 SM'!E37+'[1]1555 SM'!F37</f>
        <v>-9889</v>
      </c>
      <c r="D35" s="60">
        <f t="shared" si="1"/>
        <v>-297881</v>
      </c>
      <c r="E35" s="61">
        <f t="shared" si="6"/>
        <v>162769.16999999998</v>
      </c>
      <c r="F35" s="58">
        <f>'[1]1555 SM'!C37</f>
        <v>27324.95</v>
      </c>
      <c r="G35" s="58">
        <f>'[1]1555 SM'!D37</f>
        <v>0</v>
      </c>
      <c r="H35" s="60">
        <f t="shared" si="2"/>
        <v>190094.12</v>
      </c>
      <c r="I35" s="61">
        <f t="shared" si="3"/>
        <v>-125222.83000000002</v>
      </c>
      <c r="J35" s="58">
        <f t="shared" si="4"/>
        <v>-107786.88</v>
      </c>
      <c r="K35" s="41"/>
      <c r="L35" s="41">
        <f>'2. Revenue Requirement'!$H$27/12</f>
        <v>0</v>
      </c>
      <c r="M35" s="41">
        <f t="shared" si="0"/>
        <v>-297881</v>
      </c>
    </row>
    <row r="36" spans="1:13" ht="15">
      <c r="A36" s="57">
        <v>39692</v>
      </c>
      <c r="B36" s="58">
        <f t="shared" si="5"/>
        <v>-297881</v>
      </c>
      <c r="C36" s="58">
        <f>'[1]1555 SM'!E38+'[1]1555 SM'!F38</f>
        <v>-9949</v>
      </c>
      <c r="D36" s="60">
        <f t="shared" si="1"/>
        <v>-307830</v>
      </c>
      <c r="E36" s="61">
        <f t="shared" si="6"/>
        <v>190094.12</v>
      </c>
      <c r="F36" s="58">
        <f>'[1]1555 SM'!C38</f>
        <v>16215.06</v>
      </c>
      <c r="G36" s="58">
        <f>'[1]1555 SM'!D38</f>
        <v>0</v>
      </c>
      <c r="H36" s="60">
        <f t="shared" si="2"/>
        <v>206309.18</v>
      </c>
      <c r="I36" s="61">
        <f t="shared" si="3"/>
        <v>-107786.88</v>
      </c>
      <c r="J36" s="58">
        <f t="shared" si="4"/>
        <v>-101520.82</v>
      </c>
      <c r="K36" s="41"/>
      <c r="L36" s="41">
        <f>'2. Revenue Requirement'!$H$27/12</f>
        <v>0</v>
      </c>
      <c r="M36" s="41">
        <f t="shared" si="0"/>
        <v>-307830</v>
      </c>
    </row>
    <row r="37" spans="1:13" ht="15">
      <c r="A37" s="57">
        <v>39722</v>
      </c>
      <c r="B37" s="58">
        <f t="shared" si="5"/>
        <v>-307830</v>
      </c>
      <c r="C37" s="58">
        <f>'[1]1555 SM'!E39+'[1]1555 SM'!F39</f>
        <v>-11354</v>
      </c>
      <c r="D37" s="60">
        <f t="shared" si="1"/>
        <v>-319184</v>
      </c>
      <c r="E37" s="61">
        <f t="shared" si="6"/>
        <v>206309.18</v>
      </c>
      <c r="F37" s="58">
        <f>'[1]1555 SM'!C39</f>
        <v>23589.96</v>
      </c>
      <c r="G37" s="58">
        <f>'[1]1555 SM'!D39</f>
        <v>0</v>
      </c>
      <c r="H37" s="60">
        <f t="shared" si="2"/>
        <v>229899.13999999998</v>
      </c>
      <c r="I37" s="61">
        <f t="shared" si="3"/>
        <v>-101520.82</v>
      </c>
      <c r="J37" s="58">
        <f t="shared" si="4"/>
        <v>-89284.86000000002</v>
      </c>
      <c r="K37" s="41"/>
      <c r="L37" s="41">
        <f>'2. Revenue Requirement'!$H$27/12</f>
        <v>0</v>
      </c>
      <c r="M37" s="41">
        <f t="shared" si="0"/>
        <v>-319184</v>
      </c>
    </row>
    <row r="38" spans="1:13" ht="15">
      <c r="A38" s="57">
        <v>39753</v>
      </c>
      <c r="B38" s="58">
        <f t="shared" si="5"/>
        <v>-319184</v>
      </c>
      <c r="C38" s="58">
        <f>'[1]1555 SM'!E40+'[1]1555 SM'!F40</f>
        <v>-9579</v>
      </c>
      <c r="D38" s="60">
        <f t="shared" si="1"/>
        <v>-328763</v>
      </c>
      <c r="E38" s="61">
        <f t="shared" si="6"/>
        <v>229899.13999999998</v>
      </c>
      <c r="F38" s="58">
        <f>'[1]1555 SM'!C40</f>
        <v>12616.82</v>
      </c>
      <c r="G38" s="58">
        <f>'[1]1555 SM'!D40</f>
        <v>0</v>
      </c>
      <c r="H38" s="60">
        <f t="shared" si="2"/>
        <v>242515.96</v>
      </c>
      <c r="I38" s="61">
        <f t="shared" si="3"/>
        <v>-89284.86000000002</v>
      </c>
      <c r="J38" s="58">
        <f t="shared" si="4"/>
        <v>-86247.04000000001</v>
      </c>
      <c r="K38" s="41"/>
      <c r="L38" s="41">
        <f>'2. Revenue Requirement'!$H$27/12</f>
        <v>0</v>
      </c>
      <c r="M38" s="41">
        <f t="shared" si="0"/>
        <v>-328763</v>
      </c>
    </row>
    <row r="39" spans="1:13" ht="15">
      <c r="A39" s="57">
        <v>39783</v>
      </c>
      <c r="B39" s="58">
        <f t="shared" si="5"/>
        <v>-328763</v>
      </c>
      <c r="C39" s="58">
        <f>'[1]1555 SM'!E41+'[1]1555 SM'!F41</f>
        <v>-10398</v>
      </c>
      <c r="D39" s="60">
        <f t="shared" si="1"/>
        <v>-339161</v>
      </c>
      <c r="E39" s="61">
        <f t="shared" si="6"/>
        <v>242515.96</v>
      </c>
      <c r="F39" s="58">
        <f>'[1]1555 SM'!C41</f>
        <v>363984.89</v>
      </c>
      <c r="G39" s="58">
        <f>'[1]1555 SM'!D41</f>
        <v>0</v>
      </c>
      <c r="H39" s="60">
        <f t="shared" si="2"/>
        <v>606500.85</v>
      </c>
      <c r="I39" s="61">
        <f t="shared" si="3"/>
        <v>-86247.04000000001</v>
      </c>
      <c r="J39" s="58">
        <f t="shared" si="4"/>
        <v>267339.85</v>
      </c>
      <c r="K39" s="41"/>
      <c r="L39" s="41">
        <f>'2. Revenue Requirement'!$H$27/12</f>
        <v>0</v>
      </c>
      <c r="M39" s="41">
        <f t="shared" si="0"/>
        <v>-339161</v>
      </c>
    </row>
    <row r="40" spans="1:13" ht="15">
      <c r="A40" s="57">
        <v>39814</v>
      </c>
      <c r="B40" s="58">
        <f t="shared" si="5"/>
        <v>-339161</v>
      </c>
      <c r="C40" s="58">
        <f>'[1]1555 SM'!E42+'[1]1555 SM'!F42</f>
        <v>-12449</v>
      </c>
      <c r="D40" s="60">
        <f t="shared" si="1"/>
        <v>-351610</v>
      </c>
      <c r="E40" s="61">
        <f t="shared" si="6"/>
        <v>606500.85</v>
      </c>
      <c r="F40" s="58">
        <f>'[1]1555 SM'!C42</f>
        <v>16588.38</v>
      </c>
      <c r="G40" s="58">
        <f>'[1]1555 SM'!D42</f>
        <v>0</v>
      </c>
      <c r="H40" s="60">
        <f t="shared" si="2"/>
        <v>623089.23</v>
      </c>
      <c r="I40" s="61">
        <f t="shared" si="3"/>
        <v>267339.85</v>
      </c>
      <c r="J40" s="58">
        <f t="shared" si="4"/>
        <v>271479.23</v>
      </c>
      <c r="K40" s="41"/>
      <c r="L40" s="41">
        <f>'2. Revenue Requirement'!$J$27/12</f>
        <v>20311.29741558275</v>
      </c>
      <c r="M40" s="41">
        <f aca="true" t="shared" si="7" ref="M40:M71">B40+C40+L40</f>
        <v>-331298.70258441725</v>
      </c>
    </row>
    <row r="41" spans="1:13" ht="15">
      <c r="A41" s="57">
        <v>39845</v>
      </c>
      <c r="B41" s="58">
        <f t="shared" si="5"/>
        <v>-351610</v>
      </c>
      <c r="C41" s="58">
        <f>'[1]1555 SM'!E43+'[1]1555 SM'!F43</f>
        <v>-9446</v>
      </c>
      <c r="D41" s="60">
        <f t="shared" si="1"/>
        <v>-361056</v>
      </c>
      <c r="E41" s="61">
        <f t="shared" si="6"/>
        <v>623089.23</v>
      </c>
      <c r="F41" s="58">
        <f>'[1]1555 SM'!C43</f>
        <v>24411.16</v>
      </c>
      <c r="G41" s="58">
        <f>'[1]1555 SM'!D43</f>
        <v>0</v>
      </c>
      <c r="H41" s="60">
        <f t="shared" si="2"/>
        <v>647500.39</v>
      </c>
      <c r="I41" s="61">
        <f t="shared" si="3"/>
        <v>271479.23</v>
      </c>
      <c r="J41" s="58">
        <f t="shared" si="4"/>
        <v>286444.39</v>
      </c>
      <c r="K41" s="41"/>
      <c r="L41" s="41">
        <f>'2. Revenue Requirement'!$J$27/12</f>
        <v>20311.29741558275</v>
      </c>
      <c r="M41" s="41">
        <f t="shared" si="7"/>
        <v>-340744.70258441725</v>
      </c>
    </row>
    <row r="42" spans="1:13" ht="15">
      <c r="A42" s="57">
        <v>39873</v>
      </c>
      <c r="B42" s="58">
        <f t="shared" si="5"/>
        <v>-361056</v>
      </c>
      <c r="C42" s="58">
        <f>'[1]1555 SM'!E44+'[1]1555 SM'!F44</f>
        <v>-12069</v>
      </c>
      <c r="D42" s="60">
        <f t="shared" si="1"/>
        <v>-373125</v>
      </c>
      <c r="E42" s="61">
        <f t="shared" si="6"/>
        <v>647500.39</v>
      </c>
      <c r="F42" s="58">
        <f>'[1]1555 SM'!C44</f>
        <v>13976.4</v>
      </c>
      <c r="G42" s="58">
        <f>'[1]1555 SM'!D44</f>
        <v>0</v>
      </c>
      <c r="H42" s="60">
        <f t="shared" si="2"/>
        <v>661476.79</v>
      </c>
      <c r="I42" s="61">
        <f t="shared" si="3"/>
        <v>286444.39</v>
      </c>
      <c r="J42" s="58">
        <f t="shared" si="4"/>
        <v>288351.79000000004</v>
      </c>
      <c r="K42" s="41"/>
      <c r="L42" s="41">
        <f>'2. Revenue Requirement'!$J$27/12</f>
        <v>20311.29741558275</v>
      </c>
      <c r="M42" s="41">
        <f t="shared" si="7"/>
        <v>-352813.70258441725</v>
      </c>
    </row>
    <row r="43" spans="1:13" ht="15">
      <c r="A43" s="57">
        <v>39904</v>
      </c>
      <c r="B43" s="58">
        <f t="shared" si="5"/>
        <v>-373125</v>
      </c>
      <c r="C43" s="58">
        <f>'[1]1555 SM'!E45+'[1]1555 SM'!F45</f>
        <v>-9477</v>
      </c>
      <c r="D43" s="60">
        <f t="shared" si="1"/>
        <v>-382602</v>
      </c>
      <c r="E43" s="61">
        <f t="shared" si="6"/>
        <v>661476.79</v>
      </c>
      <c r="F43" s="58">
        <f>'[1]1555 SM'!C45</f>
        <v>31376.41</v>
      </c>
      <c r="G43" s="58">
        <f>'[1]1555 SM'!D45</f>
        <v>0</v>
      </c>
      <c r="H43" s="60">
        <f t="shared" si="2"/>
        <v>692853.2000000001</v>
      </c>
      <c r="I43" s="61">
        <f t="shared" si="3"/>
        <v>288351.79000000004</v>
      </c>
      <c r="J43" s="58">
        <f t="shared" si="4"/>
        <v>310251.20000000007</v>
      </c>
      <c r="K43" s="41"/>
      <c r="L43" s="41">
        <f>'2. Revenue Requirement'!$J$27/12</f>
        <v>20311.29741558275</v>
      </c>
      <c r="M43" s="41">
        <f t="shared" si="7"/>
        <v>-362290.70258441725</v>
      </c>
    </row>
    <row r="44" spans="1:13" ht="15">
      <c r="A44" s="57">
        <v>39934</v>
      </c>
      <c r="B44" s="58">
        <f t="shared" si="5"/>
        <v>-382602</v>
      </c>
      <c r="C44" s="58">
        <f>'[1]1555 SM'!E46+'[1]1555 SM'!F46</f>
        <v>-44948</v>
      </c>
      <c r="D44" s="60">
        <f t="shared" si="1"/>
        <v>-427550</v>
      </c>
      <c r="E44" s="61">
        <f t="shared" si="6"/>
        <v>692853.2000000001</v>
      </c>
      <c r="F44" s="58">
        <f>'[1]1555 SM'!C46</f>
        <v>14323.43</v>
      </c>
      <c r="G44" s="58">
        <f>'[1]1555 SM'!D46</f>
        <v>0</v>
      </c>
      <c r="H44" s="60">
        <f t="shared" si="2"/>
        <v>707176.6300000001</v>
      </c>
      <c r="I44" s="61">
        <f t="shared" si="3"/>
        <v>310251.20000000007</v>
      </c>
      <c r="J44" s="58">
        <f t="shared" si="4"/>
        <v>279626.6300000001</v>
      </c>
      <c r="K44" s="41"/>
      <c r="L44" s="41">
        <f>'2. Revenue Requirement'!$J$27/12</f>
        <v>20311.29741558275</v>
      </c>
      <c r="M44" s="41">
        <f t="shared" si="7"/>
        <v>-407238.70258441725</v>
      </c>
    </row>
    <row r="45" spans="1:13" ht="15">
      <c r="A45" s="57">
        <v>39965</v>
      </c>
      <c r="B45" s="58">
        <f t="shared" si="5"/>
        <v>-427550</v>
      </c>
      <c r="C45" s="58">
        <f>'[1]1555 SM'!E47+'[1]1555 SM'!F47</f>
        <v>-42335</v>
      </c>
      <c r="D45" s="60">
        <f t="shared" si="1"/>
        <v>-469885</v>
      </c>
      <c r="E45" s="61">
        <f t="shared" si="6"/>
        <v>707176.6300000001</v>
      </c>
      <c r="F45" s="58">
        <f>'[1]1555 SM'!C47</f>
        <v>163143.11</v>
      </c>
      <c r="G45" s="58">
        <f>'[1]1555 SM'!D47</f>
        <v>0</v>
      </c>
      <c r="H45" s="60">
        <f t="shared" si="2"/>
        <v>870319.7400000001</v>
      </c>
      <c r="I45" s="61">
        <f t="shared" si="3"/>
        <v>279626.6300000001</v>
      </c>
      <c r="J45" s="58">
        <f t="shared" si="4"/>
        <v>400434.7400000001</v>
      </c>
      <c r="K45" s="41"/>
      <c r="L45" s="41">
        <f>'2. Revenue Requirement'!$J$27/12</f>
        <v>20311.29741558275</v>
      </c>
      <c r="M45" s="41">
        <f t="shared" si="7"/>
        <v>-449573.70258441725</v>
      </c>
    </row>
    <row r="46" spans="1:13" ht="15">
      <c r="A46" s="57">
        <v>39995</v>
      </c>
      <c r="B46" s="58">
        <f t="shared" si="5"/>
        <v>-469885</v>
      </c>
      <c r="C46" s="58">
        <f>'[1]1555 SM'!E48+'[1]1555 SM'!F48</f>
        <v>-41093</v>
      </c>
      <c r="D46" s="60">
        <f t="shared" si="1"/>
        <v>-510978</v>
      </c>
      <c r="E46" s="61">
        <f t="shared" si="6"/>
        <v>870319.7400000001</v>
      </c>
      <c r="F46" s="58">
        <f>'[1]1555 SM'!C48</f>
        <v>28107.6</v>
      </c>
      <c r="G46" s="58">
        <f>'[1]1555 SM'!D48</f>
        <v>0</v>
      </c>
      <c r="H46" s="60">
        <f t="shared" si="2"/>
        <v>898427.3400000001</v>
      </c>
      <c r="I46" s="61">
        <f t="shared" si="3"/>
        <v>400434.7400000001</v>
      </c>
      <c r="J46" s="58">
        <f t="shared" si="4"/>
        <v>387449.3400000001</v>
      </c>
      <c r="K46" s="41"/>
      <c r="L46" s="41">
        <f>'2. Revenue Requirement'!$J$27/12</f>
        <v>20311.29741558275</v>
      </c>
      <c r="M46" s="41">
        <f t="shared" si="7"/>
        <v>-490666.70258441725</v>
      </c>
    </row>
    <row r="47" spans="1:13" ht="15">
      <c r="A47" s="57">
        <v>40026</v>
      </c>
      <c r="B47" s="58">
        <f t="shared" si="5"/>
        <v>-510978</v>
      </c>
      <c r="C47" s="58">
        <f>'[1]1555 SM'!E49+'[1]1555 SM'!F49</f>
        <v>-31149</v>
      </c>
      <c r="D47" s="60">
        <f t="shared" si="1"/>
        <v>-542127</v>
      </c>
      <c r="E47" s="61">
        <f t="shared" si="6"/>
        <v>898427.3400000001</v>
      </c>
      <c r="F47" s="58">
        <f>'[1]1555 SM'!C49</f>
        <v>151334.33</v>
      </c>
      <c r="G47" s="58">
        <f>'[1]1555 SM'!D49</f>
        <v>0</v>
      </c>
      <c r="H47" s="60">
        <f t="shared" si="2"/>
        <v>1049761.6700000002</v>
      </c>
      <c r="I47" s="61">
        <f t="shared" si="3"/>
        <v>387449.3400000001</v>
      </c>
      <c r="J47" s="58">
        <f t="shared" si="4"/>
        <v>507634.67000000016</v>
      </c>
      <c r="K47" s="41"/>
      <c r="L47" s="41">
        <f>'2. Revenue Requirement'!$J$27/12</f>
        <v>20311.29741558275</v>
      </c>
      <c r="M47" s="41">
        <f t="shared" si="7"/>
        <v>-521815.70258441725</v>
      </c>
    </row>
    <row r="48" spans="1:13" ht="15">
      <c r="A48" s="57">
        <v>40057</v>
      </c>
      <c r="B48" s="58">
        <f t="shared" si="5"/>
        <v>-542127</v>
      </c>
      <c r="C48" s="58">
        <f>'[1]1555 SM'!E50+'[1]1555 SM'!F50</f>
        <v>-41966</v>
      </c>
      <c r="D48" s="60">
        <f t="shared" si="1"/>
        <v>-584093</v>
      </c>
      <c r="E48" s="61">
        <f t="shared" si="6"/>
        <v>1049761.6700000002</v>
      </c>
      <c r="F48" s="58">
        <f>'[1]1555 SM'!C50</f>
        <v>49921.99</v>
      </c>
      <c r="G48" s="58">
        <f>'[1]1555 SM'!D50</f>
        <v>0</v>
      </c>
      <c r="H48" s="60">
        <f t="shared" si="2"/>
        <v>1099683.6600000001</v>
      </c>
      <c r="I48" s="61">
        <f t="shared" si="3"/>
        <v>507634.67000000016</v>
      </c>
      <c r="J48" s="58">
        <f t="shared" si="4"/>
        <v>515590.66000000015</v>
      </c>
      <c r="K48" s="41"/>
      <c r="L48" s="41">
        <f>'2. Revenue Requirement'!$J$27/12</f>
        <v>20311.29741558275</v>
      </c>
      <c r="M48" s="41">
        <f t="shared" si="7"/>
        <v>-563781.7025844173</v>
      </c>
    </row>
    <row r="49" spans="1:13" ht="15">
      <c r="A49" s="57">
        <v>40087</v>
      </c>
      <c r="B49" s="58">
        <f t="shared" si="5"/>
        <v>-584093</v>
      </c>
      <c r="C49" s="58">
        <f>'[1]1555 SM'!E51+'[1]1555 SM'!F51</f>
        <v>-36023</v>
      </c>
      <c r="D49" s="60">
        <f t="shared" si="1"/>
        <v>-620116</v>
      </c>
      <c r="E49" s="61">
        <f t="shared" si="6"/>
        <v>1099683.6600000001</v>
      </c>
      <c r="F49" s="58">
        <f>'[1]1555 SM'!C51</f>
        <v>61352.36</v>
      </c>
      <c r="G49" s="58">
        <f>'[1]1555 SM'!D51</f>
        <v>0</v>
      </c>
      <c r="H49" s="60">
        <f t="shared" si="2"/>
        <v>1161036.0200000003</v>
      </c>
      <c r="I49" s="61">
        <f t="shared" si="3"/>
        <v>515590.66000000015</v>
      </c>
      <c r="J49" s="58">
        <f t="shared" si="4"/>
        <v>540920.0200000003</v>
      </c>
      <c r="K49" s="41"/>
      <c r="L49" s="41">
        <f>'2. Revenue Requirement'!$J$27/12</f>
        <v>20311.29741558275</v>
      </c>
      <c r="M49" s="41">
        <f t="shared" si="7"/>
        <v>-599804.7025844173</v>
      </c>
    </row>
    <row r="50" spans="1:13" ht="15">
      <c r="A50" s="57">
        <v>40118</v>
      </c>
      <c r="B50" s="58">
        <f t="shared" si="5"/>
        <v>-620116</v>
      </c>
      <c r="C50" s="58">
        <f>'[1]1555 SM'!E52+'[1]1555 SM'!F52</f>
        <v>-46787</v>
      </c>
      <c r="D50" s="60">
        <f t="shared" si="1"/>
        <v>-666903</v>
      </c>
      <c r="E50" s="61">
        <f t="shared" si="6"/>
        <v>1161036.0200000003</v>
      </c>
      <c r="F50" s="58">
        <f>'[1]1555 SM'!C52</f>
        <v>20054.35</v>
      </c>
      <c r="G50" s="58">
        <f>'[1]1555 SM'!D52</f>
        <v>0</v>
      </c>
      <c r="H50" s="60">
        <f t="shared" si="2"/>
        <v>1181090.3700000003</v>
      </c>
      <c r="I50" s="61">
        <f t="shared" si="3"/>
        <v>540920.0200000003</v>
      </c>
      <c r="J50" s="58">
        <f t="shared" si="4"/>
        <v>514187.37000000034</v>
      </c>
      <c r="K50" s="41"/>
      <c r="L50" s="41">
        <f>'2. Revenue Requirement'!$J$27/12</f>
        <v>20311.29741558275</v>
      </c>
      <c r="M50" s="41">
        <f t="shared" si="7"/>
        <v>-646591.7025844173</v>
      </c>
    </row>
    <row r="51" spans="1:13" ht="15">
      <c r="A51" s="57">
        <v>40148</v>
      </c>
      <c r="B51" s="58">
        <f t="shared" si="5"/>
        <v>-666903</v>
      </c>
      <c r="C51" s="58">
        <f>'[1]1555 SM'!E53+'[1]1555 SM'!F53</f>
        <v>-32820</v>
      </c>
      <c r="D51" s="60">
        <f t="shared" si="1"/>
        <v>-699723</v>
      </c>
      <c r="E51" s="61">
        <f t="shared" si="6"/>
        <v>1181090.3700000003</v>
      </c>
      <c r="F51" s="58">
        <f>'[1]1555 SM'!C53</f>
        <v>42388.74</v>
      </c>
      <c r="G51" s="58">
        <f>'[1]1555 SM'!D53</f>
        <v>-142175</v>
      </c>
      <c r="H51" s="60">
        <f t="shared" si="2"/>
        <v>1081304.1100000003</v>
      </c>
      <c r="I51" s="61">
        <f t="shared" si="3"/>
        <v>514187.37000000034</v>
      </c>
      <c r="J51" s="58">
        <f t="shared" si="4"/>
        <v>381581.11000000034</v>
      </c>
      <c r="K51" s="41"/>
      <c r="L51" s="41">
        <f>'2. Revenue Requirement'!$J$27/12</f>
        <v>20311.29741558275</v>
      </c>
      <c r="M51" s="41">
        <f t="shared" si="7"/>
        <v>-679411.7025844173</v>
      </c>
    </row>
    <row r="52" spans="1:13" ht="15">
      <c r="A52" s="57">
        <v>40179</v>
      </c>
      <c r="B52" s="58">
        <f t="shared" si="5"/>
        <v>-699723</v>
      </c>
      <c r="C52" s="58">
        <f>'[1]1555 SM'!E54+'[1]1555 SM'!F54</f>
        <v>-49349</v>
      </c>
      <c r="D52" s="60">
        <f t="shared" si="1"/>
        <v>-749072</v>
      </c>
      <c r="E52" s="61">
        <f t="shared" si="6"/>
        <v>1081304.1100000003</v>
      </c>
      <c r="F52" s="58">
        <f>'[1]1555 SM'!C54</f>
        <v>157678.24</v>
      </c>
      <c r="G52" s="58">
        <f>'[1]1555 SM'!D54</f>
        <v>0</v>
      </c>
      <c r="H52" s="60">
        <f t="shared" si="2"/>
        <v>1238982.3500000003</v>
      </c>
      <c r="I52" s="61">
        <f t="shared" si="3"/>
        <v>381581.11000000034</v>
      </c>
      <c r="J52" s="58">
        <f t="shared" si="4"/>
        <v>489910.3500000003</v>
      </c>
      <c r="K52" s="41"/>
      <c r="L52" s="41">
        <f>'2. Revenue Requirement'!$L$27/12</f>
        <v>63540.86258215164</v>
      </c>
      <c r="M52" s="41">
        <f t="shared" si="7"/>
        <v>-685531.1374178483</v>
      </c>
    </row>
    <row r="53" spans="1:13" ht="15">
      <c r="A53" s="57">
        <v>40210</v>
      </c>
      <c r="B53" s="58">
        <f t="shared" si="5"/>
        <v>-749072</v>
      </c>
      <c r="C53" s="58">
        <f>'[1]1555 SM'!E55+'[1]1555 SM'!F55</f>
        <v>-31529</v>
      </c>
      <c r="D53" s="60">
        <f t="shared" si="1"/>
        <v>-780601</v>
      </c>
      <c r="E53" s="61">
        <f t="shared" si="6"/>
        <v>1238982.3500000003</v>
      </c>
      <c r="F53" s="58">
        <f>'[1]1555 SM'!C55</f>
        <v>54279.33</v>
      </c>
      <c r="G53" s="58">
        <f>'[1]1555 SM'!D55</f>
        <v>0</v>
      </c>
      <c r="H53" s="60">
        <f t="shared" si="2"/>
        <v>1293261.6800000004</v>
      </c>
      <c r="I53" s="61">
        <f t="shared" si="3"/>
        <v>489910.3500000003</v>
      </c>
      <c r="J53" s="58">
        <f t="shared" si="4"/>
        <v>512660.6800000004</v>
      </c>
      <c r="K53" s="41"/>
      <c r="L53" s="41">
        <f>'2. Revenue Requirement'!$L$27/12</f>
        <v>63540.86258215164</v>
      </c>
      <c r="M53" s="41">
        <f t="shared" si="7"/>
        <v>-717060.1374178483</v>
      </c>
    </row>
    <row r="54" spans="1:13" ht="15">
      <c r="A54" s="57">
        <v>40238</v>
      </c>
      <c r="B54" s="58">
        <f t="shared" si="5"/>
        <v>-780601</v>
      </c>
      <c r="C54" s="58">
        <f>'[1]1555 SM'!E56+'[1]1555 SM'!F56</f>
        <v>-51350</v>
      </c>
      <c r="D54" s="60">
        <f t="shared" si="1"/>
        <v>-831951</v>
      </c>
      <c r="E54" s="61">
        <f t="shared" si="6"/>
        <v>1293261.6800000004</v>
      </c>
      <c r="F54" s="58">
        <f>'[1]1555 SM'!C56</f>
        <v>67611.28</v>
      </c>
      <c r="G54" s="58">
        <f>'[1]1555 SM'!D56</f>
        <v>-35550</v>
      </c>
      <c r="H54" s="60">
        <f t="shared" si="2"/>
        <v>1325322.9600000004</v>
      </c>
      <c r="I54" s="61">
        <f t="shared" si="3"/>
        <v>512660.6800000004</v>
      </c>
      <c r="J54" s="58">
        <f t="shared" si="4"/>
        <v>493371.9600000004</v>
      </c>
      <c r="K54" s="41"/>
      <c r="L54" s="41">
        <f>'2. Revenue Requirement'!$L$27/12</f>
        <v>63540.86258215164</v>
      </c>
      <c r="M54" s="41">
        <f t="shared" si="7"/>
        <v>-768410.1374178483</v>
      </c>
    </row>
    <row r="55" spans="1:13" ht="15">
      <c r="A55" s="57">
        <v>40269</v>
      </c>
      <c r="B55" s="58">
        <f t="shared" si="5"/>
        <v>-831951</v>
      </c>
      <c r="C55" s="58">
        <f>'[1]1555 SM'!E57+'[1]1555 SM'!F57</f>
        <v>-35917</v>
      </c>
      <c r="D55" s="60">
        <f t="shared" si="1"/>
        <v>-867868</v>
      </c>
      <c r="E55" s="61">
        <f t="shared" si="6"/>
        <v>1325322.9600000004</v>
      </c>
      <c r="F55" s="58">
        <f>'[1]1555 SM'!C57</f>
        <v>107887.94</v>
      </c>
      <c r="G55" s="58">
        <f>'[1]1555 SM'!D57</f>
        <v>0</v>
      </c>
      <c r="H55" s="60">
        <f t="shared" si="2"/>
        <v>1433210.9000000004</v>
      </c>
      <c r="I55" s="61">
        <f t="shared" si="3"/>
        <v>493371.9600000004</v>
      </c>
      <c r="J55" s="58">
        <f t="shared" si="4"/>
        <v>565342.9000000004</v>
      </c>
      <c r="K55" s="41"/>
      <c r="L55" s="41">
        <f>'2. Revenue Requirement'!$L$27/12</f>
        <v>63540.86258215164</v>
      </c>
      <c r="M55" s="41">
        <f t="shared" si="7"/>
        <v>-804327.1374178483</v>
      </c>
    </row>
    <row r="56" spans="1:13" ht="15">
      <c r="A56" s="57">
        <v>40299</v>
      </c>
      <c r="B56" s="58">
        <f t="shared" si="5"/>
        <v>-867868</v>
      </c>
      <c r="C56" s="58">
        <f>'[1]1555 SM'!E58+'[1]1555 SM'!F58</f>
        <v>-39735</v>
      </c>
      <c r="D56" s="60">
        <f t="shared" si="1"/>
        <v>-907603</v>
      </c>
      <c r="E56" s="61">
        <f t="shared" si="6"/>
        <v>1433210.9000000004</v>
      </c>
      <c r="F56" s="58">
        <f>'[1]1555 SM'!C58</f>
        <v>20737.53</v>
      </c>
      <c r="G56" s="58">
        <f>'[1]1555 SM'!D58</f>
        <v>-23700</v>
      </c>
      <c r="H56" s="60">
        <f t="shared" si="2"/>
        <v>1430248.4300000004</v>
      </c>
      <c r="I56" s="61">
        <f t="shared" si="3"/>
        <v>565342.9000000004</v>
      </c>
      <c r="J56" s="58">
        <f t="shared" si="4"/>
        <v>522645.4300000004</v>
      </c>
      <c r="K56" s="41"/>
      <c r="L56" s="41">
        <f>'2. Revenue Requirement'!$L$27/12</f>
        <v>63540.86258215164</v>
      </c>
      <c r="M56" s="41">
        <f t="shared" si="7"/>
        <v>-844062.1374178483</v>
      </c>
    </row>
    <row r="57" spans="1:13" ht="15">
      <c r="A57" s="57">
        <v>40330</v>
      </c>
      <c r="B57" s="58">
        <f t="shared" si="5"/>
        <v>-907603</v>
      </c>
      <c r="C57" s="58">
        <f>'[1]1555 SM'!E59+'[1]1555 SM'!F59</f>
        <v>-38728</v>
      </c>
      <c r="D57" s="60">
        <f t="shared" si="1"/>
        <v>-946331</v>
      </c>
      <c r="E57" s="61">
        <f t="shared" si="6"/>
        <v>1430248.4300000004</v>
      </c>
      <c r="F57" s="58">
        <f>'[1]1555 SM'!C59</f>
        <v>310184.02</v>
      </c>
      <c r="G57" s="58">
        <f>'[1]1555 SM'!D59</f>
        <v>-11850</v>
      </c>
      <c r="H57" s="60">
        <f t="shared" si="2"/>
        <v>1728582.4500000004</v>
      </c>
      <c r="I57" s="61">
        <f t="shared" si="3"/>
        <v>522645.4300000004</v>
      </c>
      <c r="J57" s="58">
        <f t="shared" si="4"/>
        <v>782251.4500000004</v>
      </c>
      <c r="K57" s="41"/>
      <c r="L57" s="41">
        <f>'2. Revenue Requirement'!$L$27/12</f>
        <v>63540.86258215164</v>
      </c>
      <c r="M57" s="41">
        <f t="shared" si="7"/>
        <v>-882790.1374178483</v>
      </c>
    </row>
    <row r="58" spans="1:13" ht="15">
      <c r="A58" s="57">
        <v>40360</v>
      </c>
      <c r="B58" s="58">
        <f t="shared" si="5"/>
        <v>-946331</v>
      </c>
      <c r="C58" s="58">
        <f>'[1]1555 SM'!E60+'[1]1555 SM'!F60</f>
        <v>-45137</v>
      </c>
      <c r="D58" s="60">
        <f t="shared" si="1"/>
        <v>-991468</v>
      </c>
      <c r="E58" s="61">
        <f t="shared" si="6"/>
        <v>1728582.4500000004</v>
      </c>
      <c r="F58" s="58">
        <f>'[1]1555 SM'!C60</f>
        <v>15562.9</v>
      </c>
      <c r="G58" s="58">
        <f>'[1]1555 SM'!D60</f>
        <v>0</v>
      </c>
      <c r="H58" s="60">
        <f t="shared" si="2"/>
        <v>1744145.3500000003</v>
      </c>
      <c r="I58" s="61">
        <f t="shared" si="3"/>
        <v>782251.4500000004</v>
      </c>
      <c r="J58" s="58">
        <f t="shared" si="4"/>
        <v>752677.3500000003</v>
      </c>
      <c r="K58" s="41"/>
      <c r="L58" s="41">
        <f>'2. Revenue Requirement'!$L$27/12</f>
        <v>63540.86258215164</v>
      </c>
      <c r="M58" s="41">
        <f t="shared" si="7"/>
        <v>-927927.1374178483</v>
      </c>
    </row>
    <row r="59" spans="1:13" ht="15">
      <c r="A59" s="57">
        <v>40391</v>
      </c>
      <c r="B59" s="58">
        <f t="shared" si="5"/>
        <v>-991468</v>
      </c>
      <c r="C59" s="58">
        <f>'[1]1555 SM'!E61+'[1]1555 SM'!F61</f>
        <v>-33691</v>
      </c>
      <c r="D59" s="60">
        <f t="shared" si="1"/>
        <v>-1025159</v>
      </c>
      <c r="E59" s="61">
        <f t="shared" si="6"/>
        <v>1744145.3500000003</v>
      </c>
      <c r="F59" s="58">
        <f>'[1]1555 SM'!C61</f>
        <v>1134508.0999999999</v>
      </c>
      <c r="G59" s="58">
        <f>'[1]1555 SM'!D61</f>
        <v>-226148</v>
      </c>
      <c r="H59" s="60">
        <f t="shared" si="2"/>
        <v>2652505.45</v>
      </c>
      <c r="I59" s="61">
        <f t="shared" si="3"/>
        <v>752677.3500000003</v>
      </c>
      <c r="J59" s="58">
        <f t="shared" si="4"/>
        <v>1627346.4500000002</v>
      </c>
      <c r="K59" s="41"/>
      <c r="L59" s="41">
        <f>'2. Revenue Requirement'!$L$27/12</f>
        <v>63540.86258215164</v>
      </c>
      <c r="M59" s="41">
        <f t="shared" si="7"/>
        <v>-961618.1374178483</v>
      </c>
    </row>
    <row r="60" spans="1:13" ht="15">
      <c r="A60" s="57">
        <v>40422</v>
      </c>
      <c r="B60" s="58">
        <f t="shared" si="5"/>
        <v>-1025159</v>
      </c>
      <c r="C60" s="58">
        <f>'[1]1555 SM'!E62+'[1]1555 SM'!F62</f>
        <v>-44833</v>
      </c>
      <c r="D60" s="60">
        <f t="shared" si="1"/>
        <v>-1069992</v>
      </c>
      <c r="E60" s="61">
        <f t="shared" si="6"/>
        <v>2652505.45</v>
      </c>
      <c r="F60" s="58">
        <f>'[1]1555 SM'!C62</f>
        <v>628591.95</v>
      </c>
      <c r="G60" s="58">
        <f>'[1]1555 SM'!D62</f>
        <v>-37156</v>
      </c>
      <c r="H60" s="60">
        <f t="shared" si="2"/>
        <v>3243941.4000000004</v>
      </c>
      <c r="I60" s="61">
        <f t="shared" si="3"/>
        <v>1627346.4500000002</v>
      </c>
      <c r="J60" s="58">
        <f t="shared" si="4"/>
        <v>2173949.4000000004</v>
      </c>
      <c r="K60" s="41"/>
      <c r="L60" s="41">
        <f>'2. Revenue Requirement'!$L$27/12</f>
        <v>63540.86258215164</v>
      </c>
      <c r="M60" s="41">
        <f t="shared" si="7"/>
        <v>-1006451.1374178483</v>
      </c>
    </row>
    <row r="61" spans="1:13" ht="15">
      <c r="A61" s="57">
        <v>40452</v>
      </c>
      <c r="B61" s="58">
        <f t="shared" si="5"/>
        <v>-1069992</v>
      </c>
      <c r="C61" s="58">
        <f>'[1]1555 SM'!E63+'[1]1555 SM'!F63</f>
        <v>-32732</v>
      </c>
      <c r="D61" s="60">
        <f t="shared" si="1"/>
        <v>-1102724</v>
      </c>
      <c r="E61" s="61">
        <f t="shared" si="6"/>
        <v>3243941.4000000004</v>
      </c>
      <c r="F61" s="58">
        <f>'[1]1555 SM'!C63</f>
        <v>602281.45</v>
      </c>
      <c r="G61" s="58">
        <f>'[1]1555 SM'!D63</f>
        <v>-37156</v>
      </c>
      <c r="H61" s="60">
        <f t="shared" si="2"/>
        <v>3809066.8500000006</v>
      </c>
      <c r="I61" s="61">
        <f t="shared" si="3"/>
        <v>2173949.4000000004</v>
      </c>
      <c r="J61" s="58">
        <f t="shared" si="4"/>
        <v>2706342.8500000006</v>
      </c>
      <c r="K61" s="41"/>
      <c r="L61" s="41">
        <f>'2. Revenue Requirement'!$L$27/12</f>
        <v>63540.86258215164</v>
      </c>
      <c r="M61" s="41">
        <f t="shared" si="7"/>
        <v>-1039183.1374178483</v>
      </c>
    </row>
    <row r="62" spans="1:13" ht="15">
      <c r="A62" s="57">
        <v>40483</v>
      </c>
      <c r="B62" s="58">
        <f t="shared" si="5"/>
        <v>-1102724</v>
      </c>
      <c r="C62" s="58">
        <f>'[1]1555 SM'!E64+'[1]1555 SM'!F64</f>
        <v>-45168</v>
      </c>
      <c r="D62" s="60">
        <f t="shared" si="1"/>
        <v>-1147892</v>
      </c>
      <c r="E62" s="61">
        <f t="shared" si="6"/>
        <v>3809066.8500000006</v>
      </c>
      <c r="F62" s="58">
        <f>'[1]1555 SM'!C64</f>
        <v>350173.91</v>
      </c>
      <c r="G62" s="58">
        <f>'[1]1555 SM'!D64</f>
        <v>-37156</v>
      </c>
      <c r="H62" s="60">
        <f t="shared" si="2"/>
        <v>4122084.7600000007</v>
      </c>
      <c r="I62" s="61">
        <f t="shared" si="3"/>
        <v>2706342.8500000006</v>
      </c>
      <c r="J62" s="58">
        <f t="shared" si="4"/>
        <v>2974192.7600000007</v>
      </c>
      <c r="K62" s="41"/>
      <c r="L62" s="41">
        <f>'2. Revenue Requirement'!$L$27/12</f>
        <v>63540.86258215164</v>
      </c>
      <c r="M62" s="41">
        <f t="shared" si="7"/>
        <v>-1084351.1374178485</v>
      </c>
    </row>
    <row r="63" spans="1:13" ht="15">
      <c r="A63" s="57">
        <v>40513</v>
      </c>
      <c r="B63" s="58">
        <f t="shared" si="5"/>
        <v>-1147892</v>
      </c>
      <c r="C63" s="58">
        <f>'[1]1555 SM'!E65+'[1]1555 SM'!F65</f>
        <v>-26506</v>
      </c>
      <c r="D63" s="60">
        <f t="shared" si="1"/>
        <v>-1174398</v>
      </c>
      <c r="E63" s="61">
        <f t="shared" si="6"/>
        <v>4122084.7600000007</v>
      </c>
      <c r="F63" s="58">
        <f>'[1]1555 SM'!C65</f>
        <v>149723.33</v>
      </c>
      <c r="G63" s="58">
        <f>'[1]1555 SM'!D65</f>
        <v>-2229.5</v>
      </c>
      <c r="H63" s="60">
        <f t="shared" si="2"/>
        <v>4269578.590000001</v>
      </c>
      <c r="I63" s="61">
        <f t="shared" si="3"/>
        <v>2974192.7600000007</v>
      </c>
      <c r="J63" s="58">
        <f t="shared" si="4"/>
        <v>3095180.590000001</v>
      </c>
      <c r="K63" s="41"/>
      <c r="L63" s="41">
        <f>'2. Revenue Requirement'!$L$27/12</f>
        <v>63540.86258215164</v>
      </c>
      <c r="M63" s="41">
        <f t="shared" si="7"/>
        <v>-1110857.1374178485</v>
      </c>
    </row>
    <row r="64" spans="1:17" ht="15">
      <c r="A64" s="57">
        <v>40544</v>
      </c>
      <c r="B64" s="58">
        <f t="shared" si="5"/>
        <v>-1174398</v>
      </c>
      <c r="C64" s="58">
        <f>'[1]1555 SM'!E66+'[1]1555 SM'!F66</f>
        <v>-40418.43</v>
      </c>
      <c r="D64" s="60">
        <f t="shared" si="1"/>
        <v>-1214816.43</v>
      </c>
      <c r="E64" s="61">
        <f t="shared" si="6"/>
        <v>4269578.590000001</v>
      </c>
      <c r="F64" s="58">
        <f>'[1]1555 SM'!C66</f>
        <v>0</v>
      </c>
      <c r="G64" s="58">
        <f>'[1]1555 SM'!D66</f>
        <v>0</v>
      </c>
      <c r="H64" s="60">
        <f t="shared" si="2"/>
        <v>4269578.590000001</v>
      </c>
      <c r="I64" s="61">
        <f t="shared" si="3"/>
        <v>3095180.590000001</v>
      </c>
      <c r="J64" s="58">
        <f t="shared" si="4"/>
        <v>3054762.160000001</v>
      </c>
      <c r="K64" s="41"/>
      <c r="L64" s="41">
        <f>+'2. Revenue Requirement'!$N$27/12</f>
        <v>90237.09290246159</v>
      </c>
      <c r="M64" s="41">
        <f t="shared" si="7"/>
        <v>-1124579.3370975384</v>
      </c>
      <c r="P64" t="s">
        <v>95</v>
      </c>
      <c r="Q64">
        <f>1019000/12</f>
        <v>84916.66666666667</v>
      </c>
    </row>
    <row r="65" spans="1:13" ht="15">
      <c r="A65" s="57">
        <v>40575</v>
      </c>
      <c r="B65" s="58">
        <f t="shared" si="5"/>
        <v>-1214816.43</v>
      </c>
      <c r="C65" s="58">
        <f>'[1]1555 SM'!E67+'[1]1555 SM'!F67</f>
        <v>-54797.48</v>
      </c>
      <c r="D65" s="60">
        <f t="shared" si="1"/>
        <v>-1269613.91</v>
      </c>
      <c r="E65" s="61">
        <f t="shared" si="6"/>
        <v>4269578.590000001</v>
      </c>
      <c r="F65" s="58">
        <f>'[1]1555 SM'!C67</f>
        <v>0</v>
      </c>
      <c r="G65" s="58">
        <f>'[1]1555 SM'!D67</f>
        <v>0</v>
      </c>
      <c r="H65" s="60">
        <f t="shared" si="2"/>
        <v>4269578.590000001</v>
      </c>
      <c r="I65" s="61">
        <f t="shared" si="3"/>
        <v>3054762.160000001</v>
      </c>
      <c r="J65" s="58">
        <f t="shared" si="4"/>
        <v>2999964.6800000006</v>
      </c>
      <c r="K65" s="41"/>
      <c r="L65" s="41">
        <f>+'2. Revenue Requirement'!$N$27/12</f>
        <v>90237.09290246159</v>
      </c>
      <c r="M65" s="41">
        <f t="shared" si="7"/>
        <v>-1179376.8170975384</v>
      </c>
    </row>
    <row r="66" spans="1:13" ht="15">
      <c r="A66" s="57">
        <v>40603</v>
      </c>
      <c r="B66" s="58">
        <f t="shared" si="5"/>
        <v>-1269613.91</v>
      </c>
      <c r="C66" s="58">
        <f>'[1]1555 SM'!E68+'[1]1555 SM'!F68</f>
        <v>-191840.37</v>
      </c>
      <c r="D66" s="60">
        <f t="shared" si="1"/>
        <v>-1461454.2799999998</v>
      </c>
      <c r="E66" s="61">
        <f t="shared" si="6"/>
        <v>4269578.590000001</v>
      </c>
      <c r="F66" s="58">
        <f>'[1]1555 SM'!C68</f>
        <v>432234.68</v>
      </c>
      <c r="G66" s="58">
        <f>'[1]1555 SM'!D68</f>
        <v>-26250</v>
      </c>
      <c r="H66" s="60">
        <f t="shared" si="2"/>
        <v>4675563.2700000005</v>
      </c>
      <c r="I66" s="61">
        <f t="shared" si="3"/>
        <v>2999964.6800000006</v>
      </c>
      <c r="J66" s="58">
        <f t="shared" si="4"/>
        <v>3214108.9900000007</v>
      </c>
      <c r="K66" s="41"/>
      <c r="L66" s="41">
        <f>+'2. Revenue Requirement'!$N$27/12</f>
        <v>90237.09290246159</v>
      </c>
      <c r="M66" s="41">
        <f t="shared" si="7"/>
        <v>-1371217.1870975383</v>
      </c>
    </row>
    <row r="67" spans="1:13" ht="15">
      <c r="A67" s="57">
        <v>40634</v>
      </c>
      <c r="B67" s="58">
        <f t="shared" si="5"/>
        <v>-1461454.2799999998</v>
      </c>
      <c r="C67" s="58">
        <f>'[1]1555 SM'!E69+'[1]1555 SM'!F69</f>
        <v>-67673.33</v>
      </c>
      <c r="D67" s="60">
        <f t="shared" si="1"/>
        <v>-1529127.6099999999</v>
      </c>
      <c r="E67" s="61">
        <f t="shared" si="6"/>
        <v>4675563.2700000005</v>
      </c>
      <c r="F67" s="58">
        <f>'[1]1555 SM'!C69</f>
        <v>43791.42</v>
      </c>
      <c r="G67" s="58">
        <f>'[1]1555 SM'!D69</f>
        <v>-8750</v>
      </c>
      <c r="H67" s="60">
        <f t="shared" si="2"/>
        <v>4710604.69</v>
      </c>
      <c r="I67" s="61">
        <f t="shared" si="3"/>
        <v>3214108.9900000007</v>
      </c>
      <c r="J67" s="58">
        <f t="shared" si="4"/>
        <v>3181477.0800000005</v>
      </c>
      <c r="K67" s="41"/>
      <c r="L67" s="41">
        <f>+'2. Revenue Requirement'!$N$27/12</f>
        <v>90237.09290246159</v>
      </c>
      <c r="M67" s="41">
        <f t="shared" si="7"/>
        <v>-1438890.5170975383</v>
      </c>
    </row>
    <row r="68" spans="1:13" ht="15">
      <c r="A68" s="57">
        <v>40664</v>
      </c>
      <c r="B68" s="58">
        <f t="shared" si="5"/>
        <v>-1529127.6099999999</v>
      </c>
      <c r="C68" s="58">
        <f>'[1]1555 SM'!E70+'[1]1555 SM'!F70</f>
        <v>-90292.3</v>
      </c>
      <c r="D68" s="60">
        <f t="shared" si="1"/>
        <v>-1619419.91</v>
      </c>
      <c r="E68" s="61">
        <f t="shared" si="6"/>
        <v>4710604.69</v>
      </c>
      <c r="F68" s="58">
        <f>'[1]1555 SM'!C70</f>
        <v>41428.4</v>
      </c>
      <c r="G68" s="58">
        <f>'[1]1555 SM'!D70</f>
        <v>-8750</v>
      </c>
      <c r="H68" s="60">
        <f t="shared" si="2"/>
        <v>4743283.090000001</v>
      </c>
      <c r="I68" s="61">
        <f t="shared" si="3"/>
        <v>3181477.0800000005</v>
      </c>
      <c r="J68" s="58">
        <f t="shared" si="4"/>
        <v>3123863.1800000006</v>
      </c>
      <c r="K68" s="41"/>
      <c r="L68" s="41">
        <f>+'2. Revenue Requirement'!$N$27/12</f>
        <v>90237.09290246159</v>
      </c>
      <c r="M68" s="41">
        <f t="shared" si="7"/>
        <v>-1529182.8170975384</v>
      </c>
    </row>
    <row r="69" spans="1:13" ht="15">
      <c r="A69" s="57">
        <v>40695</v>
      </c>
      <c r="B69" s="58">
        <f t="shared" si="5"/>
        <v>-1619419.91</v>
      </c>
      <c r="C69" s="58">
        <f>'[1]1555 SM'!E71+'[1]1555 SM'!F71</f>
        <v>-79049.76</v>
      </c>
      <c r="D69" s="60">
        <f t="shared" si="1"/>
        <v>-1698469.67</v>
      </c>
      <c r="E69" s="61">
        <f t="shared" si="6"/>
        <v>4743283.090000001</v>
      </c>
      <c r="F69" s="58">
        <f>'[1]1555 SM'!C71</f>
        <v>127404.28</v>
      </c>
      <c r="G69" s="58">
        <f>'[1]1555 SM'!D71</f>
        <v>-8750</v>
      </c>
      <c r="H69" s="60">
        <f t="shared" si="2"/>
        <v>4861937.370000001</v>
      </c>
      <c r="I69" s="61">
        <f t="shared" si="3"/>
        <v>3123863.1800000006</v>
      </c>
      <c r="J69" s="58">
        <f t="shared" si="4"/>
        <v>3163467.700000001</v>
      </c>
      <c r="K69" s="41"/>
      <c r="L69" s="41">
        <f>+'2. Revenue Requirement'!$N$27/12</f>
        <v>90237.09290246159</v>
      </c>
      <c r="M69" s="41">
        <f t="shared" si="7"/>
        <v>-1608232.5770975384</v>
      </c>
    </row>
    <row r="70" spans="1:13" ht="15">
      <c r="A70" s="57">
        <v>40725</v>
      </c>
      <c r="B70" s="58">
        <f t="shared" si="5"/>
        <v>-1698469.67</v>
      </c>
      <c r="C70" s="58">
        <f>'[1]1555 SM'!E72+'[1]1555 SM'!F72</f>
        <v>-90732.23</v>
      </c>
      <c r="D70" s="60">
        <f t="shared" si="1"/>
        <v>-1789201.9</v>
      </c>
      <c r="E70" s="61">
        <f t="shared" si="6"/>
        <v>4861937.370000001</v>
      </c>
      <c r="F70" s="75">
        <f>'[1]1555 SM'!C72</f>
        <v>295913.55</v>
      </c>
      <c r="G70" s="75">
        <f>'[1]1555 SM'!D72</f>
        <v>-8750</v>
      </c>
      <c r="H70" s="60">
        <f t="shared" si="2"/>
        <v>5149100.920000001</v>
      </c>
      <c r="I70" s="61">
        <f t="shared" si="3"/>
        <v>3163467.700000001</v>
      </c>
      <c r="J70" s="58">
        <f t="shared" si="4"/>
        <v>3359899.020000001</v>
      </c>
      <c r="K70" s="41"/>
      <c r="L70" s="41">
        <f>+'2. Revenue Requirement'!$N$27/12</f>
        <v>90237.09290246159</v>
      </c>
      <c r="M70" s="41">
        <f t="shared" si="7"/>
        <v>-1698964.8070975384</v>
      </c>
    </row>
    <row r="71" spans="1:13" ht="15">
      <c r="A71" s="57">
        <v>40756</v>
      </c>
      <c r="B71" s="58">
        <f t="shared" si="5"/>
        <v>-1789201.9</v>
      </c>
      <c r="C71" s="75">
        <v>-80839</v>
      </c>
      <c r="D71" s="60">
        <f t="shared" si="1"/>
        <v>-1870040.9</v>
      </c>
      <c r="E71" s="61">
        <f t="shared" si="6"/>
        <v>5149100.920000001</v>
      </c>
      <c r="F71" s="75">
        <v>127846</v>
      </c>
      <c r="G71" s="75">
        <f>-'5b. Principal -1556'!D71</f>
        <v>-93939</v>
      </c>
      <c r="H71" s="60">
        <f t="shared" si="2"/>
        <v>5183007.920000001</v>
      </c>
      <c r="I71" s="61">
        <f t="shared" si="3"/>
        <v>3359899.020000001</v>
      </c>
      <c r="J71" s="58">
        <f t="shared" si="4"/>
        <v>3312967.020000001</v>
      </c>
      <c r="K71" s="41"/>
      <c r="L71" s="41">
        <f>+'2. Revenue Requirement'!$N$27/12</f>
        <v>90237.09290246159</v>
      </c>
      <c r="M71" s="41">
        <f t="shared" si="7"/>
        <v>-1779803.8070975384</v>
      </c>
    </row>
    <row r="72" spans="1:13" ht="15">
      <c r="A72" s="57">
        <v>40787</v>
      </c>
      <c r="B72" s="58">
        <f t="shared" si="5"/>
        <v>-1870040.9</v>
      </c>
      <c r="C72" s="75">
        <v>-80839</v>
      </c>
      <c r="D72" s="60">
        <f t="shared" si="1"/>
        <v>-1950879.9</v>
      </c>
      <c r="E72" s="61">
        <f t="shared" si="6"/>
        <v>5183007.920000001</v>
      </c>
      <c r="F72" s="75">
        <v>127846</v>
      </c>
      <c r="G72" s="75">
        <f>-'5b. Principal -1556'!D72</f>
        <v>-93939</v>
      </c>
      <c r="H72" s="60">
        <f t="shared" si="2"/>
        <v>5216914.920000001</v>
      </c>
      <c r="I72" s="61">
        <f t="shared" si="3"/>
        <v>3312967.020000001</v>
      </c>
      <c r="J72" s="58">
        <f t="shared" si="4"/>
        <v>3266035.020000001</v>
      </c>
      <c r="K72" s="41"/>
      <c r="L72" s="41">
        <f>+'2. Revenue Requirement'!$N$27/12</f>
        <v>90237.09290246159</v>
      </c>
      <c r="M72" s="41">
        <f>B72+C72+L72</f>
        <v>-1860642.8070975384</v>
      </c>
    </row>
    <row r="73" spans="1:13" ht="15">
      <c r="A73" s="57">
        <f>+A72+31</f>
        <v>40818</v>
      </c>
      <c r="B73" s="58">
        <f t="shared" si="5"/>
        <v>-1950879.9</v>
      </c>
      <c r="C73" s="75">
        <v>-80839</v>
      </c>
      <c r="D73" s="60">
        <f>B73+C73</f>
        <v>-2031718.9</v>
      </c>
      <c r="E73" s="61">
        <f t="shared" si="6"/>
        <v>5216914.920000001</v>
      </c>
      <c r="F73" s="75">
        <v>127846</v>
      </c>
      <c r="G73" s="75">
        <f>-'5b. Principal -1556'!D73</f>
        <v>-93939</v>
      </c>
      <c r="H73" s="60">
        <f>SUM(E73:G73)</f>
        <v>5250821.920000001</v>
      </c>
      <c r="I73" s="61">
        <f>B73+E73</f>
        <v>3266035.020000001</v>
      </c>
      <c r="J73" s="58">
        <f>D73+H73</f>
        <v>3219103.020000001</v>
      </c>
      <c r="K73" s="41"/>
      <c r="L73" s="41">
        <f>+'2. Revenue Requirement'!$N$27/12</f>
        <v>90237.09290246159</v>
      </c>
      <c r="M73" s="41">
        <f>B73+C73+L73</f>
        <v>-1941481.8070975384</v>
      </c>
    </row>
    <row r="74" spans="1:13" ht="15">
      <c r="A74" s="57">
        <f>+A73+31</f>
        <v>40849</v>
      </c>
      <c r="B74" s="58">
        <f>D73</f>
        <v>-2031718.9</v>
      </c>
      <c r="C74" s="75">
        <v>-80839</v>
      </c>
      <c r="D74" s="60">
        <f>B74+C74</f>
        <v>-2112557.9</v>
      </c>
      <c r="E74" s="61">
        <f aca="true" t="shared" si="8" ref="E74:E87">H73</f>
        <v>5250821.920000001</v>
      </c>
      <c r="F74" s="75">
        <v>127846</v>
      </c>
      <c r="G74" s="75">
        <f>-'5b. Principal -1556'!D74</f>
        <v>-93939</v>
      </c>
      <c r="H74" s="60">
        <f>SUM(E74:G74)</f>
        <v>5284728.920000001</v>
      </c>
      <c r="I74" s="61">
        <f>B74+E74</f>
        <v>3219103.020000001</v>
      </c>
      <c r="J74" s="58">
        <f>D74+H74</f>
        <v>3172171.020000001</v>
      </c>
      <c r="K74" s="41"/>
      <c r="L74" s="41">
        <f>+'2. Revenue Requirement'!$N$27/12</f>
        <v>90237.09290246159</v>
      </c>
      <c r="M74" s="41">
        <f>B74+C74+L74</f>
        <v>-2022320.8070975384</v>
      </c>
    </row>
    <row r="75" spans="1:13" ht="15">
      <c r="A75" s="57">
        <f>+A74+31</f>
        <v>40880</v>
      </c>
      <c r="B75" s="58">
        <f>D74</f>
        <v>-2112557.9</v>
      </c>
      <c r="C75" s="75">
        <v>-80839</v>
      </c>
      <c r="D75" s="60">
        <f>B75+C75</f>
        <v>-2193396.9</v>
      </c>
      <c r="E75" s="61">
        <f t="shared" si="8"/>
        <v>5284728.920000001</v>
      </c>
      <c r="F75" s="75">
        <v>127844</v>
      </c>
      <c r="G75" s="75">
        <f>-'5b. Principal -1556'!D75</f>
        <v>-93939</v>
      </c>
      <c r="H75" s="60">
        <f>SUM(E75:G75)</f>
        <v>5318633.920000001</v>
      </c>
      <c r="I75" s="61">
        <f>B75+E75</f>
        <v>3172171.020000001</v>
      </c>
      <c r="J75" s="58">
        <f>D75+H75</f>
        <v>3125237.020000001</v>
      </c>
      <c r="K75" s="52"/>
      <c r="L75" s="41">
        <f>+'2. Revenue Requirement'!$N$27/12</f>
        <v>90237.09290246159</v>
      </c>
      <c r="M75" s="41">
        <f>B75+C75+L75</f>
        <v>-2103159.8070975384</v>
      </c>
    </row>
    <row r="76" spans="1:13" ht="15">
      <c r="A76" s="57">
        <f aca="true" t="shared" si="9" ref="A76:A87">+A75+31</f>
        <v>40911</v>
      </c>
      <c r="B76" s="58">
        <f aca="true" t="shared" si="10" ref="B76:B87">D75</f>
        <v>-2193396.9</v>
      </c>
      <c r="C76" s="75">
        <f aca="true" t="shared" si="11" ref="C76:C87">-85000</f>
        <v>-85000</v>
      </c>
      <c r="D76" s="60">
        <f aca="true" t="shared" si="12" ref="D76:D87">B76+C76</f>
        <v>-2278396.9</v>
      </c>
      <c r="E76" s="61">
        <f t="shared" si="8"/>
        <v>5318633.920000001</v>
      </c>
      <c r="F76" s="75"/>
      <c r="G76" s="75">
        <f>-'5b. Principal -1556'!D76</f>
        <v>-47912</v>
      </c>
      <c r="H76" s="60">
        <f aca="true" t="shared" si="13" ref="H76:H87">SUM(E76:G76)</f>
        <v>5270721.920000001</v>
      </c>
      <c r="I76" s="61">
        <f aca="true" t="shared" si="14" ref="I76:I87">B76+E76</f>
        <v>3125237.020000001</v>
      </c>
      <c r="J76" s="58">
        <f aca="true" t="shared" si="15" ref="J76:J87">D76+H76</f>
        <v>2992325.020000001</v>
      </c>
      <c r="K76" s="52"/>
      <c r="L76" s="41"/>
      <c r="M76" s="41"/>
    </row>
    <row r="77" spans="1:13" ht="15">
      <c r="A77" s="57">
        <f t="shared" si="9"/>
        <v>40942</v>
      </c>
      <c r="B77" s="58">
        <f t="shared" si="10"/>
        <v>-2278396.9</v>
      </c>
      <c r="C77" s="75">
        <f t="shared" si="11"/>
        <v>-85000</v>
      </c>
      <c r="D77" s="60">
        <f t="shared" si="12"/>
        <v>-2363396.9</v>
      </c>
      <c r="E77" s="61">
        <f t="shared" si="8"/>
        <v>5270721.920000001</v>
      </c>
      <c r="F77" s="75"/>
      <c r="G77" s="75">
        <f>-'5b. Principal -1556'!D77</f>
        <v>-47912</v>
      </c>
      <c r="H77" s="60">
        <f t="shared" si="13"/>
        <v>5222809.920000001</v>
      </c>
      <c r="I77" s="61">
        <f t="shared" si="14"/>
        <v>2992325.020000001</v>
      </c>
      <c r="J77" s="58">
        <f t="shared" si="15"/>
        <v>2859413.020000001</v>
      </c>
      <c r="K77" s="52"/>
      <c r="L77" s="41"/>
      <c r="M77" s="41"/>
    </row>
    <row r="78" spans="1:13" ht="15">
      <c r="A78" s="57">
        <f t="shared" si="9"/>
        <v>40973</v>
      </c>
      <c r="B78" s="58">
        <f t="shared" si="10"/>
        <v>-2363396.9</v>
      </c>
      <c r="C78" s="75">
        <f t="shared" si="11"/>
        <v>-85000</v>
      </c>
      <c r="D78" s="60">
        <f t="shared" si="12"/>
        <v>-2448396.9</v>
      </c>
      <c r="E78" s="61">
        <f t="shared" si="8"/>
        <v>5222809.920000001</v>
      </c>
      <c r="F78" s="75"/>
      <c r="G78" s="75">
        <f>-'5b. Principal -1556'!D78</f>
        <v>-47912</v>
      </c>
      <c r="H78" s="60">
        <f t="shared" si="13"/>
        <v>5174897.920000001</v>
      </c>
      <c r="I78" s="61">
        <f t="shared" si="14"/>
        <v>2859413.020000001</v>
      </c>
      <c r="J78" s="58">
        <f t="shared" si="15"/>
        <v>2726501.020000001</v>
      </c>
      <c r="K78" s="52"/>
      <c r="L78" s="41"/>
      <c r="M78" s="41"/>
    </row>
    <row r="79" spans="1:13" ht="15">
      <c r="A79" s="57">
        <f t="shared" si="9"/>
        <v>41004</v>
      </c>
      <c r="B79" s="58">
        <f t="shared" si="10"/>
        <v>-2448396.9</v>
      </c>
      <c r="C79" s="75">
        <f t="shared" si="11"/>
        <v>-85000</v>
      </c>
      <c r="D79" s="60">
        <f t="shared" si="12"/>
        <v>-2533396.9</v>
      </c>
      <c r="E79" s="61">
        <f t="shared" si="8"/>
        <v>5174897.920000001</v>
      </c>
      <c r="F79" s="75"/>
      <c r="G79" s="75">
        <f>-'5b. Principal -1556'!D79</f>
        <v>-47912</v>
      </c>
      <c r="H79" s="60">
        <f t="shared" si="13"/>
        <v>5126985.920000001</v>
      </c>
      <c r="I79" s="61">
        <f t="shared" si="14"/>
        <v>2726501.020000001</v>
      </c>
      <c r="J79" s="58">
        <f t="shared" si="15"/>
        <v>2593589.020000001</v>
      </c>
      <c r="K79" s="52"/>
      <c r="L79" s="41"/>
      <c r="M79" s="41"/>
    </row>
    <row r="80" spans="1:13" ht="15">
      <c r="A80" s="57">
        <f t="shared" si="9"/>
        <v>41035</v>
      </c>
      <c r="B80" s="58">
        <f t="shared" si="10"/>
        <v>-2533396.9</v>
      </c>
      <c r="C80" s="75">
        <f t="shared" si="11"/>
        <v>-85000</v>
      </c>
      <c r="D80" s="60">
        <f t="shared" si="12"/>
        <v>-2618396.9</v>
      </c>
      <c r="E80" s="61">
        <f t="shared" si="8"/>
        <v>5126985.920000001</v>
      </c>
      <c r="F80" s="75"/>
      <c r="G80" s="75">
        <f>-'5b. Principal -1556'!D80</f>
        <v>-47912</v>
      </c>
      <c r="H80" s="60">
        <f t="shared" si="13"/>
        <v>5079073.920000001</v>
      </c>
      <c r="I80" s="61">
        <f t="shared" si="14"/>
        <v>2593589.020000001</v>
      </c>
      <c r="J80" s="58">
        <f t="shared" si="15"/>
        <v>2460677.020000001</v>
      </c>
      <c r="K80" s="52"/>
      <c r="L80" s="41"/>
      <c r="M80" s="41"/>
    </row>
    <row r="81" spans="1:13" ht="15">
      <c r="A81" s="57">
        <f t="shared" si="9"/>
        <v>41066</v>
      </c>
      <c r="B81" s="58">
        <f t="shared" si="10"/>
        <v>-2618396.9</v>
      </c>
      <c r="C81" s="75">
        <f t="shared" si="11"/>
        <v>-85000</v>
      </c>
      <c r="D81" s="60">
        <f t="shared" si="12"/>
        <v>-2703396.9</v>
      </c>
      <c r="E81" s="61">
        <f t="shared" si="8"/>
        <v>5079073.920000001</v>
      </c>
      <c r="F81" s="75"/>
      <c r="G81" s="75">
        <f>-'5b. Principal -1556'!D81</f>
        <v>-47912</v>
      </c>
      <c r="H81" s="60">
        <f t="shared" si="13"/>
        <v>5031161.920000001</v>
      </c>
      <c r="I81" s="61">
        <f t="shared" si="14"/>
        <v>2460677.020000001</v>
      </c>
      <c r="J81" s="58">
        <f t="shared" si="15"/>
        <v>2327765.020000001</v>
      </c>
      <c r="K81" s="52"/>
      <c r="L81" s="41"/>
      <c r="M81" s="41"/>
    </row>
    <row r="82" spans="1:13" ht="15">
      <c r="A82" s="57">
        <f t="shared" si="9"/>
        <v>41097</v>
      </c>
      <c r="B82" s="58">
        <f t="shared" si="10"/>
        <v>-2703396.9</v>
      </c>
      <c r="C82" s="75">
        <f t="shared" si="11"/>
        <v>-85000</v>
      </c>
      <c r="D82" s="60">
        <f t="shared" si="12"/>
        <v>-2788396.9</v>
      </c>
      <c r="E82" s="61">
        <f t="shared" si="8"/>
        <v>5031161.920000001</v>
      </c>
      <c r="F82" s="75"/>
      <c r="G82" s="75">
        <f>-'5b. Principal -1556'!D82</f>
        <v>-47912</v>
      </c>
      <c r="H82" s="60">
        <f t="shared" si="13"/>
        <v>4983249.920000001</v>
      </c>
      <c r="I82" s="61">
        <f t="shared" si="14"/>
        <v>2327765.020000001</v>
      </c>
      <c r="J82" s="58">
        <f t="shared" si="15"/>
        <v>2194853.020000001</v>
      </c>
      <c r="K82" s="52"/>
      <c r="L82" s="41"/>
      <c r="M82" s="41"/>
    </row>
    <row r="83" spans="1:13" ht="15">
      <c r="A83" s="57">
        <f t="shared" si="9"/>
        <v>41128</v>
      </c>
      <c r="B83" s="58">
        <f t="shared" si="10"/>
        <v>-2788396.9</v>
      </c>
      <c r="C83" s="75">
        <f t="shared" si="11"/>
        <v>-85000</v>
      </c>
      <c r="D83" s="60">
        <f t="shared" si="12"/>
        <v>-2873396.9</v>
      </c>
      <c r="E83" s="61">
        <f t="shared" si="8"/>
        <v>4983249.920000001</v>
      </c>
      <c r="F83" s="75"/>
      <c r="G83" s="75">
        <f>-'5b. Principal -1556'!D83</f>
        <v>-47912</v>
      </c>
      <c r="H83" s="60">
        <f t="shared" si="13"/>
        <v>4935337.920000001</v>
      </c>
      <c r="I83" s="61">
        <f t="shared" si="14"/>
        <v>2194853.020000001</v>
      </c>
      <c r="J83" s="58">
        <f t="shared" si="15"/>
        <v>2061941.020000001</v>
      </c>
      <c r="K83" s="52"/>
      <c r="L83" s="41"/>
      <c r="M83" s="41"/>
    </row>
    <row r="84" spans="1:13" ht="15">
      <c r="A84" s="57">
        <f t="shared" si="9"/>
        <v>41159</v>
      </c>
      <c r="B84" s="58">
        <f t="shared" si="10"/>
        <v>-2873396.9</v>
      </c>
      <c r="C84" s="75">
        <f t="shared" si="11"/>
        <v>-85000</v>
      </c>
      <c r="D84" s="60">
        <f t="shared" si="12"/>
        <v>-2958396.9</v>
      </c>
      <c r="E84" s="61">
        <f t="shared" si="8"/>
        <v>4935337.920000001</v>
      </c>
      <c r="F84" s="75"/>
      <c r="G84" s="75">
        <f>-'5b. Principal -1556'!D84</f>
        <v>-47912</v>
      </c>
      <c r="H84" s="60">
        <f t="shared" si="13"/>
        <v>4887425.920000001</v>
      </c>
      <c r="I84" s="61">
        <f t="shared" si="14"/>
        <v>2061941.020000001</v>
      </c>
      <c r="J84" s="58">
        <f t="shared" si="15"/>
        <v>1929029.020000001</v>
      </c>
      <c r="K84" s="52"/>
      <c r="L84" s="41"/>
      <c r="M84" s="41"/>
    </row>
    <row r="85" spans="1:13" ht="15">
      <c r="A85" s="57">
        <f t="shared" si="9"/>
        <v>41190</v>
      </c>
      <c r="B85" s="58">
        <f t="shared" si="10"/>
        <v>-2958396.9</v>
      </c>
      <c r="C85" s="75">
        <f t="shared" si="11"/>
        <v>-85000</v>
      </c>
      <c r="D85" s="60">
        <f t="shared" si="12"/>
        <v>-3043396.9</v>
      </c>
      <c r="E85" s="61">
        <f t="shared" si="8"/>
        <v>4887425.920000001</v>
      </c>
      <c r="F85" s="75"/>
      <c r="G85" s="75">
        <f>-'5b. Principal -1556'!D85</f>
        <v>-47912</v>
      </c>
      <c r="H85" s="60">
        <f t="shared" si="13"/>
        <v>4839513.920000001</v>
      </c>
      <c r="I85" s="61">
        <f t="shared" si="14"/>
        <v>1929029.020000001</v>
      </c>
      <c r="J85" s="58">
        <f t="shared" si="15"/>
        <v>1796117.020000001</v>
      </c>
      <c r="K85" s="52"/>
      <c r="L85" s="41"/>
      <c r="M85" s="41"/>
    </row>
    <row r="86" spans="1:13" ht="15">
      <c r="A86" s="57">
        <f t="shared" si="9"/>
        <v>41221</v>
      </c>
      <c r="B86" s="58">
        <f t="shared" si="10"/>
        <v>-3043396.9</v>
      </c>
      <c r="C86" s="75">
        <f t="shared" si="11"/>
        <v>-85000</v>
      </c>
      <c r="D86" s="60">
        <f t="shared" si="12"/>
        <v>-3128396.9</v>
      </c>
      <c r="E86" s="61">
        <f t="shared" si="8"/>
        <v>4839513.920000001</v>
      </c>
      <c r="F86" s="75"/>
      <c r="G86" s="75">
        <f>-'5b. Principal -1556'!D86</f>
        <v>-47912</v>
      </c>
      <c r="H86" s="60">
        <f t="shared" si="13"/>
        <v>4791601.920000001</v>
      </c>
      <c r="I86" s="61">
        <f t="shared" si="14"/>
        <v>1796117.020000001</v>
      </c>
      <c r="J86" s="58">
        <f t="shared" si="15"/>
        <v>1663205.020000001</v>
      </c>
      <c r="K86" s="52"/>
      <c r="L86" s="41"/>
      <c r="M86" s="41"/>
    </row>
    <row r="87" spans="1:13" ht="15">
      <c r="A87" s="57">
        <f t="shared" si="9"/>
        <v>41252</v>
      </c>
      <c r="B87" s="58">
        <f t="shared" si="10"/>
        <v>-3128396.9</v>
      </c>
      <c r="C87" s="75">
        <f t="shared" si="11"/>
        <v>-85000</v>
      </c>
      <c r="D87" s="60">
        <f t="shared" si="12"/>
        <v>-3213396.9</v>
      </c>
      <c r="E87" s="61">
        <f t="shared" si="8"/>
        <v>4791601.920000001</v>
      </c>
      <c r="F87" s="75"/>
      <c r="G87" s="75">
        <f>-'5b. Principal -1556'!D87</f>
        <v>-47914</v>
      </c>
      <c r="H87" s="60">
        <f t="shared" si="13"/>
        <v>4743687.920000001</v>
      </c>
      <c r="I87" s="61">
        <f t="shared" si="14"/>
        <v>1663205.020000001</v>
      </c>
      <c r="J87" s="58">
        <f t="shared" si="15"/>
        <v>1530291.020000001</v>
      </c>
      <c r="K87" s="52"/>
      <c r="L87" s="41"/>
      <c r="M87" s="41"/>
    </row>
    <row r="88" spans="1:13" ht="15.75" thickBot="1">
      <c r="A88" s="37" t="s">
        <v>77</v>
      </c>
      <c r="B88" s="41"/>
      <c r="C88" s="59">
        <f>SUM(C8:C87)</f>
        <v>-3213396.9</v>
      </c>
      <c r="D88" s="52"/>
      <c r="E88" s="52"/>
      <c r="F88" s="59">
        <f>SUM(F8:F87)</f>
        <v>6402699.420000001</v>
      </c>
      <c r="G88" s="59">
        <f>SUM(G8:G87)</f>
        <v>-1659011.5</v>
      </c>
      <c r="H88" s="52"/>
      <c r="I88" s="52"/>
      <c r="J88" s="52"/>
      <c r="K88" s="52"/>
      <c r="L88" s="46">
        <f>SUM(L8:L75)</f>
        <v>2089071.0348023514</v>
      </c>
      <c r="M88" s="41"/>
    </row>
    <row r="89" spans="2:13" ht="1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4" ht="15">
      <c r="A90" s="38">
        <v>2006</v>
      </c>
      <c r="B90" s="40"/>
      <c r="C90" s="41">
        <f>SUM(C8:C15)</f>
        <v>-82216</v>
      </c>
      <c r="D90" s="52"/>
      <c r="E90" s="52"/>
      <c r="F90" s="41">
        <f>SUM(F8:F15)</f>
        <v>0</v>
      </c>
      <c r="G90" s="41">
        <f>SUM(G8:G15)</f>
        <v>0</v>
      </c>
      <c r="H90" s="52"/>
      <c r="I90" s="52"/>
      <c r="J90" s="52"/>
      <c r="K90" s="52"/>
      <c r="L90" s="41">
        <f>SUM(L8:L15)</f>
        <v>0</v>
      </c>
      <c r="M90" s="40"/>
      <c r="N90" s="38"/>
    </row>
    <row r="91" spans="1:14" ht="15">
      <c r="A91" s="38">
        <v>2007</v>
      </c>
      <c r="B91" s="40"/>
      <c r="C91" s="41">
        <f>SUM(C16:C27)</f>
        <v>-125648</v>
      </c>
      <c r="D91" s="52"/>
      <c r="E91" s="52"/>
      <c r="F91" s="41">
        <f>SUM(F16:F27)</f>
        <v>75028.13</v>
      </c>
      <c r="G91" s="41">
        <f>SUM(G16:G27)</f>
        <v>0</v>
      </c>
      <c r="H91" s="52"/>
      <c r="I91" s="52"/>
      <c r="J91" s="52"/>
      <c r="K91" s="52"/>
      <c r="L91" s="41">
        <f>SUM(L16:L27)</f>
        <v>0</v>
      </c>
      <c r="M91" s="40"/>
      <c r="N91" s="38"/>
    </row>
    <row r="92" spans="1:13" ht="15">
      <c r="A92" s="38">
        <v>2008</v>
      </c>
      <c r="B92" s="40"/>
      <c r="C92" s="40">
        <f>SUM(C28:C39)</f>
        <v>-131297</v>
      </c>
      <c r="D92" s="48"/>
      <c r="E92" s="48"/>
      <c r="F92" s="40">
        <f>SUM(F28:F39)</f>
        <v>531472.72</v>
      </c>
      <c r="G92" s="40">
        <f>SUM(G28:G39)</f>
        <v>0</v>
      </c>
      <c r="H92" s="48"/>
      <c r="I92" s="48"/>
      <c r="J92" s="48"/>
      <c r="K92" s="48"/>
      <c r="L92" s="40">
        <f>SUM(L28:L39)</f>
        <v>0</v>
      </c>
      <c r="M92" s="40"/>
    </row>
    <row r="93" spans="1:13" ht="15">
      <c r="A93" s="38">
        <v>2009</v>
      </c>
      <c r="B93" s="40"/>
      <c r="C93" s="40">
        <f>SUM(C40:C51)</f>
        <v>-360562</v>
      </c>
      <c r="D93" s="48"/>
      <c r="E93" s="48"/>
      <c r="F93" s="40">
        <f>SUM(F40:F51)</f>
        <v>616978.2599999999</v>
      </c>
      <c r="G93" s="40">
        <f>SUM(G40:G51)</f>
        <v>-142175</v>
      </c>
      <c r="H93" s="48"/>
      <c r="I93" s="48"/>
      <c r="J93" s="48"/>
      <c r="K93" s="48"/>
      <c r="L93" s="40">
        <f>SUM(L40:L51)</f>
        <v>243735.56898699302</v>
      </c>
      <c r="M93" s="40"/>
    </row>
    <row r="94" spans="1:13" ht="15">
      <c r="A94" s="38">
        <v>2010</v>
      </c>
      <c r="B94" s="40"/>
      <c r="C94" s="40">
        <f>SUM(C52:C63)</f>
        <v>-474675</v>
      </c>
      <c r="D94" s="48"/>
      <c r="E94" s="48"/>
      <c r="F94" s="40">
        <f>SUM(F52:F63)</f>
        <v>3599219.9800000004</v>
      </c>
      <c r="G94" s="40">
        <f>SUM(G52:G63)</f>
        <v>-410945.5</v>
      </c>
      <c r="H94" s="48"/>
      <c r="I94" s="48"/>
      <c r="J94" s="48"/>
      <c r="K94" s="48"/>
      <c r="L94" s="40">
        <f>SUM(L52:L63)</f>
        <v>762490.3509858198</v>
      </c>
      <c r="M94" s="49"/>
    </row>
    <row r="95" spans="1:13" ht="15">
      <c r="A95" s="38">
        <v>2011</v>
      </c>
      <c r="B95" s="40"/>
      <c r="C95" s="40">
        <f>SUM(C64:C75)</f>
        <v>-1018998.9</v>
      </c>
      <c r="D95" s="48"/>
      <c r="E95" s="48"/>
      <c r="F95" s="40">
        <f>SUM(F64:F75)</f>
        <v>1580000.33</v>
      </c>
      <c r="G95" s="40">
        <f>SUM(G64:G75)</f>
        <v>-530945</v>
      </c>
      <c r="H95" s="48"/>
      <c r="I95" s="48"/>
      <c r="J95" s="48"/>
      <c r="K95" s="48"/>
      <c r="L95" s="40">
        <f>SUM(L64:L75)</f>
        <v>1082845.1148295389</v>
      </c>
      <c r="M95" s="40"/>
    </row>
    <row r="96" spans="1:13" ht="15">
      <c r="A96" s="38">
        <v>2012</v>
      </c>
      <c r="B96" s="40"/>
      <c r="C96" s="40">
        <f>SUM(C76:C87)</f>
        <v>-1020000</v>
      </c>
      <c r="D96" s="48"/>
      <c r="E96" s="48"/>
      <c r="F96" s="40">
        <f>SUM(F76:F87)</f>
        <v>0</v>
      </c>
      <c r="G96" s="40">
        <f>SUM(G76:G87)</f>
        <v>-574946</v>
      </c>
      <c r="H96" s="48"/>
      <c r="I96" s="48"/>
      <c r="J96" s="48"/>
      <c r="K96" s="48"/>
      <c r="L96" s="40"/>
      <c r="M96" s="40"/>
    </row>
    <row r="97" spans="2:13" ht="15.75" thickBot="1">
      <c r="B97" s="40"/>
      <c r="C97" s="46">
        <f>SUM(C90:C96)</f>
        <v>-3213396.9</v>
      </c>
      <c r="D97" s="52"/>
      <c r="E97" s="52"/>
      <c r="F97" s="46">
        <f>SUM(F90:F96)</f>
        <v>6402699.42</v>
      </c>
      <c r="G97" s="46">
        <f>SUM(G90:G96)</f>
        <v>-1659011.5</v>
      </c>
      <c r="H97" s="52"/>
      <c r="I97" s="52"/>
      <c r="J97" s="52"/>
      <c r="K97" s="52"/>
      <c r="L97" s="46">
        <f>SUM(L90:L95)</f>
        <v>2089071.0348023516</v>
      </c>
      <c r="M97" s="40"/>
    </row>
  </sheetData>
  <sheetProtection/>
  <mergeCells count="3">
    <mergeCell ref="B6:D6"/>
    <mergeCell ref="E6:H6"/>
    <mergeCell ref="I6:J6"/>
  </mergeCells>
  <printOptions/>
  <pageMargins left="0.75" right="0.5" top="0.32" bottom="0.22" header="0.46" footer="0.12"/>
  <pageSetup fitToHeight="1" fitToWidth="1" horizontalDpi="600" verticalDpi="600" orientation="portrait" scale="5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pane ySplit="7" topLeftCell="A50" activePane="bottomLeft" state="frozen"/>
      <selection pane="topLeft" activeCell="D24" sqref="D24"/>
      <selection pane="bottomLeft" activeCell="D24" sqref="D24"/>
    </sheetView>
  </sheetViews>
  <sheetFormatPr defaultColWidth="8.88671875" defaultRowHeight="15"/>
  <cols>
    <col min="1" max="1" width="11.99609375" style="0" customWidth="1"/>
    <col min="2" max="6" width="12.3359375" style="0" customWidth="1"/>
  </cols>
  <sheetData>
    <row r="1" s="39" customFormat="1" ht="15.75">
      <c r="A1" s="39" t="str">
        <f>+'1. Summary'!B2</f>
        <v>Whitby Hydro Electric Corporation</v>
      </c>
    </row>
    <row r="2" s="39" customFormat="1" ht="15.75">
      <c r="A2" s="39" t="str">
        <f>+'1. Summary'!B3</f>
        <v>Review of Smart Meter Forecast - 2012</v>
      </c>
    </row>
    <row r="4" ht="15.75">
      <c r="A4" s="39" t="s">
        <v>107</v>
      </c>
    </row>
    <row r="5" ht="15.75">
      <c r="A5" s="39"/>
    </row>
    <row r="6" spans="1:6" ht="15.75">
      <c r="A6" s="39"/>
      <c r="B6" s="156" t="s">
        <v>106</v>
      </c>
      <c r="C6" s="157"/>
      <c r="D6" s="157"/>
      <c r="E6" s="158"/>
      <c r="F6" s="65"/>
    </row>
    <row r="7" spans="1:7" s="56" customFormat="1" ht="30">
      <c r="A7" s="141" t="s">
        <v>53</v>
      </c>
      <c r="B7" s="143" t="s">
        <v>101</v>
      </c>
      <c r="C7" s="143" t="s">
        <v>108</v>
      </c>
      <c r="D7" s="143" t="s">
        <v>109</v>
      </c>
      <c r="E7" s="143" t="s">
        <v>104</v>
      </c>
      <c r="F7" s="54"/>
      <c r="G7" s="56" t="s">
        <v>57</v>
      </c>
    </row>
    <row r="8" spans="1:7" ht="15">
      <c r="A8" s="71">
        <v>38838</v>
      </c>
      <c r="B8" s="66">
        <v>0</v>
      </c>
      <c r="C8" s="66">
        <f>'[1]1556 SM OM&amp;A'!C10+'[1]1556 SM OM&amp;A'!F10</f>
        <v>0</v>
      </c>
      <c r="D8" s="66">
        <f>'[1]1556 SM OM&amp;A'!D10+'[1]1556 SM OM&amp;A'!E10</f>
        <v>0</v>
      </c>
      <c r="E8" s="66">
        <f aca="true" t="shared" si="0" ref="E8:E39">SUM(B8:D8)</f>
        <v>0</v>
      </c>
      <c r="F8" s="67"/>
      <c r="G8" t="s">
        <v>57</v>
      </c>
    </row>
    <row r="9" spans="1:7" ht="15">
      <c r="A9" s="71">
        <v>38869</v>
      </c>
      <c r="B9" s="66">
        <f aca="true" t="shared" si="1" ref="B9:B40">E8</f>
        <v>0</v>
      </c>
      <c r="C9" s="66">
        <f>'[1]1556 SM OM&amp;A'!C11+'[1]1556 SM OM&amp;A'!F11</f>
        <v>0</v>
      </c>
      <c r="D9" s="66">
        <f>'[1]1556 SM OM&amp;A'!D11+'[1]1556 SM OM&amp;A'!E11</f>
        <v>0</v>
      </c>
      <c r="E9" s="66">
        <f t="shared" si="0"/>
        <v>0</v>
      </c>
      <c r="F9" s="68"/>
      <c r="G9" t="s">
        <v>57</v>
      </c>
    </row>
    <row r="10" spans="1:7" ht="15">
      <c r="A10" s="71">
        <v>38899</v>
      </c>
      <c r="B10" s="66">
        <f t="shared" si="1"/>
        <v>0</v>
      </c>
      <c r="C10" s="66">
        <f>'[1]1556 SM OM&amp;A'!C12+'[1]1556 SM OM&amp;A'!F12</f>
        <v>0</v>
      </c>
      <c r="D10" s="66">
        <f>'[1]1556 SM OM&amp;A'!D12+'[1]1556 SM OM&amp;A'!E12</f>
        <v>0</v>
      </c>
      <c r="E10" s="66">
        <f t="shared" si="0"/>
        <v>0</v>
      </c>
      <c r="F10" s="68"/>
      <c r="G10" t="s">
        <v>57</v>
      </c>
    </row>
    <row r="11" spans="1:7" ht="15">
      <c r="A11" s="71">
        <v>38930</v>
      </c>
      <c r="B11" s="66">
        <f t="shared" si="1"/>
        <v>0</v>
      </c>
      <c r="C11" s="66">
        <f>'[1]1556 SM OM&amp;A'!C13+'[1]1556 SM OM&amp;A'!F13</f>
        <v>0</v>
      </c>
      <c r="D11" s="66">
        <f>'[1]1556 SM OM&amp;A'!D13+'[1]1556 SM OM&amp;A'!E13</f>
        <v>0</v>
      </c>
      <c r="E11" s="66">
        <f t="shared" si="0"/>
        <v>0</v>
      </c>
      <c r="F11" s="68"/>
      <c r="G11" t="s">
        <v>57</v>
      </c>
    </row>
    <row r="12" spans="1:7" ht="15">
      <c r="A12" s="71">
        <v>38961</v>
      </c>
      <c r="B12" s="66">
        <f t="shared" si="1"/>
        <v>0</v>
      </c>
      <c r="C12" s="66">
        <f>'[1]1556 SM OM&amp;A'!C14+'[1]1556 SM OM&amp;A'!F14</f>
        <v>0</v>
      </c>
      <c r="D12" s="66">
        <f>'[1]1556 SM OM&amp;A'!D14+'[1]1556 SM OM&amp;A'!E14</f>
        <v>0</v>
      </c>
      <c r="E12" s="66">
        <f t="shared" si="0"/>
        <v>0</v>
      </c>
      <c r="F12" s="68"/>
      <c r="G12" t="s">
        <v>57</v>
      </c>
    </row>
    <row r="13" spans="1:7" ht="15">
      <c r="A13" s="71">
        <v>38991</v>
      </c>
      <c r="B13" s="66">
        <f t="shared" si="1"/>
        <v>0</v>
      </c>
      <c r="C13" s="66">
        <f>'[1]1556 SM OM&amp;A'!C15+'[1]1556 SM OM&amp;A'!F15</f>
        <v>0</v>
      </c>
      <c r="D13" s="66">
        <f>'[1]1556 SM OM&amp;A'!D15+'[1]1556 SM OM&amp;A'!E15</f>
        <v>0</v>
      </c>
      <c r="E13" s="66">
        <f t="shared" si="0"/>
        <v>0</v>
      </c>
      <c r="F13" s="68"/>
      <c r="G13" t="s">
        <v>57</v>
      </c>
    </row>
    <row r="14" spans="1:7" ht="15">
      <c r="A14" s="71">
        <v>39022</v>
      </c>
      <c r="B14" s="66">
        <f t="shared" si="1"/>
        <v>0</v>
      </c>
      <c r="C14" s="66">
        <f>'[1]1556 SM OM&amp;A'!C16+'[1]1556 SM OM&amp;A'!F16</f>
        <v>0</v>
      </c>
      <c r="D14" s="66">
        <f>'[1]1556 SM OM&amp;A'!D16+'[1]1556 SM OM&amp;A'!E16</f>
        <v>0</v>
      </c>
      <c r="E14" s="66">
        <f t="shared" si="0"/>
        <v>0</v>
      </c>
      <c r="F14" s="68"/>
      <c r="G14" t="s">
        <v>57</v>
      </c>
    </row>
    <row r="15" spans="1:7" ht="15">
      <c r="A15" s="71">
        <v>39052</v>
      </c>
      <c r="B15" s="66">
        <f t="shared" si="1"/>
        <v>0</v>
      </c>
      <c r="C15" s="66">
        <f>'[1]1556 SM OM&amp;A'!C17+'[1]1556 SM OM&amp;A'!F17</f>
        <v>0</v>
      </c>
      <c r="D15" s="66">
        <f>'[1]1556 SM OM&amp;A'!D17+'[1]1556 SM OM&amp;A'!E17</f>
        <v>0</v>
      </c>
      <c r="E15" s="66">
        <f t="shared" si="0"/>
        <v>0</v>
      </c>
      <c r="F15" s="68"/>
      <c r="G15" t="s">
        <v>57</v>
      </c>
    </row>
    <row r="16" spans="1:7" ht="15">
      <c r="A16" s="71">
        <v>39083</v>
      </c>
      <c r="B16" s="66">
        <f t="shared" si="1"/>
        <v>0</v>
      </c>
      <c r="C16" s="66">
        <f>'[1]1556 SM OM&amp;A'!C18+'[1]1556 SM OM&amp;A'!F18</f>
        <v>0</v>
      </c>
      <c r="D16" s="66">
        <f>'[1]1556 SM OM&amp;A'!D18+'[1]1556 SM OM&amp;A'!E18</f>
        <v>0</v>
      </c>
      <c r="E16" s="66">
        <f t="shared" si="0"/>
        <v>0</v>
      </c>
      <c r="F16" s="68"/>
      <c r="G16" t="s">
        <v>57</v>
      </c>
    </row>
    <row r="17" spans="1:7" ht="15">
      <c r="A17" s="71">
        <v>39114</v>
      </c>
      <c r="B17" s="66">
        <f t="shared" si="1"/>
        <v>0</v>
      </c>
      <c r="C17" s="66">
        <f>'[1]1556 SM OM&amp;A'!C19+'[1]1556 SM OM&amp;A'!F19</f>
        <v>0</v>
      </c>
      <c r="D17" s="66">
        <f>'[1]1556 SM OM&amp;A'!D19+'[1]1556 SM OM&amp;A'!E19</f>
        <v>0</v>
      </c>
      <c r="E17" s="66">
        <f t="shared" si="0"/>
        <v>0</v>
      </c>
      <c r="F17" s="68"/>
      <c r="G17" t="s">
        <v>57</v>
      </c>
    </row>
    <row r="18" spans="1:7" ht="15">
      <c r="A18" s="71">
        <v>39142</v>
      </c>
      <c r="B18" s="66">
        <f t="shared" si="1"/>
        <v>0</v>
      </c>
      <c r="C18" s="66">
        <f>'[1]1556 SM OM&amp;A'!C20+'[1]1556 SM OM&amp;A'!F20</f>
        <v>0</v>
      </c>
      <c r="D18" s="66">
        <f>'[1]1556 SM OM&amp;A'!D20+'[1]1556 SM OM&amp;A'!E20</f>
        <v>0</v>
      </c>
      <c r="E18" s="66">
        <f t="shared" si="0"/>
        <v>0</v>
      </c>
      <c r="F18" s="68"/>
      <c r="G18" t="s">
        <v>57</v>
      </c>
    </row>
    <row r="19" spans="1:7" ht="15">
      <c r="A19" s="71">
        <v>39173</v>
      </c>
      <c r="B19" s="66">
        <f t="shared" si="1"/>
        <v>0</v>
      </c>
      <c r="C19" s="66">
        <f>'[1]1556 SM OM&amp;A'!C21+'[1]1556 SM OM&amp;A'!F21</f>
        <v>0</v>
      </c>
      <c r="D19" s="66">
        <f>'[1]1556 SM OM&amp;A'!D21+'[1]1556 SM OM&amp;A'!E21</f>
        <v>0</v>
      </c>
      <c r="E19" s="66">
        <f t="shared" si="0"/>
        <v>0</v>
      </c>
      <c r="F19" s="68"/>
      <c r="G19" t="s">
        <v>57</v>
      </c>
    </row>
    <row r="20" spans="1:7" ht="15">
      <c r="A20" s="71">
        <v>39203</v>
      </c>
      <c r="B20" s="66">
        <f t="shared" si="1"/>
        <v>0</v>
      </c>
      <c r="C20" s="66">
        <f>'[1]1556 SM OM&amp;A'!C22+'[1]1556 SM OM&amp;A'!F22</f>
        <v>0</v>
      </c>
      <c r="D20" s="66">
        <f>'[1]1556 SM OM&amp;A'!D22+'[1]1556 SM OM&amp;A'!E22</f>
        <v>0</v>
      </c>
      <c r="E20" s="66">
        <f t="shared" si="0"/>
        <v>0</v>
      </c>
      <c r="F20" s="68"/>
      <c r="G20" t="s">
        <v>57</v>
      </c>
    </row>
    <row r="21" spans="1:7" ht="15">
      <c r="A21" s="71">
        <v>39234</v>
      </c>
      <c r="B21" s="66">
        <f t="shared" si="1"/>
        <v>0</v>
      </c>
      <c r="C21" s="66">
        <f>'[1]1556 SM OM&amp;A'!C23+'[1]1556 SM OM&amp;A'!F23</f>
        <v>0</v>
      </c>
      <c r="D21" s="66">
        <f>'[1]1556 SM OM&amp;A'!D23+'[1]1556 SM OM&amp;A'!E23</f>
        <v>0</v>
      </c>
      <c r="E21" s="66">
        <f t="shared" si="0"/>
        <v>0</v>
      </c>
      <c r="F21" s="68"/>
      <c r="G21" t="s">
        <v>57</v>
      </c>
    </row>
    <row r="22" spans="1:7" ht="15">
      <c r="A22" s="71">
        <v>39264</v>
      </c>
      <c r="B22" s="66">
        <f t="shared" si="1"/>
        <v>0</v>
      </c>
      <c r="C22" s="66">
        <f>'[1]1556 SM OM&amp;A'!C24+'[1]1556 SM OM&amp;A'!F24</f>
        <v>0</v>
      </c>
      <c r="D22" s="66">
        <f>'[1]1556 SM OM&amp;A'!D24+'[1]1556 SM OM&amp;A'!E24</f>
        <v>0</v>
      </c>
      <c r="E22" s="66">
        <f t="shared" si="0"/>
        <v>0</v>
      </c>
      <c r="F22" s="68"/>
      <c r="G22" t="s">
        <v>57</v>
      </c>
    </row>
    <row r="23" spans="1:7" ht="15">
      <c r="A23" s="71">
        <v>39295</v>
      </c>
      <c r="B23" s="66">
        <f t="shared" si="1"/>
        <v>0</v>
      </c>
      <c r="C23" s="66">
        <f>'[1]1556 SM OM&amp;A'!C25+'[1]1556 SM OM&amp;A'!F25</f>
        <v>0</v>
      </c>
      <c r="D23" s="66">
        <f>'[1]1556 SM OM&amp;A'!D25+'[1]1556 SM OM&amp;A'!E25</f>
        <v>0</v>
      </c>
      <c r="E23" s="66">
        <f t="shared" si="0"/>
        <v>0</v>
      </c>
      <c r="F23" s="68"/>
      <c r="G23" t="s">
        <v>57</v>
      </c>
    </row>
    <row r="24" spans="1:7" ht="15">
      <c r="A24" s="71">
        <v>39326</v>
      </c>
      <c r="B24" s="66">
        <f t="shared" si="1"/>
        <v>0</v>
      </c>
      <c r="C24" s="66">
        <f>'[1]1556 SM OM&amp;A'!C26+'[1]1556 SM OM&amp;A'!F26</f>
        <v>0</v>
      </c>
      <c r="D24" s="66">
        <f>'[1]1556 SM OM&amp;A'!D26+'[1]1556 SM OM&amp;A'!E26</f>
        <v>0</v>
      </c>
      <c r="E24" s="66">
        <f t="shared" si="0"/>
        <v>0</v>
      </c>
      <c r="F24" s="68"/>
      <c r="G24" t="s">
        <v>57</v>
      </c>
    </row>
    <row r="25" spans="1:7" ht="15">
      <c r="A25" s="71">
        <v>39356</v>
      </c>
      <c r="B25" s="66">
        <f t="shared" si="1"/>
        <v>0</v>
      </c>
      <c r="C25" s="66">
        <f>'[1]1556 SM OM&amp;A'!C27+'[1]1556 SM OM&amp;A'!F27</f>
        <v>0</v>
      </c>
      <c r="D25" s="66">
        <f>'[1]1556 SM OM&amp;A'!D27+'[1]1556 SM OM&amp;A'!E27</f>
        <v>0</v>
      </c>
      <c r="E25" s="66">
        <f t="shared" si="0"/>
        <v>0</v>
      </c>
      <c r="F25" s="68"/>
      <c r="G25" t="s">
        <v>57</v>
      </c>
    </row>
    <row r="26" spans="1:7" ht="15">
      <c r="A26" s="71">
        <v>39387</v>
      </c>
      <c r="B26" s="66">
        <f t="shared" si="1"/>
        <v>0</v>
      </c>
      <c r="C26" s="66">
        <f>'[1]1556 SM OM&amp;A'!C28+'[1]1556 SM OM&amp;A'!F28</f>
        <v>0</v>
      </c>
      <c r="D26" s="66">
        <f>'[1]1556 SM OM&amp;A'!D28+'[1]1556 SM OM&amp;A'!E28</f>
        <v>0</v>
      </c>
      <c r="E26" s="66">
        <f t="shared" si="0"/>
        <v>0</v>
      </c>
      <c r="F26" s="68"/>
      <c r="G26" t="s">
        <v>57</v>
      </c>
    </row>
    <row r="27" spans="1:7" ht="15">
      <c r="A27" s="71">
        <v>39417</v>
      </c>
      <c r="B27" s="66">
        <f t="shared" si="1"/>
        <v>0</v>
      </c>
      <c r="C27" s="66">
        <f>'[1]1556 SM OM&amp;A'!C29+'[1]1556 SM OM&amp;A'!F29</f>
        <v>0</v>
      </c>
      <c r="D27" s="66">
        <f>'[1]1556 SM OM&amp;A'!D29+'[1]1556 SM OM&amp;A'!E29</f>
        <v>0</v>
      </c>
      <c r="E27" s="66">
        <f t="shared" si="0"/>
        <v>0</v>
      </c>
      <c r="F27" s="68"/>
      <c r="G27" t="s">
        <v>57</v>
      </c>
    </row>
    <row r="28" spans="1:6" ht="15">
      <c r="A28" s="71">
        <v>39448</v>
      </c>
      <c r="B28" s="66">
        <f t="shared" si="1"/>
        <v>0</v>
      </c>
      <c r="C28" s="66">
        <f>'[1]1556 SM OM&amp;A'!C30+'[1]1556 SM OM&amp;A'!F30</f>
        <v>0</v>
      </c>
      <c r="D28" s="66">
        <f>'[1]1556 SM OM&amp;A'!D30+'[1]1556 SM OM&amp;A'!E30</f>
        <v>0</v>
      </c>
      <c r="E28" s="66">
        <f t="shared" si="0"/>
        <v>0</v>
      </c>
      <c r="F28" s="68"/>
    </row>
    <row r="29" spans="1:6" ht="15">
      <c r="A29" s="71">
        <v>39479</v>
      </c>
      <c r="B29" s="66">
        <f t="shared" si="1"/>
        <v>0</v>
      </c>
      <c r="C29" s="66">
        <f>'[1]1556 SM OM&amp;A'!C31+'[1]1556 SM OM&amp;A'!F31</f>
        <v>0</v>
      </c>
      <c r="D29" s="66">
        <f>'[1]1556 SM OM&amp;A'!D31+'[1]1556 SM OM&amp;A'!E31</f>
        <v>0</v>
      </c>
      <c r="E29" s="66">
        <f t="shared" si="0"/>
        <v>0</v>
      </c>
      <c r="F29" s="68"/>
    </row>
    <row r="30" spans="1:6" ht="15">
      <c r="A30" s="71">
        <v>39508</v>
      </c>
      <c r="B30" s="66">
        <f t="shared" si="1"/>
        <v>0</v>
      </c>
      <c r="C30" s="66">
        <f>'[1]1556 SM OM&amp;A'!C32+'[1]1556 SM OM&amp;A'!F32</f>
        <v>0</v>
      </c>
      <c r="D30" s="66">
        <f>'[1]1556 SM OM&amp;A'!D32+'[1]1556 SM OM&amp;A'!E32</f>
        <v>0</v>
      </c>
      <c r="E30" s="66">
        <f t="shared" si="0"/>
        <v>0</v>
      </c>
      <c r="F30" s="68"/>
    </row>
    <row r="31" spans="1:6" ht="15">
      <c r="A31" s="71">
        <v>39539</v>
      </c>
      <c r="B31" s="66">
        <f t="shared" si="1"/>
        <v>0</v>
      </c>
      <c r="C31" s="66">
        <f>'[1]1556 SM OM&amp;A'!C33+'[1]1556 SM OM&amp;A'!F33</f>
        <v>0</v>
      </c>
      <c r="D31" s="66">
        <f>'[1]1556 SM OM&amp;A'!D33+'[1]1556 SM OM&amp;A'!E33</f>
        <v>0</v>
      </c>
      <c r="E31" s="66">
        <f t="shared" si="0"/>
        <v>0</v>
      </c>
      <c r="F31" s="68"/>
    </row>
    <row r="32" spans="1:6" ht="15">
      <c r="A32" s="71">
        <v>39569</v>
      </c>
      <c r="B32" s="66">
        <f t="shared" si="1"/>
        <v>0</v>
      </c>
      <c r="C32" s="66">
        <f>'[1]1556 SM OM&amp;A'!C34+'[1]1556 SM OM&amp;A'!F34</f>
        <v>0</v>
      </c>
      <c r="D32" s="66">
        <f>'[1]1556 SM OM&amp;A'!D34+'[1]1556 SM OM&amp;A'!E34</f>
        <v>0</v>
      </c>
      <c r="E32" s="66">
        <f t="shared" si="0"/>
        <v>0</v>
      </c>
      <c r="F32" s="68"/>
    </row>
    <row r="33" spans="1:6" ht="15">
      <c r="A33" s="71">
        <v>39600</v>
      </c>
      <c r="B33" s="66">
        <f t="shared" si="1"/>
        <v>0</v>
      </c>
      <c r="C33" s="66">
        <f>'[1]1556 SM OM&amp;A'!C35+'[1]1556 SM OM&amp;A'!F35</f>
        <v>0</v>
      </c>
      <c r="D33" s="66">
        <f>'[1]1556 SM OM&amp;A'!D35+'[1]1556 SM OM&amp;A'!E35</f>
        <v>0</v>
      </c>
      <c r="E33" s="66">
        <f t="shared" si="0"/>
        <v>0</v>
      </c>
      <c r="F33" s="68"/>
    </row>
    <row r="34" spans="1:6" ht="15">
      <c r="A34" s="71">
        <v>39630</v>
      </c>
      <c r="B34" s="66">
        <f t="shared" si="1"/>
        <v>0</v>
      </c>
      <c r="C34" s="66">
        <f>'[1]1556 SM OM&amp;A'!C36+'[1]1556 SM OM&amp;A'!F36</f>
        <v>0</v>
      </c>
      <c r="D34" s="66">
        <f>'[1]1556 SM OM&amp;A'!D36+'[1]1556 SM OM&amp;A'!E36</f>
        <v>0</v>
      </c>
      <c r="E34" s="66">
        <f t="shared" si="0"/>
        <v>0</v>
      </c>
      <c r="F34" s="68"/>
    </row>
    <row r="35" spans="1:6" ht="15">
      <c r="A35" s="71">
        <v>39661</v>
      </c>
      <c r="B35" s="66">
        <f t="shared" si="1"/>
        <v>0</v>
      </c>
      <c r="C35" s="66">
        <f>'[1]1556 SM OM&amp;A'!C37+'[1]1556 SM OM&amp;A'!F37</f>
        <v>0</v>
      </c>
      <c r="D35" s="66">
        <f>'[1]1556 SM OM&amp;A'!D37+'[1]1556 SM OM&amp;A'!E37</f>
        <v>0</v>
      </c>
      <c r="E35" s="66">
        <f t="shared" si="0"/>
        <v>0</v>
      </c>
      <c r="F35" s="68"/>
    </row>
    <row r="36" spans="1:6" ht="15">
      <c r="A36" s="71">
        <v>39692</v>
      </c>
      <c r="B36" s="66">
        <f t="shared" si="1"/>
        <v>0</v>
      </c>
      <c r="C36" s="66">
        <f>'[1]1556 SM OM&amp;A'!C38+'[1]1556 SM OM&amp;A'!F38</f>
        <v>0</v>
      </c>
      <c r="D36" s="66">
        <f>'[1]1556 SM OM&amp;A'!D38+'[1]1556 SM OM&amp;A'!E38</f>
        <v>0</v>
      </c>
      <c r="E36" s="66">
        <f t="shared" si="0"/>
        <v>0</v>
      </c>
      <c r="F36" s="68"/>
    </row>
    <row r="37" spans="1:6" ht="15">
      <c r="A37" s="71">
        <v>39722</v>
      </c>
      <c r="B37" s="66">
        <f t="shared" si="1"/>
        <v>0</v>
      </c>
      <c r="C37" s="66">
        <f>'[1]1556 SM OM&amp;A'!C39+'[1]1556 SM OM&amp;A'!F39</f>
        <v>0</v>
      </c>
      <c r="D37" s="66">
        <f>'[1]1556 SM OM&amp;A'!D39+'[1]1556 SM OM&amp;A'!E39</f>
        <v>0</v>
      </c>
      <c r="E37" s="66">
        <f t="shared" si="0"/>
        <v>0</v>
      </c>
      <c r="F37" s="68"/>
    </row>
    <row r="38" spans="1:6" ht="15">
      <c r="A38" s="71">
        <v>39753</v>
      </c>
      <c r="B38" s="66">
        <f t="shared" si="1"/>
        <v>0</v>
      </c>
      <c r="C38" s="66">
        <f>'[1]1556 SM OM&amp;A'!C40+'[1]1556 SM OM&amp;A'!F40</f>
        <v>0</v>
      </c>
      <c r="D38" s="66">
        <f>'[1]1556 SM OM&amp;A'!D40+'[1]1556 SM OM&amp;A'!E40</f>
        <v>0</v>
      </c>
      <c r="E38" s="66">
        <f t="shared" si="0"/>
        <v>0</v>
      </c>
      <c r="F38" s="68"/>
    </row>
    <row r="39" spans="1:6" ht="15">
      <c r="A39" s="71">
        <v>39783</v>
      </c>
      <c r="B39" s="66">
        <f t="shared" si="1"/>
        <v>0</v>
      </c>
      <c r="C39" s="66">
        <f>'[1]1556 SM OM&amp;A'!C41+'[1]1556 SM OM&amp;A'!F41</f>
        <v>0</v>
      </c>
      <c r="D39" s="66">
        <f>'[1]1556 SM OM&amp;A'!D41+'[1]1556 SM OM&amp;A'!E41</f>
        <v>0</v>
      </c>
      <c r="E39" s="66">
        <f t="shared" si="0"/>
        <v>0</v>
      </c>
      <c r="F39" s="68"/>
    </row>
    <row r="40" spans="1:6" ht="15">
      <c r="A40" s="71">
        <v>39814</v>
      </c>
      <c r="B40" s="66">
        <f t="shared" si="1"/>
        <v>0</v>
      </c>
      <c r="C40" s="66">
        <f>'[1]1556 SM OM&amp;A'!C42+'[1]1556 SM OM&amp;A'!F42</f>
        <v>0</v>
      </c>
      <c r="D40" s="66">
        <f>'[1]1556 SM OM&amp;A'!D42+'[1]1556 SM OM&amp;A'!E42</f>
        <v>0</v>
      </c>
      <c r="E40" s="66">
        <f aca="true" t="shared" si="2" ref="E40:E71">SUM(B40:D40)</f>
        <v>0</v>
      </c>
      <c r="F40" s="68"/>
    </row>
    <row r="41" spans="1:6" ht="15">
      <c r="A41" s="71">
        <v>39845</v>
      </c>
      <c r="B41" s="66">
        <f aca="true" t="shared" si="3" ref="B41:B87">E40</f>
        <v>0</v>
      </c>
      <c r="C41" s="66">
        <f>'[1]1556 SM OM&amp;A'!C43+'[1]1556 SM OM&amp;A'!F43</f>
        <v>0</v>
      </c>
      <c r="D41" s="66">
        <f>'[1]1556 SM OM&amp;A'!D43+'[1]1556 SM OM&amp;A'!E43</f>
        <v>0</v>
      </c>
      <c r="E41" s="66">
        <f t="shared" si="2"/>
        <v>0</v>
      </c>
      <c r="F41" s="68"/>
    </row>
    <row r="42" spans="1:6" ht="15">
      <c r="A42" s="71">
        <v>39873</v>
      </c>
      <c r="B42" s="66">
        <f t="shared" si="3"/>
        <v>0</v>
      </c>
      <c r="C42" s="66">
        <f>'[1]1556 SM OM&amp;A'!C44+'[1]1556 SM OM&amp;A'!F44</f>
        <v>0</v>
      </c>
      <c r="D42" s="66">
        <f>'[1]1556 SM OM&amp;A'!D44+'[1]1556 SM OM&amp;A'!E44</f>
        <v>0</v>
      </c>
      <c r="E42" s="66">
        <f t="shared" si="2"/>
        <v>0</v>
      </c>
      <c r="F42" s="68"/>
    </row>
    <row r="43" spans="1:6" ht="15">
      <c r="A43" s="71">
        <v>39904</v>
      </c>
      <c r="B43" s="66">
        <f t="shared" si="3"/>
        <v>0</v>
      </c>
      <c r="C43" s="66">
        <f>'[1]1556 SM OM&amp;A'!C45+'[1]1556 SM OM&amp;A'!F45</f>
        <v>0</v>
      </c>
      <c r="D43" s="66">
        <f>'[1]1556 SM OM&amp;A'!D45+'[1]1556 SM OM&amp;A'!E45</f>
        <v>0</v>
      </c>
      <c r="E43" s="66">
        <f t="shared" si="2"/>
        <v>0</v>
      </c>
      <c r="F43" s="68"/>
    </row>
    <row r="44" spans="1:6" ht="15">
      <c r="A44" s="71">
        <v>39934</v>
      </c>
      <c r="B44" s="66">
        <f t="shared" si="3"/>
        <v>0</v>
      </c>
      <c r="C44" s="66">
        <f>'[1]1556 SM OM&amp;A'!C46+'[1]1556 SM OM&amp;A'!F46</f>
        <v>0</v>
      </c>
      <c r="D44" s="66">
        <f>'[1]1556 SM OM&amp;A'!D46+'[1]1556 SM OM&amp;A'!E46</f>
        <v>0</v>
      </c>
      <c r="E44" s="66">
        <f t="shared" si="2"/>
        <v>0</v>
      </c>
      <c r="F44" s="68"/>
    </row>
    <row r="45" spans="1:6" ht="15">
      <c r="A45" s="71">
        <v>39965</v>
      </c>
      <c r="B45" s="66">
        <f t="shared" si="3"/>
        <v>0</v>
      </c>
      <c r="C45" s="66">
        <f>'[1]1556 SM OM&amp;A'!C47+'[1]1556 SM OM&amp;A'!F47</f>
        <v>0</v>
      </c>
      <c r="D45" s="66">
        <f>'[1]1556 SM OM&amp;A'!D47+'[1]1556 SM OM&amp;A'!E47</f>
        <v>0</v>
      </c>
      <c r="E45" s="66">
        <f t="shared" si="2"/>
        <v>0</v>
      </c>
      <c r="F45" s="68"/>
    </row>
    <row r="46" spans="1:6" ht="15">
      <c r="A46" s="71">
        <v>39995</v>
      </c>
      <c r="B46" s="66">
        <f t="shared" si="3"/>
        <v>0</v>
      </c>
      <c r="C46" s="66">
        <f>'[1]1556 SM OM&amp;A'!C48+'[1]1556 SM OM&amp;A'!F48</f>
        <v>0</v>
      </c>
      <c r="D46" s="66">
        <f>'[1]1556 SM OM&amp;A'!D48+'[1]1556 SM OM&amp;A'!E48</f>
        <v>0</v>
      </c>
      <c r="E46" s="66">
        <f t="shared" si="2"/>
        <v>0</v>
      </c>
      <c r="F46" s="68"/>
    </row>
    <row r="47" spans="1:6" ht="15">
      <c r="A47" s="71">
        <v>40026</v>
      </c>
      <c r="B47" s="66">
        <f t="shared" si="3"/>
        <v>0</v>
      </c>
      <c r="C47" s="66">
        <f>'[1]1556 SM OM&amp;A'!C49+'[1]1556 SM OM&amp;A'!F49</f>
        <v>0</v>
      </c>
      <c r="D47" s="66">
        <f>'[1]1556 SM OM&amp;A'!D49+'[1]1556 SM OM&amp;A'!E49</f>
        <v>0</v>
      </c>
      <c r="E47" s="66">
        <f t="shared" si="2"/>
        <v>0</v>
      </c>
      <c r="F47" s="68"/>
    </row>
    <row r="48" spans="1:6" ht="15">
      <c r="A48" s="71">
        <v>40057</v>
      </c>
      <c r="B48" s="66">
        <f t="shared" si="3"/>
        <v>0</v>
      </c>
      <c r="C48" s="66">
        <f>'[1]1556 SM OM&amp;A'!C50+'[1]1556 SM OM&amp;A'!F50</f>
        <v>0</v>
      </c>
      <c r="D48" s="66">
        <f>'[1]1556 SM OM&amp;A'!D50+'[1]1556 SM OM&amp;A'!E50</f>
        <v>0</v>
      </c>
      <c r="E48" s="66">
        <f t="shared" si="2"/>
        <v>0</v>
      </c>
      <c r="F48" s="68"/>
    </row>
    <row r="49" spans="1:6" ht="15">
      <c r="A49" s="71">
        <v>40087</v>
      </c>
      <c r="B49" s="66">
        <f t="shared" si="3"/>
        <v>0</v>
      </c>
      <c r="C49" s="66">
        <f>'[1]1556 SM OM&amp;A'!C51+'[1]1556 SM OM&amp;A'!F51</f>
        <v>0</v>
      </c>
      <c r="D49" s="66">
        <f>'[1]1556 SM OM&amp;A'!D51+'[1]1556 SM OM&amp;A'!E51</f>
        <v>0</v>
      </c>
      <c r="E49" s="66">
        <f t="shared" si="2"/>
        <v>0</v>
      </c>
      <c r="F49" s="68"/>
    </row>
    <row r="50" spans="1:6" ht="15">
      <c r="A50" s="71">
        <v>40118</v>
      </c>
      <c r="B50" s="66">
        <f t="shared" si="3"/>
        <v>0</v>
      </c>
      <c r="C50" s="66">
        <f>'[1]1556 SM OM&amp;A'!C52+'[1]1556 SM OM&amp;A'!F52</f>
        <v>0</v>
      </c>
      <c r="D50" s="66">
        <f>'[1]1556 SM OM&amp;A'!D52+'[1]1556 SM OM&amp;A'!E52</f>
        <v>0</v>
      </c>
      <c r="E50" s="66">
        <f t="shared" si="2"/>
        <v>0</v>
      </c>
      <c r="F50" s="68"/>
    </row>
    <row r="51" spans="1:6" ht="15">
      <c r="A51" s="71">
        <v>40148</v>
      </c>
      <c r="B51" s="66">
        <f t="shared" si="3"/>
        <v>0</v>
      </c>
      <c r="C51" s="66">
        <f>'[1]1556 SM OM&amp;A'!C53+'[1]1556 SM OM&amp;A'!F53</f>
        <v>50841.58</v>
      </c>
      <c r="D51" s="66">
        <f>'[1]1556 SM OM&amp;A'!D53+'[1]1556 SM OM&amp;A'!E53</f>
        <v>142175</v>
      </c>
      <c r="E51" s="66">
        <f t="shared" si="2"/>
        <v>193016.58000000002</v>
      </c>
      <c r="F51" s="68"/>
    </row>
    <row r="52" spans="1:6" ht="15">
      <c r="A52" s="71">
        <v>40179</v>
      </c>
      <c r="B52" s="66">
        <f t="shared" si="3"/>
        <v>193016.58000000002</v>
      </c>
      <c r="C52" s="66">
        <f>'[1]1556 SM OM&amp;A'!C54+'[1]1556 SM OM&amp;A'!F54</f>
        <v>687.4</v>
      </c>
      <c r="D52" s="66">
        <f>'[1]1556 SM OM&amp;A'!D54+'[1]1556 SM OM&amp;A'!E54</f>
        <v>0</v>
      </c>
      <c r="E52" s="66">
        <f t="shared" si="2"/>
        <v>193703.98</v>
      </c>
      <c r="F52" s="68"/>
    </row>
    <row r="53" spans="1:6" ht="15">
      <c r="A53" s="71">
        <v>40210</v>
      </c>
      <c r="B53" s="66">
        <f t="shared" si="3"/>
        <v>193703.98</v>
      </c>
      <c r="C53" s="66">
        <f>'[1]1556 SM OM&amp;A'!C55+'[1]1556 SM OM&amp;A'!F55</f>
        <v>4187.24</v>
      </c>
      <c r="D53" s="66">
        <f>'[1]1556 SM OM&amp;A'!D55+'[1]1556 SM OM&amp;A'!E55</f>
        <v>0</v>
      </c>
      <c r="E53" s="66">
        <f t="shared" si="2"/>
        <v>197891.22</v>
      </c>
      <c r="F53" s="68"/>
    </row>
    <row r="54" spans="1:6" ht="15">
      <c r="A54" s="71">
        <v>40238</v>
      </c>
      <c r="B54" s="66">
        <f t="shared" si="3"/>
        <v>197891.22</v>
      </c>
      <c r="C54" s="66">
        <f>'[1]1556 SM OM&amp;A'!C56+'[1]1556 SM OM&amp;A'!F56</f>
        <v>3697.92</v>
      </c>
      <c r="D54" s="66">
        <f>'[1]1556 SM OM&amp;A'!D56+'[1]1556 SM OM&amp;A'!E56</f>
        <v>35550</v>
      </c>
      <c r="E54" s="66">
        <f t="shared" si="2"/>
        <v>237139.14</v>
      </c>
      <c r="F54" s="68"/>
    </row>
    <row r="55" spans="1:6" ht="15">
      <c r="A55" s="71">
        <v>40269</v>
      </c>
      <c r="B55" s="66">
        <f t="shared" si="3"/>
        <v>237139.14</v>
      </c>
      <c r="C55" s="66">
        <f>'[1]1556 SM OM&amp;A'!C57+'[1]1556 SM OM&amp;A'!F57</f>
        <v>4752.030000000001</v>
      </c>
      <c r="D55" s="66">
        <f>'[1]1556 SM OM&amp;A'!D57+'[1]1556 SM OM&amp;A'!E57</f>
        <v>0</v>
      </c>
      <c r="E55" s="66">
        <f t="shared" si="2"/>
        <v>241891.17</v>
      </c>
      <c r="F55" s="68"/>
    </row>
    <row r="56" spans="1:6" ht="15">
      <c r="A56" s="71">
        <v>40299</v>
      </c>
      <c r="B56" s="66">
        <f t="shared" si="3"/>
        <v>241891.17</v>
      </c>
      <c r="C56" s="66">
        <f>'[1]1556 SM OM&amp;A'!C58+'[1]1556 SM OM&amp;A'!F58</f>
        <v>3896</v>
      </c>
      <c r="D56" s="66">
        <f>'[1]1556 SM OM&amp;A'!D58+'[1]1556 SM OM&amp;A'!E58</f>
        <v>23700</v>
      </c>
      <c r="E56" s="66">
        <f t="shared" si="2"/>
        <v>269487.17000000004</v>
      </c>
      <c r="F56" s="68"/>
    </row>
    <row r="57" spans="1:6" ht="15">
      <c r="A57" s="71">
        <v>40330</v>
      </c>
      <c r="B57" s="66">
        <f t="shared" si="3"/>
        <v>269487.17000000004</v>
      </c>
      <c r="C57" s="66">
        <f>'[1]1556 SM OM&amp;A'!C59+'[1]1556 SM OM&amp;A'!F59</f>
        <v>21588.96</v>
      </c>
      <c r="D57" s="66">
        <f>'[1]1556 SM OM&amp;A'!D59+'[1]1556 SM OM&amp;A'!E59</f>
        <v>11850</v>
      </c>
      <c r="E57" s="66">
        <f t="shared" si="2"/>
        <v>302926.13000000006</v>
      </c>
      <c r="F57" s="68"/>
    </row>
    <row r="58" spans="1:6" ht="15">
      <c r="A58" s="71">
        <v>40360</v>
      </c>
      <c r="B58" s="66">
        <f t="shared" si="3"/>
        <v>302926.13000000006</v>
      </c>
      <c r="C58" s="66">
        <f>'[1]1556 SM OM&amp;A'!C60+'[1]1556 SM OM&amp;A'!F60</f>
        <v>1689.21</v>
      </c>
      <c r="D58" s="66">
        <f>'[1]1556 SM OM&amp;A'!D60+'[1]1556 SM OM&amp;A'!E60</f>
        <v>0</v>
      </c>
      <c r="E58" s="66">
        <f t="shared" si="2"/>
        <v>304615.3400000001</v>
      </c>
      <c r="F58" s="68"/>
    </row>
    <row r="59" spans="1:6" ht="15">
      <c r="A59" s="71">
        <v>40391</v>
      </c>
      <c r="B59" s="66">
        <f t="shared" si="3"/>
        <v>304615.3400000001</v>
      </c>
      <c r="C59" s="66">
        <f>'[1]1556 SM OM&amp;A'!C61+'[1]1556 SM OM&amp;A'!F61</f>
        <v>6089.46</v>
      </c>
      <c r="D59" s="66">
        <f>'[1]1556 SM OM&amp;A'!D61+'[1]1556 SM OM&amp;A'!E61</f>
        <v>226148</v>
      </c>
      <c r="E59" s="66">
        <f t="shared" si="2"/>
        <v>536852.8</v>
      </c>
      <c r="F59" s="68"/>
    </row>
    <row r="60" spans="1:6" ht="15">
      <c r="A60" s="71">
        <v>40422</v>
      </c>
      <c r="B60" s="66">
        <f t="shared" si="3"/>
        <v>536852.8</v>
      </c>
      <c r="C60" s="66">
        <f>'[1]1556 SM OM&amp;A'!C62+'[1]1556 SM OM&amp;A'!F62</f>
        <v>14381.07</v>
      </c>
      <c r="D60" s="66">
        <f>'[1]1556 SM OM&amp;A'!D62+'[1]1556 SM OM&amp;A'!E62</f>
        <v>37156</v>
      </c>
      <c r="E60" s="66">
        <f t="shared" si="2"/>
        <v>588389.87</v>
      </c>
      <c r="F60" s="68"/>
    </row>
    <row r="61" spans="1:6" ht="15">
      <c r="A61" s="71">
        <v>40452</v>
      </c>
      <c r="B61" s="66">
        <f t="shared" si="3"/>
        <v>588389.87</v>
      </c>
      <c r="C61" s="66">
        <f>'[1]1556 SM OM&amp;A'!C63+'[1]1556 SM OM&amp;A'!F63</f>
        <v>4108.48</v>
      </c>
      <c r="D61" s="66">
        <f>'[1]1556 SM OM&amp;A'!D63+'[1]1556 SM OM&amp;A'!E63</f>
        <v>37156</v>
      </c>
      <c r="E61" s="66">
        <f t="shared" si="2"/>
        <v>629654.35</v>
      </c>
      <c r="F61" s="68"/>
    </row>
    <row r="62" spans="1:6" ht="15">
      <c r="A62" s="71">
        <v>40483</v>
      </c>
      <c r="B62" s="66">
        <f t="shared" si="3"/>
        <v>629654.35</v>
      </c>
      <c r="C62" s="66">
        <f>'[1]1556 SM OM&amp;A'!C64+'[1]1556 SM OM&amp;A'!F64</f>
        <v>8928.42</v>
      </c>
      <c r="D62" s="66">
        <f>'[1]1556 SM OM&amp;A'!D64+'[1]1556 SM OM&amp;A'!E64</f>
        <v>37156</v>
      </c>
      <c r="E62" s="66">
        <f t="shared" si="2"/>
        <v>675738.77</v>
      </c>
      <c r="F62" s="68"/>
    </row>
    <row r="63" spans="1:6" ht="15">
      <c r="A63" s="71">
        <v>40513</v>
      </c>
      <c r="B63" s="66">
        <f t="shared" si="3"/>
        <v>675738.77</v>
      </c>
      <c r="C63" s="66">
        <f>'[1]1556 SM OM&amp;A'!C65+'[1]1556 SM OM&amp;A'!F65</f>
        <v>13840.32</v>
      </c>
      <c r="D63" s="66">
        <f>'[1]1556 SM OM&amp;A'!D65+'[1]1556 SM OM&amp;A'!E65</f>
        <v>2229.5</v>
      </c>
      <c r="E63" s="66">
        <f t="shared" si="2"/>
        <v>691808.59</v>
      </c>
      <c r="F63" s="68"/>
    </row>
    <row r="64" spans="1:6" ht="15">
      <c r="A64" s="71">
        <v>40544</v>
      </c>
      <c r="B64" s="66">
        <f t="shared" si="3"/>
        <v>691808.59</v>
      </c>
      <c r="C64" s="66">
        <f>'[1]1556 SM OM&amp;A'!C66+'[1]1556 SM OM&amp;A'!F66</f>
        <v>6311.39</v>
      </c>
      <c r="D64" s="66">
        <f>'[1]1556 SM OM&amp;A'!D66+'[1]1556 SM OM&amp;A'!E66</f>
        <v>8750</v>
      </c>
      <c r="E64" s="66">
        <f t="shared" si="2"/>
        <v>706869.98</v>
      </c>
      <c r="F64" s="68"/>
    </row>
    <row r="65" spans="1:6" ht="15">
      <c r="A65" s="71">
        <v>40575</v>
      </c>
      <c r="B65" s="66">
        <f t="shared" si="3"/>
        <v>706869.98</v>
      </c>
      <c r="C65" s="66">
        <f>'[1]1556 SM OM&amp;A'!C67+'[1]1556 SM OM&amp;A'!F67</f>
        <v>5950.69</v>
      </c>
      <c r="D65" s="66">
        <f>'[1]1556 SM OM&amp;A'!D67+'[1]1556 SM OM&amp;A'!E67</f>
        <v>8750</v>
      </c>
      <c r="E65" s="66">
        <f t="shared" si="2"/>
        <v>721570.6699999999</v>
      </c>
      <c r="F65" s="68"/>
    </row>
    <row r="66" spans="1:6" ht="15">
      <c r="A66" s="71">
        <v>40603</v>
      </c>
      <c r="B66" s="66">
        <f t="shared" si="3"/>
        <v>721570.6699999999</v>
      </c>
      <c r="C66" s="66">
        <f>'[1]1556 SM OM&amp;A'!C68+'[1]1556 SM OM&amp;A'!F68</f>
        <v>5909.04</v>
      </c>
      <c r="D66" s="66">
        <f>'[1]1556 SM OM&amp;A'!D68+'[1]1556 SM OM&amp;A'!E68</f>
        <v>8750</v>
      </c>
      <c r="E66" s="66">
        <f t="shared" si="2"/>
        <v>736229.71</v>
      </c>
      <c r="F66" s="68"/>
    </row>
    <row r="67" spans="1:6" ht="15">
      <c r="A67" s="71">
        <v>40634</v>
      </c>
      <c r="B67" s="66">
        <f t="shared" si="3"/>
        <v>736229.71</v>
      </c>
      <c r="C67" s="66">
        <f>'[1]1556 SM OM&amp;A'!C69+'[1]1556 SM OM&amp;A'!F69</f>
        <v>5921.78</v>
      </c>
      <c r="D67" s="66">
        <f>'[1]1556 SM OM&amp;A'!D69+'[1]1556 SM OM&amp;A'!E69</f>
        <v>8750</v>
      </c>
      <c r="E67" s="66">
        <f t="shared" si="2"/>
        <v>750901.49</v>
      </c>
      <c r="F67" s="68"/>
    </row>
    <row r="68" spans="1:6" ht="15">
      <c r="A68" s="71">
        <v>40664</v>
      </c>
      <c r="B68" s="66">
        <f t="shared" si="3"/>
        <v>750901.49</v>
      </c>
      <c r="C68" s="66">
        <f>'[1]1556 SM OM&amp;A'!C70+'[1]1556 SM OM&amp;A'!F70</f>
        <v>34393.94</v>
      </c>
      <c r="D68" s="66">
        <f>'[1]1556 SM OM&amp;A'!D70+'[1]1556 SM OM&amp;A'!E70</f>
        <v>8750</v>
      </c>
      <c r="E68" s="66">
        <f t="shared" si="2"/>
        <v>794045.4299999999</v>
      </c>
      <c r="F68" s="68"/>
    </row>
    <row r="69" spans="1:6" ht="15">
      <c r="A69" s="71">
        <v>40695</v>
      </c>
      <c r="B69" s="66">
        <f t="shared" si="3"/>
        <v>794045.4299999999</v>
      </c>
      <c r="C69" s="66">
        <f>'[1]1556 SM OM&amp;A'!C71+'[1]1556 SM OM&amp;A'!F71</f>
        <v>6102.45</v>
      </c>
      <c r="D69" s="66">
        <f>'[1]1556 SM OM&amp;A'!D71+'[1]1556 SM OM&amp;A'!E71</f>
        <v>8750</v>
      </c>
      <c r="E69" s="66">
        <f t="shared" si="2"/>
        <v>808897.8799999999</v>
      </c>
      <c r="F69" s="68"/>
    </row>
    <row r="70" spans="1:6" ht="15">
      <c r="A70" s="71">
        <v>40725</v>
      </c>
      <c r="B70" s="66">
        <f t="shared" si="3"/>
        <v>808897.8799999999</v>
      </c>
      <c r="C70" s="74">
        <f>'[1]1556 SM OM&amp;A'!$C$72</f>
        <v>13118.52</v>
      </c>
      <c r="D70" s="74">
        <f>'[1]1556 SM OM&amp;A'!$D$72</f>
        <v>8750</v>
      </c>
      <c r="E70" s="66">
        <f t="shared" si="2"/>
        <v>830766.3999999999</v>
      </c>
      <c r="F70" s="68"/>
    </row>
    <row r="71" spans="1:6" ht="15">
      <c r="A71" s="71">
        <v>40756</v>
      </c>
      <c r="B71" s="66">
        <f t="shared" si="3"/>
        <v>830766.3999999999</v>
      </c>
      <c r="C71" s="74">
        <f>19258</f>
        <v>19258</v>
      </c>
      <c r="D71" s="75">
        <v>93939</v>
      </c>
      <c r="E71" s="66">
        <f t="shared" si="2"/>
        <v>943963.3999999999</v>
      </c>
      <c r="F71" s="69"/>
    </row>
    <row r="72" spans="1:6" ht="15">
      <c r="A72" s="71">
        <v>40787</v>
      </c>
      <c r="B72" s="66">
        <f t="shared" si="3"/>
        <v>943963.3999999999</v>
      </c>
      <c r="C72" s="74">
        <f>19258</f>
        <v>19258</v>
      </c>
      <c r="D72" s="75">
        <v>93939</v>
      </c>
      <c r="E72" s="66">
        <f aca="true" t="shared" si="4" ref="E72:E87">SUM(B72:D72)</f>
        <v>1057160.4</v>
      </c>
      <c r="F72" s="69"/>
    </row>
    <row r="73" spans="1:6" ht="15">
      <c r="A73" s="71">
        <f>+A72+31</f>
        <v>40818</v>
      </c>
      <c r="B73" s="66">
        <f t="shared" si="3"/>
        <v>1057160.4</v>
      </c>
      <c r="C73" s="74">
        <f>19258</f>
        <v>19258</v>
      </c>
      <c r="D73" s="75">
        <v>93939</v>
      </c>
      <c r="E73" s="66">
        <f t="shared" si="4"/>
        <v>1170357.4</v>
      </c>
      <c r="F73" s="69"/>
    </row>
    <row r="74" spans="1:6" ht="15">
      <c r="A74" s="71">
        <f>+A73+31</f>
        <v>40849</v>
      </c>
      <c r="B74" s="66">
        <f t="shared" si="3"/>
        <v>1170357.4</v>
      </c>
      <c r="C74" s="74">
        <f>19258</f>
        <v>19258</v>
      </c>
      <c r="D74" s="75">
        <v>93939</v>
      </c>
      <c r="E74" s="66">
        <f t="shared" si="4"/>
        <v>1283554.4</v>
      </c>
      <c r="F74" s="69"/>
    </row>
    <row r="75" spans="1:6" ht="15">
      <c r="A75" s="71">
        <f>+A74+31</f>
        <v>40880</v>
      </c>
      <c r="B75" s="66">
        <f t="shared" si="3"/>
        <v>1283554.4</v>
      </c>
      <c r="C75" s="74">
        <f>19260</f>
        <v>19260</v>
      </c>
      <c r="D75" s="75">
        <v>93939</v>
      </c>
      <c r="E75" s="66">
        <f t="shared" si="4"/>
        <v>1396753.4</v>
      </c>
      <c r="F75" s="70"/>
    </row>
    <row r="76" spans="1:6" ht="15">
      <c r="A76" s="71">
        <f aca="true" t="shared" si="5" ref="A76:A87">+A75+31</f>
        <v>40911</v>
      </c>
      <c r="B76" s="66">
        <f t="shared" si="3"/>
        <v>1396753.4</v>
      </c>
      <c r="C76" s="74">
        <v>25250</v>
      </c>
      <c r="D76" s="75">
        <v>47912</v>
      </c>
      <c r="E76" s="66">
        <f t="shared" si="4"/>
        <v>1469915.4</v>
      </c>
      <c r="F76" s="70"/>
    </row>
    <row r="77" spans="1:6" ht="15">
      <c r="A77" s="71">
        <f t="shared" si="5"/>
        <v>40942</v>
      </c>
      <c r="B77" s="66">
        <f t="shared" si="3"/>
        <v>1469915.4</v>
      </c>
      <c r="C77" s="74">
        <v>25250</v>
      </c>
      <c r="D77" s="75">
        <v>47912</v>
      </c>
      <c r="E77" s="66">
        <f t="shared" si="4"/>
        <v>1543077.4</v>
      </c>
      <c r="F77" s="70"/>
    </row>
    <row r="78" spans="1:6" ht="15">
      <c r="A78" s="71">
        <f t="shared" si="5"/>
        <v>40973</v>
      </c>
      <c r="B78" s="66">
        <f t="shared" si="3"/>
        <v>1543077.4</v>
      </c>
      <c r="C78" s="74">
        <v>25250</v>
      </c>
      <c r="D78" s="75">
        <v>47912</v>
      </c>
      <c r="E78" s="66">
        <f t="shared" si="4"/>
        <v>1616239.4</v>
      </c>
      <c r="F78" s="70"/>
    </row>
    <row r="79" spans="1:6" ht="15">
      <c r="A79" s="71">
        <f t="shared" si="5"/>
        <v>41004</v>
      </c>
      <c r="B79" s="66">
        <f t="shared" si="3"/>
        <v>1616239.4</v>
      </c>
      <c r="C79" s="74">
        <v>25250</v>
      </c>
      <c r="D79" s="75">
        <v>47912</v>
      </c>
      <c r="E79" s="66">
        <f t="shared" si="4"/>
        <v>1689401.4</v>
      </c>
      <c r="F79" s="70"/>
    </row>
    <row r="80" spans="1:6" ht="15">
      <c r="A80" s="71">
        <f t="shared" si="5"/>
        <v>41035</v>
      </c>
      <c r="B80" s="66">
        <f t="shared" si="3"/>
        <v>1689401.4</v>
      </c>
      <c r="C80" s="74">
        <v>25250</v>
      </c>
      <c r="D80" s="75">
        <v>47912</v>
      </c>
      <c r="E80" s="66">
        <f t="shared" si="4"/>
        <v>1762563.4</v>
      </c>
      <c r="F80" s="70"/>
    </row>
    <row r="81" spans="1:6" ht="15">
      <c r="A81" s="71">
        <f t="shared" si="5"/>
        <v>41066</v>
      </c>
      <c r="B81" s="66">
        <f t="shared" si="3"/>
        <v>1762563.4</v>
      </c>
      <c r="C81" s="74">
        <v>25250</v>
      </c>
      <c r="D81" s="75">
        <v>47912</v>
      </c>
      <c r="E81" s="66">
        <f t="shared" si="4"/>
        <v>1835725.4</v>
      </c>
      <c r="F81" s="70"/>
    </row>
    <row r="82" spans="1:6" ht="15">
      <c r="A82" s="71">
        <f t="shared" si="5"/>
        <v>41097</v>
      </c>
      <c r="B82" s="66">
        <f t="shared" si="3"/>
        <v>1835725.4</v>
      </c>
      <c r="C82" s="74">
        <v>25250</v>
      </c>
      <c r="D82" s="75">
        <v>47912</v>
      </c>
      <c r="E82" s="66">
        <f t="shared" si="4"/>
        <v>1908887.4</v>
      </c>
      <c r="F82" s="70"/>
    </row>
    <row r="83" spans="1:6" ht="15">
      <c r="A83" s="71">
        <f t="shared" si="5"/>
        <v>41128</v>
      </c>
      <c r="B83" s="66">
        <f t="shared" si="3"/>
        <v>1908887.4</v>
      </c>
      <c r="C83" s="74">
        <v>25250</v>
      </c>
      <c r="D83" s="75">
        <v>47912</v>
      </c>
      <c r="E83" s="66">
        <f t="shared" si="4"/>
        <v>1982049.4</v>
      </c>
      <c r="F83" s="70"/>
    </row>
    <row r="84" spans="1:6" ht="15">
      <c r="A84" s="71">
        <f t="shared" si="5"/>
        <v>41159</v>
      </c>
      <c r="B84" s="66">
        <f t="shared" si="3"/>
        <v>1982049.4</v>
      </c>
      <c r="C84" s="74">
        <v>25250</v>
      </c>
      <c r="D84" s="75">
        <v>47912</v>
      </c>
      <c r="E84" s="66">
        <f t="shared" si="4"/>
        <v>2055211.4</v>
      </c>
      <c r="F84" s="70"/>
    </row>
    <row r="85" spans="1:6" ht="15">
      <c r="A85" s="71">
        <f t="shared" si="5"/>
        <v>41190</v>
      </c>
      <c r="B85" s="66">
        <f t="shared" si="3"/>
        <v>2055211.4</v>
      </c>
      <c r="C85" s="74">
        <v>25250</v>
      </c>
      <c r="D85" s="75">
        <v>47912</v>
      </c>
      <c r="E85" s="66">
        <f t="shared" si="4"/>
        <v>2128373.4</v>
      </c>
      <c r="F85" s="70"/>
    </row>
    <row r="86" spans="1:6" ht="15">
      <c r="A86" s="71">
        <f t="shared" si="5"/>
        <v>41221</v>
      </c>
      <c r="B86" s="66">
        <f t="shared" si="3"/>
        <v>2128373.4</v>
      </c>
      <c r="C86" s="74">
        <v>25250</v>
      </c>
      <c r="D86" s="75">
        <v>47912</v>
      </c>
      <c r="E86" s="66">
        <f t="shared" si="4"/>
        <v>2201535.4</v>
      </c>
      <c r="F86" s="70"/>
    </row>
    <row r="87" spans="1:6" ht="15">
      <c r="A87" s="71">
        <f t="shared" si="5"/>
        <v>41252</v>
      </c>
      <c r="B87" s="66">
        <f t="shared" si="3"/>
        <v>2201535.4</v>
      </c>
      <c r="C87" s="74">
        <v>25250</v>
      </c>
      <c r="D87" s="75">
        <v>47914</v>
      </c>
      <c r="E87" s="66">
        <f t="shared" si="4"/>
        <v>2274699.4</v>
      </c>
      <c r="F87" s="70"/>
    </row>
    <row r="88" spans="1:6" ht="15.75" thickBot="1">
      <c r="A88" s="37" t="s">
        <v>77</v>
      </c>
      <c r="B88" s="70"/>
      <c r="C88" s="76">
        <f>SUM(C8:C87)</f>
        <v>615687.9</v>
      </c>
      <c r="D88" s="76">
        <f>SUM(D8:D87)</f>
        <v>1659011.5</v>
      </c>
      <c r="E88" s="70"/>
      <c r="F88" s="70"/>
    </row>
    <row r="89" spans="2:6" ht="15.75" thickTop="1">
      <c r="B89" s="40"/>
      <c r="C89" s="40"/>
      <c r="D89" s="40"/>
      <c r="E89" s="40"/>
      <c r="F89" s="40"/>
    </row>
    <row r="90" spans="1:7" ht="15">
      <c r="A90" s="38">
        <v>2006</v>
      </c>
      <c r="B90" s="67"/>
      <c r="C90" s="67">
        <f>SUM(C8:C15)</f>
        <v>0</v>
      </c>
      <c r="D90" s="67">
        <f>SUM(D8:D15)</f>
        <v>0</v>
      </c>
      <c r="E90" s="67"/>
      <c r="F90" s="67"/>
      <c r="G90" s="38"/>
    </row>
    <row r="91" spans="1:7" ht="15">
      <c r="A91" s="38">
        <v>2007</v>
      </c>
      <c r="B91" s="67"/>
      <c r="C91" s="67">
        <f>SUM(C16:C27)</f>
        <v>0</v>
      </c>
      <c r="D91" s="67">
        <f>SUM(D16:D27)</f>
        <v>0</v>
      </c>
      <c r="E91" s="67"/>
      <c r="F91" s="67"/>
      <c r="G91" s="38"/>
    </row>
    <row r="92" spans="1:6" ht="15">
      <c r="A92" s="38">
        <v>2008</v>
      </c>
      <c r="B92" s="48"/>
      <c r="C92" s="48">
        <f>SUM(C28:C39)</f>
        <v>0</v>
      </c>
      <c r="D92" s="48">
        <f>SUM(D28:D39)</f>
        <v>0</v>
      </c>
      <c r="E92" s="48"/>
      <c r="F92" s="48"/>
    </row>
    <row r="93" spans="1:6" ht="15">
      <c r="A93" s="38">
        <v>2009</v>
      </c>
      <c r="B93" s="48"/>
      <c r="C93" s="48">
        <f>SUM(C40:C51)</f>
        <v>50841.58</v>
      </c>
      <c r="D93" s="48">
        <f>SUM(D40:D51)</f>
        <v>142175</v>
      </c>
      <c r="E93" s="48"/>
      <c r="F93" s="48"/>
    </row>
    <row r="94" spans="1:6" ht="15">
      <c r="A94" s="38">
        <v>2010</v>
      </c>
      <c r="B94" s="48"/>
      <c r="C94" s="48">
        <f>SUM(C52:C63)</f>
        <v>87846.51000000001</v>
      </c>
      <c r="D94" s="48">
        <f>SUM(D52:D63)</f>
        <v>410945.5</v>
      </c>
      <c r="E94" s="48"/>
      <c r="F94" s="48"/>
    </row>
    <row r="95" spans="1:6" ht="15">
      <c r="A95" s="38">
        <v>2011</v>
      </c>
      <c r="B95" s="48"/>
      <c r="C95" s="48">
        <f>SUM(C64:C75)</f>
        <v>173999.81</v>
      </c>
      <c r="D95" s="48">
        <f>SUM(D64:D75)</f>
        <v>530945</v>
      </c>
      <c r="E95" s="48"/>
      <c r="F95" s="48"/>
    </row>
    <row r="96" spans="1:6" ht="15">
      <c r="A96" s="38">
        <v>2012</v>
      </c>
      <c r="B96" s="48"/>
      <c r="C96" s="48">
        <f>SUM(C76:C87)</f>
        <v>303000</v>
      </c>
      <c r="D96" s="48">
        <f>SUM(D76:D87)</f>
        <v>574946</v>
      </c>
      <c r="E96" s="48"/>
      <c r="F96" s="48"/>
    </row>
    <row r="97" spans="2:6" ht="15.75" thickBot="1">
      <c r="B97" s="67"/>
      <c r="C97" s="72">
        <f>SUM(C90:C96)</f>
        <v>615687.9</v>
      </c>
      <c r="D97" s="72">
        <f>SUM(D90:D96)</f>
        <v>1659011.5</v>
      </c>
      <c r="E97" s="67"/>
      <c r="F97" s="67"/>
    </row>
    <row r="98" ht="15.75" thickTop="1"/>
  </sheetData>
  <sheetProtection/>
  <mergeCells count="1">
    <mergeCell ref="B6:E6"/>
  </mergeCells>
  <printOptions/>
  <pageMargins left="0.75" right="0.5" top="0.32" bottom="0.22" header="0.46" footer="0.12"/>
  <pageSetup fitToHeight="1" fitToWidth="1" horizontalDpi="600" verticalDpi="600" orientation="portrait" scale="51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zoomScalePageLayoutView="0" workbookViewId="0" topLeftCell="A1">
      <pane xSplit="1" ySplit="5" topLeftCell="B6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8.88671875" defaultRowHeight="15"/>
  <cols>
    <col min="1" max="1" width="10.5546875" style="0" customWidth="1"/>
    <col min="2" max="2" width="14.4453125" style="0" customWidth="1"/>
    <col min="3" max="3" width="9.3359375" style="0" customWidth="1"/>
    <col min="4" max="5" width="11.3359375" style="0" customWidth="1"/>
    <col min="6" max="6" width="10.4453125" style="0" customWidth="1"/>
    <col min="8" max="8" width="9.4453125" style="0" bestFit="1" customWidth="1"/>
    <col min="11" max="11" width="11.4453125" style="0" bestFit="1" customWidth="1"/>
  </cols>
  <sheetData>
    <row r="1" ht="15.75">
      <c r="A1" s="39" t="str">
        <f>'1. Summary'!B2</f>
        <v>Whitby Hydro Electric Corporation</v>
      </c>
    </row>
    <row r="2" ht="15.75">
      <c r="A2" s="39" t="str">
        <f>'1. Summary'!B3</f>
        <v>Review of Smart Meter Forecast - 2012</v>
      </c>
    </row>
    <row r="4" spans="1:9" ht="15.75">
      <c r="A4" s="39"/>
      <c r="B4" s="159" t="s">
        <v>105</v>
      </c>
      <c r="C4" s="160"/>
      <c r="D4" s="160"/>
      <c r="E4" s="161"/>
      <c r="F4" s="162" t="s">
        <v>110</v>
      </c>
      <c r="G4" s="160"/>
      <c r="H4" s="160"/>
      <c r="I4" s="160"/>
    </row>
    <row r="5" spans="1:9" s="64" customFormat="1" ht="48.75" customHeight="1">
      <c r="A5" s="143" t="s">
        <v>53</v>
      </c>
      <c r="B5" s="143" t="s">
        <v>58</v>
      </c>
      <c r="C5" s="143" t="s">
        <v>59</v>
      </c>
      <c r="D5" s="143" t="s">
        <v>60</v>
      </c>
      <c r="E5" s="144" t="s">
        <v>61</v>
      </c>
      <c r="F5" s="142" t="s">
        <v>101</v>
      </c>
      <c r="G5" s="143" t="s">
        <v>59</v>
      </c>
      <c r="H5" s="143" t="s">
        <v>60</v>
      </c>
      <c r="I5" s="143" t="s">
        <v>61</v>
      </c>
    </row>
    <row r="6" spans="1:9" ht="15">
      <c r="A6" s="57">
        <v>38838</v>
      </c>
      <c r="B6" s="58">
        <f>'5a. Principal -1555'!I8</f>
        <v>0</v>
      </c>
      <c r="C6" s="62">
        <v>0.0414</v>
      </c>
      <c r="D6" s="63">
        <f aca="true" t="shared" si="0" ref="D6:D37">B6*C6/12</f>
        <v>0</v>
      </c>
      <c r="E6" s="60">
        <f>D6</f>
        <v>0</v>
      </c>
      <c r="F6" s="61">
        <f>'5b. Principal -1556'!B8</f>
        <v>0</v>
      </c>
      <c r="G6" s="62">
        <f>C6</f>
        <v>0.0414</v>
      </c>
      <c r="H6" s="63">
        <f aca="true" t="shared" si="1" ref="H6:H37">F6*G6/12</f>
        <v>0</v>
      </c>
      <c r="I6" s="58">
        <f>H6</f>
        <v>0</v>
      </c>
    </row>
    <row r="7" spans="1:9" ht="15">
      <c r="A7" s="57">
        <v>38869</v>
      </c>
      <c r="B7" s="58">
        <f>'5a. Principal -1555'!I9</f>
        <v>-9726</v>
      </c>
      <c r="C7" s="62">
        <v>0.0414</v>
      </c>
      <c r="D7" s="63">
        <f t="shared" si="0"/>
        <v>-33.554700000000004</v>
      </c>
      <c r="E7" s="60">
        <f>D7+E6</f>
        <v>-33.554700000000004</v>
      </c>
      <c r="F7" s="61">
        <f>'5b. Principal -1556'!B9</f>
        <v>0</v>
      </c>
      <c r="G7" s="62">
        <f aca="true" t="shared" si="2" ref="G7:G70">C7</f>
        <v>0.0414</v>
      </c>
      <c r="H7" s="63">
        <f t="shared" si="1"/>
        <v>0</v>
      </c>
      <c r="I7" s="58">
        <f>H7+I6</f>
        <v>0</v>
      </c>
    </row>
    <row r="8" spans="1:9" ht="15">
      <c r="A8" s="57">
        <v>38899</v>
      </c>
      <c r="B8" s="58">
        <f>'5a. Principal -1555'!I10</f>
        <v>-14625</v>
      </c>
      <c r="C8" s="62">
        <v>0.0459</v>
      </c>
      <c r="D8" s="63">
        <f t="shared" si="0"/>
        <v>-55.940625000000004</v>
      </c>
      <c r="E8" s="60">
        <f aca="true" t="shared" si="3" ref="E8:E41">D8+E7</f>
        <v>-89.49532500000001</v>
      </c>
      <c r="F8" s="61">
        <f>'5b. Principal -1556'!B10</f>
        <v>0</v>
      </c>
      <c r="G8" s="62">
        <f t="shared" si="2"/>
        <v>0.0459</v>
      </c>
      <c r="H8" s="63">
        <f t="shared" si="1"/>
        <v>0</v>
      </c>
      <c r="I8" s="58">
        <f aca="true" t="shared" si="4" ref="I8:I71">H8+I7</f>
        <v>0</v>
      </c>
    </row>
    <row r="9" spans="1:9" ht="15">
      <c r="A9" s="57">
        <v>38930</v>
      </c>
      <c r="B9" s="58">
        <f>'5a. Principal -1555'!I11</f>
        <v>-33497</v>
      </c>
      <c r="C9" s="62">
        <v>0.0459</v>
      </c>
      <c r="D9" s="63">
        <f t="shared" si="0"/>
        <v>-128.126025</v>
      </c>
      <c r="E9" s="60">
        <f t="shared" si="3"/>
        <v>-217.62135</v>
      </c>
      <c r="F9" s="61">
        <f>'5b. Principal -1556'!B11</f>
        <v>0</v>
      </c>
      <c r="G9" s="62">
        <f t="shared" si="2"/>
        <v>0.0459</v>
      </c>
      <c r="H9" s="63">
        <f t="shared" si="1"/>
        <v>0</v>
      </c>
      <c r="I9" s="58">
        <f t="shared" si="4"/>
        <v>0</v>
      </c>
    </row>
    <row r="10" spans="1:9" ht="15">
      <c r="A10" s="57">
        <v>38961</v>
      </c>
      <c r="B10" s="58">
        <f>'5a. Principal -1555'!I12</f>
        <v>-44292</v>
      </c>
      <c r="C10" s="62">
        <v>0.0459</v>
      </c>
      <c r="D10" s="63">
        <f t="shared" si="0"/>
        <v>-169.41690000000003</v>
      </c>
      <c r="E10" s="60">
        <f t="shared" si="3"/>
        <v>-387.03825000000006</v>
      </c>
      <c r="F10" s="61">
        <f>'5b. Principal -1556'!B12</f>
        <v>0</v>
      </c>
      <c r="G10" s="62">
        <f t="shared" si="2"/>
        <v>0.0459</v>
      </c>
      <c r="H10" s="63">
        <f t="shared" si="1"/>
        <v>0</v>
      </c>
      <c r="I10" s="58">
        <f t="shared" si="4"/>
        <v>0</v>
      </c>
    </row>
    <row r="11" spans="1:9" ht="15">
      <c r="A11" s="57">
        <v>38991</v>
      </c>
      <c r="B11" s="58">
        <f>'5a. Principal -1555'!I13</f>
        <v>-53220</v>
      </c>
      <c r="C11" s="62">
        <v>0.0459</v>
      </c>
      <c r="D11" s="63">
        <f t="shared" si="0"/>
        <v>-203.56650000000002</v>
      </c>
      <c r="E11" s="60">
        <f t="shared" si="3"/>
        <v>-590.6047500000001</v>
      </c>
      <c r="F11" s="61">
        <f>'5b. Principal -1556'!B13</f>
        <v>0</v>
      </c>
      <c r="G11" s="62">
        <f t="shared" si="2"/>
        <v>0.0459</v>
      </c>
      <c r="H11" s="63">
        <f t="shared" si="1"/>
        <v>0</v>
      </c>
      <c r="I11" s="58">
        <f t="shared" si="4"/>
        <v>0</v>
      </c>
    </row>
    <row r="12" spans="1:9" ht="15">
      <c r="A12" s="57">
        <v>39022</v>
      </c>
      <c r="B12" s="58">
        <f>'5a. Principal -1555'!I14</f>
        <v>-61424</v>
      </c>
      <c r="C12" s="62">
        <v>0.0459</v>
      </c>
      <c r="D12" s="63">
        <f t="shared" si="0"/>
        <v>-234.94680000000002</v>
      </c>
      <c r="E12" s="60">
        <f t="shared" si="3"/>
        <v>-825.5515500000001</v>
      </c>
      <c r="F12" s="61">
        <f>'5b. Principal -1556'!B14</f>
        <v>0</v>
      </c>
      <c r="G12" s="62">
        <f t="shared" si="2"/>
        <v>0.0459</v>
      </c>
      <c r="H12" s="63">
        <f t="shared" si="1"/>
        <v>0</v>
      </c>
      <c r="I12" s="58">
        <f t="shared" si="4"/>
        <v>0</v>
      </c>
    </row>
    <row r="13" spans="1:9" ht="15">
      <c r="A13" s="57">
        <v>39052</v>
      </c>
      <c r="B13" s="58">
        <f>'5a. Principal -1555'!I15</f>
        <v>-71215</v>
      </c>
      <c r="C13" s="62">
        <v>0.0459</v>
      </c>
      <c r="D13" s="63">
        <f t="shared" si="0"/>
        <v>-272.397375</v>
      </c>
      <c r="E13" s="60">
        <f t="shared" si="3"/>
        <v>-1097.9489250000001</v>
      </c>
      <c r="F13" s="61">
        <f>'5b. Principal -1556'!B15</f>
        <v>0</v>
      </c>
      <c r="G13" s="62">
        <f t="shared" si="2"/>
        <v>0.0459</v>
      </c>
      <c r="H13" s="63">
        <f t="shared" si="1"/>
        <v>0</v>
      </c>
      <c r="I13" s="58">
        <f t="shared" si="4"/>
        <v>0</v>
      </c>
    </row>
    <row r="14" spans="1:9" ht="15">
      <c r="A14" s="57">
        <v>39083</v>
      </c>
      <c r="B14" s="58">
        <f>'5a. Principal -1555'!I16</f>
        <v>-82216</v>
      </c>
      <c r="C14" s="62">
        <v>0.0459</v>
      </c>
      <c r="D14" s="63">
        <f t="shared" si="0"/>
        <v>-314.4762</v>
      </c>
      <c r="E14" s="60">
        <f t="shared" si="3"/>
        <v>-1412.4251250000002</v>
      </c>
      <c r="F14" s="61">
        <f>'5b. Principal -1556'!B16</f>
        <v>0</v>
      </c>
      <c r="G14" s="62">
        <f t="shared" si="2"/>
        <v>0.0459</v>
      </c>
      <c r="H14" s="63">
        <f t="shared" si="1"/>
        <v>0</v>
      </c>
      <c r="I14" s="58">
        <f t="shared" si="4"/>
        <v>0</v>
      </c>
    </row>
    <row r="15" spans="1:9" ht="15">
      <c r="A15" s="57">
        <v>39114</v>
      </c>
      <c r="B15" s="58">
        <f>'5a. Principal -1555'!I17</f>
        <v>-94317</v>
      </c>
      <c r="C15" s="62">
        <v>0.0459</v>
      </c>
      <c r="D15" s="63">
        <f t="shared" si="0"/>
        <v>-360.76252500000004</v>
      </c>
      <c r="E15" s="60">
        <f t="shared" si="3"/>
        <v>-1773.1876500000003</v>
      </c>
      <c r="F15" s="61">
        <f>'5b. Principal -1556'!B17</f>
        <v>0</v>
      </c>
      <c r="G15" s="62">
        <f t="shared" si="2"/>
        <v>0.0459</v>
      </c>
      <c r="H15" s="63">
        <f t="shared" si="1"/>
        <v>0</v>
      </c>
      <c r="I15" s="58">
        <f t="shared" si="4"/>
        <v>0</v>
      </c>
    </row>
    <row r="16" spans="1:9" ht="15">
      <c r="A16" s="57">
        <v>39142</v>
      </c>
      <c r="B16" s="58">
        <f>'5a. Principal -1555'!I18</f>
        <v>-105289</v>
      </c>
      <c r="C16" s="62">
        <v>0.0459</v>
      </c>
      <c r="D16" s="63">
        <f t="shared" si="0"/>
        <v>-402.730425</v>
      </c>
      <c r="E16" s="60">
        <f t="shared" si="3"/>
        <v>-2175.9180750000005</v>
      </c>
      <c r="F16" s="61">
        <f>'5b. Principal -1556'!B18</f>
        <v>0</v>
      </c>
      <c r="G16" s="62">
        <f t="shared" si="2"/>
        <v>0.0459</v>
      </c>
      <c r="H16" s="63">
        <f t="shared" si="1"/>
        <v>0</v>
      </c>
      <c r="I16" s="58">
        <f t="shared" si="4"/>
        <v>0</v>
      </c>
    </row>
    <row r="17" spans="1:9" ht="15">
      <c r="A17" s="57">
        <v>39173</v>
      </c>
      <c r="B17" s="58">
        <f>'5a. Principal -1555'!I19</f>
        <v>-116419</v>
      </c>
      <c r="C17" s="62">
        <v>0.0459</v>
      </c>
      <c r="D17" s="63">
        <f t="shared" si="0"/>
        <v>-445.3026750000001</v>
      </c>
      <c r="E17" s="60">
        <f t="shared" si="3"/>
        <v>-2621.2207500000004</v>
      </c>
      <c r="F17" s="61">
        <f>'5b. Principal -1556'!B19</f>
        <v>0</v>
      </c>
      <c r="G17" s="62">
        <f t="shared" si="2"/>
        <v>0.0459</v>
      </c>
      <c r="H17" s="63">
        <f t="shared" si="1"/>
        <v>0</v>
      </c>
      <c r="I17" s="58">
        <f t="shared" si="4"/>
        <v>0</v>
      </c>
    </row>
    <row r="18" spans="1:9" ht="15">
      <c r="A18" s="57">
        <v>39203</v>
      </c>
      <c r="B18" s="58">
        <f>'5a. Principal -1555'!I20</f>
        <v>-124818</v>
      </c>
      <c r="C18" s="62">
        <v>0.0459</v>
      </c>
      <c r="D18" s="63">
        <f t="shared" si="0"/>
        <v>-477.42885</v>
      </c>
      <c r="E18" s="60">
        <f t="shared" si="3"/>
        <v>-3098.6496000000006</v>
      </c>
      <c r="F18" s="61">
        <f>'5b. Principal -1556'!B20</f>
        <v>0</v>
      </c>
      <c r="G18" s="62">
        <f t="shared" si="2"/>
        <v>0.0459</v>
      </c>
      <c r="H18" s="63">
        <f t="shared" si="1"/>
        <v>0</v>
      </c>
      <c r="I18" s="58">
        <f t="shared" si="4"/>
        <v>0</v>
      </c>
    </row>
    <row r="19" spans="1:9" ht="15">
      <c r="A19" s="57">
        <v>39234</v>
      </c>
      <c r="B19" s="58">
        <f>'5a. Principal -1555'!I21</f>
        <v>-133944</v>
      </c>
      <c r="C19" s="62">
        <v>0.0459</v>
      </c>
      <c r="D19" s="63">
        <f t="shared" si="0"/>
        <v>-512.3358000000001</v>
      </c>
      <c r="E19" s="60">
        <f t="shared" si="3"/>
        <v>-3610.9854000000005</v>
      </c>
      <c r="F19" s="61">
        <f>'5b. Principal -1556'!B21</f>
        <v>0</v>
      </c>
      <c r="G19" s="62">
        <f t="shared" si="2"/>
        <v>0.0459</v>
      </c>
      <c r="H19" s="63">
        <f t="shared" si="1"/>
        <v>0</v>
      </c>
      <c r="I19" s="58">
        <f t="shared" si="4"/>
        <v>0</v>
      </c>
    </row>
    <row r="20" spans="1:9" ht="15">
      <c r="A20" s="57">
        <v>39264</v>
      </c>
      <c r="B20" s="58">
        <f>'5a. Principal -1555'!I22</f>
        <v>-143568</v>
      </c>
      <c r="C20" s="62">
        <v>0.0459</v>
      </c>
      <c r="D20" s="63">
        <f t="shared" si="0"/>
        <v>-549.1476</v>
      </c>
      <c r="E20" s="60">
        <f t="shared" si="3"/>
        <v>-4160.133000000001</v>
      </c>
      <c r="F20" s="61">
        <f>'5b. Principal -1556'!B22</f>
        <v>0</v>
      </c>
      <c r="G20" s="62">
        <f t="shared" si="2"/>
        <v>0.0459</v>
      </c>
      <c r="H20" s="63">
        <f t="shared" si="1"/>
        <v>0</v>
      </c>
      <c r="I20" s="58">
        <f t="shared" si="4"/>
        <v>0</v>
      </c>
    </row>
    <row r="21" spans="1:9" ht="15">
      <c r="A21" s="57">
        <v>39295</v>
      </c>
      <c r="B21" s="58">
        <f>'5a. Principal -1555'!I23</f>
        <v>-155628</v>
      </c>
      <c r="C21" s="62">
        <v>0.0459</v>
      </c>
      <c r="D21" s="63">
        <f t="shared" si="0"/>
        <v>-595.2771</v>
      </c>
      <c r="E21" s="60">
        <f t="shared" si="3"/>
        <v>-4755.410100000001</v>
      </c>
      <c r="F21" s="61">
        <f>'5b. Principal -1556'!B23</f>
        <v>0</v>
      </c>
      <c r="G21" s="62">
        <f t="shared" si="2"/>
        <v>0.0459</v>
      </c>
      <c r="H21" s="63">
        <f t="shared" si="1"/>
        <v>0</v>
      </c>
      <c r="I21" s="58">
        <f t="shared" si="4"/>
        <v>0</v>
      </c>
    </row>
    <row r="22" spans="1:9" ht="15">
      <c r="A22" s="57">
        <v>39326</v>
      </c>
      <c r="B22" s="58">
        <f>'5a. Principal -1555'!I24</f>
        <v>-161858.5</v>
      </c>
      <c r="C22" s="62">
        <v>0.0459</v>
      </c>
      <c r="D22" s="63">
        <f t="shared" si="0"/>
        <v>-619.1087625</v>
      </c>
      <c r="E22" s="60">
        <f t="shared" si="3"/>
        <v>-5374.518862500001</v>
      </c>
      <c r="F22" s="61">
        <f>'5b. Principal -1556'!B24</f>
        <v>0</v>
      </c>
      <c r="G22" s="62">
        <f t="shared" si="2"/>
        <v>0.0459</v>
      </c>
      <c r="H22" s="63">
        <f t="shared" si="1"/>
        <v>0</v>
      </c>
      <c r="I22" s="58">
        <f t="shared" si="4"/>
        <v>0</v>
      </c>
    </row>
    <row r="23" spans="1:9" ht="15">
      <c r="A23" s="57">
        <v>39356</v>
      </c>
      <c r="B23" s="58">
        <f>'5a. Principal -1555'!I25</f>
        <v>-153062.9</v>
      </c>
      <c r="C23" s="62">
        <v>0.0514</v>
      </c>
      <c r="D23" s="63">
        <f t="shared" si="0"/>
        <v>-655.6194216666667</v>
      </c>
      <c r="E23" s="60">
        <f t="shared" si="3"/>
        <v>-6030.138284166667</v>
      </c>
      <c r="F23" s="61">
        <f>'5b. Principal -1556'!B25</f>
        <v>0</v>
      </c>
      <c r="G23" s="62">
        <f t="shared" si="2"/>
        <v>0.0514</v>
      </c>
      <c r="H23" s="63">
        <f t="shared" si="1"/>
        <v>0</v>
      </c>
      <c r="I23" s="58">
        <f t="shared" si="4"/>
        <v>0</v>
      </c>
    </row>
    <row r="24" spans="1:9" ht="15">
      <c r="A24" s="57">
        <v>39387</v>
      </c>
      <c r="B24" s="58">
        <f>'5a. Principal -1555'!I26</f>
        <v>-152711.4</v>
      </c>
      <c r="C24" s="62">
        <v>0.0514</v>
      </c>
      <c r="D24" s="63">
        <f t="shared" si="0"/>
        <v>-654.11383</v>
      </c>
      <c r="E24" s="60">
        <f t="shared" si="3"/>
        <v>-6684.2521141666675</v>
      </c>
      <c r="F24" s="61">
        <f>'5b. Principal -1556'!B26</f>
        <v>0</v>
      </c>
      <c r="G24" s="62">
        <f t="shared" si="2"/>
        <v>0.0514</v>
      </c>
      <c r="H24" s="63">
        <f t="shared" si="1"/>
        <v>0</v>
      </c>
      <c r="I24" s="58">
        <f t="shared" si="4"/>
        <v>0</v>
      </c>
    </row>
    <row r="25" spans="1:9" ht="15">
      <c r="A25" s="57">
        <v>39417</v>
      </c>
      <c r="B25" s="58">
        <f>'5a. Principal -1555'!I27</f>
        <v>-140069.76</v>
      </c>
      <c r="C25" s="62">
        <v>0.0514</v>
      </c>
      <c r="D25" s="63">
        <f t="shared" si="0"/>
        <v>-599.9654720000001</v>
      </c>
      <c r="E25" s="60">
        <f t="shared" si="3"/>
        <v>-7284.217586166667</v>
      </c>
      <c r="F25" s="61">
        <f>'5b. Principal -1556'!B27</f>
        <v>0</v>
      </c>
      <c r="G25" s="62">
        <f t="shared" si="2"/>
        <v>0.0514</v>
      </c>
      <c r="H25" s="63">
        <f t="shared" si="1"/>
        <v>0</v>
      </c>
      <c r="I25" s="58">
        <f t="shared" si="4"/>
        <v>0</v>
      </c>
    </row>
    <row r="26" spans="1:9" ht="15">
      <c r="A26" s="57">
        <v>39448</v>
      </c>
      <c r="B26" s="58">
        <f>'5a. Principal -1555'!I28</f>
        <v>-132835.87</v>
      </c>
      <c r="C26" s="62">
        <v>0.0514</v>
      </c>
      <c r="D26" s="63">
        <f t="shared" si="0"/>
        <v>-568.9803098333333</v>
      </c>
      <c r="E26" s="60">
        <f t="shared" si="3"/>
        <v>-7853.197896000001</v>
      </c>
      <c r="F26" s="61">
        <f>'5b. Principal -1556'!B28</f>
        <v>0</v>
      </c>
      <c r="G26" s="62">
        <f t="shared" si="2"/>
        <v>0.0514</v>
      </c>
      <c r="H26" s="63">
        <f t="shared" si="1"/>
        <v>0</v>
      </c>
      <c r="I26" s="58">
        <f t="shared" si="4"/>
        <v>0</v>
      </c>
    </row>
    <row r="27" spans="1:9" ht="15">
      <c r="A27" s="57">
        <v>39479</v>
      </c>
      <c r="B27" s="58">
        <f>'5a. Principal -1555'!I29</f>
        <v>-135697.82</v>
      </c>
      <c r="C27" s="62">
        <v>0.0514</v>
      </c>
      <c r="D27" s="63">
        <f t="shared" si="0"/>
        <v>-581.2389956666667</v>
      </c>
      <c r="E27" s="60">
        <f t="shared" si="3"/>
        <v>-8434.436891666668</v>
      </c>
      <c r="F27" s="61">
        <f>'5b. Principal -1556'!B29</f>
        <v>0</v>
      </c>
      <c r="G27" s="62">
        <f t="shared" si="2"/>
        <v>0.0514</v>
      </c>
      <c r="H27" s="63">
        <f t="shared" si="1"/>
        <v>0</v>
      </c>
      <c r="I27" s="58">
        <f t="shared" si="4"/>
        <v>0</v>
      </c>
    </row>
    <row r="28" spans="1:9" ht="15">
      <c r="A28" s="57">
        <v>39508</v>
      </c>
      <c r="B28" s="58">
        <f>'5a. Principal -1555'!I30</f>
        <v>-133780.08</v>
      </c>
      <c r="C28" s="62">
        <v>0.0514</v>
      </c>
      <c r="D28" s="63">
        <f t="shared" si="0"/>
        <v>-573.0246759999999</v>
      </c>
      <c r="E28" s="60">
        <f t="shared" si="3"/>
        <v>-9007.461567666667</v>
      </c>
      <c r="F28" s="61">
        <f>'5b. Principal -1556'!B30</f>
        <v>0</v>
      </c>
      <c r="G28" s="62">
        <f t="shared" si="2"/>
        <v>0.0514</v>
      </c>
      <c r="H28" s="63">
        <f t="shared" si="1"/>
        <v>0</v>
      </c>
      <c r="I28" s="58">
        <f t="shared" si="4"/>
        <v>0</v>
      </c>
    </row>
    <row r="29" spans="1:9" ht="15">
      <c r="A29" s="57">
        <v>39539</v>
      </c>
      <c r="B29" s="58">
        <f>'5a. Principal -1555'!I31</f>
        <v>-121871.32999999999</v>
      </c>
      <c r="C29" s="62">
        <v>0.0408</v>
      </c>
      <c r="D29" s="63">
        <f t="shared" si="0"/>
        <v>-414.36252199999996</v>
      </c>
      <c r="E29" s="60">
        <f t="shared" si="3"/>
        <v>-9421.824089666667</v>
      </c>
      <c r="F29" s="61">
        <f>'5b. Principal -1556'!B31</f>
        <v>0</v>
      </c>
      <c r="G29" s="62">
        <f t="shared" si="2"/>
        <v>0.0408</v>
      </c>
      <c r="H29" s="63">
        <f t="shared" si="1"/>
        <v>0</v>
      </c>
      <c r="I29" s="58">
        <f t="shared" si="4"/>
        <v>0</v>
      </c>
    </row>
    <row r="30" spans="1:9" ht="15">
      <c r="A30" s="57">
        <v>39569</v>
      </c>
      <c r="B30" s="58">
        <f>'5a. Principal -1555'!I32</f>
        <v>-124090.62</v>
      </c>
      <c r="C30" s="62">
        <v>0.0408</v>
      </c>
      <c r="D30" s="63">
        <f t="shared" si="0"/>
        <v>-421.908108</v>
      </c>
      <c r="E30" s="60">
        <f t="shared" si="3"/>
        <v>-9843.732197666666</v>
      </c>
      <c r="F30" s="61">
        <f>'5b. Principal -1556'!B32</f>
        <v>0</v>
      </c>
      <c r="G30" s="62">
        <f t="shared" si="2"/>
        <v>0.0408</v>
      </c>
      <c r="H30" s="63">
        <f t="shared" si="1"/>
        <v>0</v>
      </c>
      <c r="I30" s="58">
        <f t="shared" si="4"/>
        <v>0</v>
      </c>
    </row>
    <row r="31" spans="1:9" ht="15">
      <c r="A31" s="57">
        <v>39600</v>
      </c>
      <c r="B31" s="58">
        <f>'5a. Principal -1555'!I33</f>
        <v>-118647.97</v>
      </c>
      <c r="C31" s="62">
        <v>0.0408</v>
      </c>
      <c r="D31" s="63">
        <f t="shared" si="0"/>
        <v>-403.403098</v>
      </c>
      <c r="E31" s="60">
        <f t="shared" si="3"/>
        <v>-10247.135295666667</v>
      </c>
      <c r="F31" s="61">
        <f>'5b. Principal -1556'!B33</f>
        <v>0</v>
      </c>
      <c r="G31" s="62">
        <f t="shared" si="2"/>
        <v>0.0408</v>
      </c>
      <c r="H31" s="63">
        <f t="shared" si="1"/>
        <v>0</v>
      </c>
      <c r="I31" s="58">
        <f t="shared" si="4"/>
        <v>0</v>
      </c>
    </row>
    <row r="32" spans="1:9" ht="15">
      <c r="A32" s="57">
        <v>39630</v>
      </c>
      <c r="B32" s="58">
        <f>'5a. Principal -1555'!I34</f>
        <v>-124044.26000000001</v>
      </c>
      <c r="C32" s="62">
        <v>0.0335</v>
      </c>
      <c r="D32" s="63">
        <f t="shared" si="0"/>
        <v>-346.29022583333335</v>
      </c>
      <c r="E32" s="60">
        <f t="shared" si="3"/>
        <v>-10593.425521500001</v>
      </c>
      <c r="F32" s="61">
        <f>'5b. Principal -1556'!B34</f>
        <v>0</v>
      </c>
      <c r="G32" s="62">
        <f t="shared" si="2"/>
        <v>0.0335</v>
      </c>
      <c r="H32" s="63">
        <f t="shared" si="1"/>
        <v>0</v>
      </c>
      <c r="I32" s="58">
        <f t="shared" si="4"/>
        <v>0</v>
      </c>
    </row>
    <row r="33" spans="1:9" ht="15">
      <c r="A33" s="57">
        <v>39661</v>
      </c>
      <c r="B33" s="58">
        <f>'5a. Principal -1555'!I35</f>
        <v>-125222.83000000002</v>
      </c>
      <c r="C33" s="62">
        <v>0.0335</v>
      </c>
      <c r="D33" s="63">
        <f t="shared" si="0"/>
        <v>-349.5804004166667</v>
      </c>
      <c r="E33" s="60">
        <f t="shared" si="3"/>
        <v>-10943.005921916669</v>
      </c>
      <c r="F33" s="61">
        <f>'5b. Principal -1556'!B35</f>
        <v>0</v>
      </c>
      <c r="G33" s="62">
        <f t="shared" si="2"/>
        <v>0.0335</v>
      </c>
      <c r="H33" s="63">
        <f t="shared" si="1"/>
        <v>0</v>
      </c>
      <c r="I33" s="58">
        <f t="shared" si="4"/>
        <v>0</v>
      </c>
    </row>
    <row r="34" spans="1:9" ht="15">
      <c r="A34" s="57">
        <v>39692</v>
      </c>
      <c r="B34" s="58">
        <f>'5a. Principal -1555'!I36</f>
        <v>-107786.88</v>
      </c>
      <c r="C34" s="62">
        <v>0.0335</v>
      </c>
      <c r="D34" s="63">
        <f t="shared" si="0"/>
        <v>-300.90504000000004</v>
      </c>
      <c r="E34" s="60">
        <f t="shared" si="3"/>
        <v>-11243.910961916668</v>
      </c>
      <c r="F34" s="61">
        <f>'5b. Principal -1556'!B36</f>
        <v>0</v>
      </c>
      <c r="G34" s="62">
        <f t="shared" si="2"/>
        <v>0.0335</v>
      </c>
      <c r="H34" s="63">
        <f t="shared" si="1"/>
        <v>0</v>
      </c>
      <c r="I34" s="58">
        <f t="shared" si="4"/>
        <v>0</v>
      </c>
    </row>
    <row r="35" spans="1:9" ht="15">
      <c r="A35" s="57">
        <v>39722</v>
      </c>
      <c r="B35" s="58">
        <f>'5a. Principal -1555'!I37</f>
        <v>-101520.82</v>
      </c>
      <c r="C35" s="62">
        <v>0.0335</v>
      </c>
      <c r="D35" s="63">
        <f t="shared" si="0"/>
        <v>-283.4122891666667</v>
      </c>
      <c r="E35" s="60">
        <f t="shared" si="3"/>
        <v>-11527.323251083335</v>
      </c>
      <c r="F35" s="61">
        <f>'5b. Principal -1556'!B37</f>
        <v>0</v>
      </c>
      <c r="G35" s="62">
        <f t="shared" si="2"/>
        <v>0.0335</v>
      </c>
      <c r="H35" s="63">
        <f t="shared" si="1"/>
        <v>0</v>
      </c>
      <c r="I35" s="58">
        <f t="shared" si="4"/>
        <v>0</v>
      </c>
    </row>
    <row r="36" spans="1:9" ht="15">
      <c r="A36" s="57">
        <v>39753</v>
      </c>
      <c r="B36" s="58">
        <f>'5a. Principal -1555'!I38</f>
        <v>-89284.86000000002</v>
      </c>
      <c r="C36" s="62">
        <v>0.0335</v>
      </c>
      <c r="D36" s="63">
        <f t="shared" si="0"/>
        <v>-249.25356750000006</v>
      </c>
      <c r="E36" s="60">
        <f t="shared" si="3"/>
        <v>-11776.576818583335</v>
      </c>
      <c r="F36" s="61">
        <f>'5b. Principal -1556'!B38</f>
        <v>0</v>
      </c>
      <c r="G36" s="62">
        <f t="shared" si="2"/>
        <v>0.0335</v>
      </c>
      <c r="H36" s="63">
        <f t="shared" si="1"/>
        <v>0</v>
      </c>
      <c r="I36" s="58">
        <f t="shared" si="4"/>
        <v>0</v>
      </c>
    </row>
    <row r="37" spans="1:9" ht="15">
      <c r="A37" s="57">
        <v>39783</v>
      </c>
      <c r="B37" s="58">
        <f>'5a. Principal -1555'!I39</f>
        <v>-86247.04000000001</v>
      </c>
      <c r="C37" s="62">
        <v>0.0335</v>
      </c>
      <c r="D37" s="63">
        <f t="shared" si="0"/>
        <v>-240.7729866666667</v>
      </c>
      <c r="E37" s="60">
        <f t="shared" si="3"/>
        <v>-12017.349805250002</v>
      </c>
      <c r="F37" s="61">
        <f>'5b. Principal -1556'!B39</f>
        <v>0</v>
      </c>
      <c r="G37" s="62">
        <f t="shared" si="2"/>
        <v>0.0335</v>
      </c>
      <c r="H37" s="63">
        <f t="shared" si="1"/>
        <v>0</v>
      </c>
      <c r="I37" s="58">
        <f t="shared" si="4"/>
        <v>0</v>
      </c>
    </row>
    <row r="38" spans="1:9" ht="15">
      <c r="A38" s="57">
        <v>39814</v>
      </c>
      <c r="B38" s="58">
        <f>'5a. Principal -1555'!I40</f>
        <v>267339.85</v>
      </c>
      <c r="C38" s="62">
        <v>0.0245</v>
      </c>
      <c r="D38" s="63">
        <f aca="true" t="shared" si="5" ref="D38:D69">B38*C38/12</f>
        <v>545.8188604166667</v>
      </c>
      <c r="E38" s="60">
        <f t="shared" si="3"/>
        <v>-11471.530944833336</v>
      </c>
      <c r="F38" s="61">
        <f>'5b. Principal -1556'!B40</f>
        <v>0</v>
      </c>
      <c r="G38" s="62">
        <f t="shared" si="2"/>
        <v>0.0245</v>
      </c>
      <c r="H38" s="63">
        <f aca="true" t="shared" si="6" ref="H38:H69">F38*G38/12</f>
        <v>0</v>
      </c>
      <c r="I38" s="58">
        <f t="shared" si="4"/>
        <v>0</v>
      </c>
    </row>
    <row r="39" spans="1:9" ht="15">
      <c r="A39" s="57">
        <v>39845</v>
      </c>
      <c r="B39" s="58">
        <f>'5a. Principal -1555'!I41</f>
        <v>271479.23</v>
      </c>
      <c r="C39" s="62">
        <v>0.0245</v>
      </c>
      <c r="D39" s="63">
        <f t="shared" si="5"/>
        <v>554.2700945833334</v>
      </c>
      <c r="E39" s="60">
        <f t="shared" si="3"/>
        <v>-10917.260850250002</v>
      </c>
      <c r="F39" s="61">
        <f>'5b. Principal -1556'!B41</f>
        <v>0</v>
      </c>
      <c r="G39" s="62">
        <f t="shared" si="2"/>
        <v>0.0245</v>
      </c>
      <c r="H39" s="63">
        <f t="shared" si="6"/>
        <v>0</v>
      </c>
      <c r="I39" s="58">
        <f t="shared" si="4"/>
        <v>0</v>
      </c>
    </row>
    <row r="40" spans="1:9" ht="15">
      <c r="A40" s="57">
        <v>39873</v>
      </c>
      <c r="B40" s="58">
        <f>'5a. Principal -1555'!I42</f>
        <v>286444.39</v>
      </c>
      <c r="C40" s="62">
        <v>0.0245</v>
      </c>
      <c r="D40" s="63">
        <f t="shared" si="5"/>
        <v>584.8239629166667</v>
      </c>
      <c r="E40" s="60">
        <f t="shared" si="3"/>
        <v>-10332.436887333335</v>
      </c>
      <c r="F40" s="61">
        <f>'5b. Principal -1556'!B42</f>
        <v>0</v>
      </c>
      <c r="G40" s="62">
        <f t="shared" si="2"/>
        <v>0.0245</v>
      </c>
      <c r="H40" s="63">
        <f t="shared" si="6"/>
        <v>0</v>
      </c>
      <c r="I40" s="58">
        <f t="shared" si="4"/>
        <v>0</v>
      </c>
    </row>
    <row r="41" spans="1:9" ht="15">
      <c r="A41" s="57">
        <v>39904</v>
      </c>
      <c r="B41" s="58">
        <f>'5a. Principal -1555'!I43</f>
        <v>288351.79000000004</v>
      </c>
      <c r="C41" s="62">
        <v>0.01</v>
      </c>
      <c r="D41" s="63">
        <f t="shared" si="5"/>
        <v>240.29315833333337</v>
      </c>
      <c r="E41" s="60">
        <f t="shared" si="3"/>
        <v>-10092.143729000001</v>
      </c>
      <c r="F41" s="61">
        <f>'5b. Principal -1556'!B43</f>
        <v>0</v>
      </c>
      <c r="G41" s="62">
        <f t="shared" si="2"/>
        <v>0.01</v>
      </c>
      <c r="H41" s="63">
        <f t="shared" si="6"/>
        <v>0</v>
      </c>
      <c r="I41" s="58">
        <f t="shared" si="4"/>
        <v>0</v>
      </c>
    </row>
    <row r="42" spans="1:9" ht="15">
      <c r="A42" s="57">
        <v>39934</v>
      </c>
      <c r="B42" s="58">
        <f>'5a. Principal -1555'!I44</f>
        <v>310251.20000000007</v>
      </c>
      <c r="C42" s="62">
        <v>0.01</v>
      </c>
      <c r="D42" s="63">
        <f t="shared" si="5"/>
        <v>258.5426666666667</v>
      </c>
      <c r="E42" s="60">
        <f aca="true" t="shared" si="7" ref="E42:E71">D42+E41</f>
        <v>-9833.601062333335</v>
      </c>
      <c r="F42" s="61">
        <f>'5b. Principal -1556'!B44</f>
        <v>0</v>
      </c>
      <c r="G42" s="62">
        <f t="shared" si="2"/>
        <v>0.01</v>
      </c>
      <c r="H42" s="63">
        <f t="shared" si="6"/>
        <v>0</v>
      </c>
      <c r="I42" s="58">
        <f t="shared" si="4"/>
        <v>0</v>
      </c>
    </row>
    <row r="43" spans="1:9" ht="15">
      <c r="A43" s="57">
        <v>39965</v>
      </c>
      <c r="B43" s="58">
        <f>'5a. Principal -1555'!I45</f>
        <v>279626.6300000001</v>
      </c>
      <c r="C43" s="62">
        <v>0.01</v>
      </c>
      <c r="D43" s="63">
        <f t="shared" si="5"/>
        <v>233.02219166666677</v>
      </c>
      <c r="E43" s="60">
        <f t="shared" si="7"/>
        <v>-9600.578870666668</v>
      </c>
      <c r="F43" s="61">
        <f>'5b. Principal -1556'!B45</f>
        <v>0</v>
      </c>
      <c r="G43" s="62">
        <f t="shared" si="2"/>
        <v>0.01</v>
      </c>
      <c r="H43" s="63">
        <f t="shared" si="6"/>
        <v>0</v>
      </c>
      <c r="I43" s="58">
        <f t="shared" si="4"/>
        <v>0</v>
      </c>
    </row>
    <row r="44" spans="1:9" ht="15">
      <c r="A44" s="57">
        <v>39995</v>
      </c>
      <c r="B44" s="58">
        <f>'5a. Principal -1555'!I46</f>
        <v>400434.7400000001</v>
      </c>
      <c r="C44" s="62">
        <v>0.0055</v>
      </c>
      <c r="D44" s="63">
        <f t="shared" si="5"/>
        <v>183.53258916666672</v>
      </c>
      <c r="E44" s="60">
        <f t="shared" si="7"/>
        <v>-9417.046281500001</v>
      </c>
      <c r="F44" s="61">
        <f>'5b. Principal -1556'!B46</f>
        <v>0</v>
      </c>
      <c r="G44" s="62">
        <f t="shared" si="2"/>
        <v>0.0055</v>
      </c>
      <c r="H44" s="63">
        <f t="shared" si="6"/>
        <v>0</v>
      </c>
      <c r="I44" s="58">
        <f t="shared" si="4"/>
        <v>0</v>
      </c>
    </row>
    <row r="45" spans="1:9" ht="15">
      <c r="A45" s="57">
        <v>40026</v>
      </c>
      <c r="B45" s="58">
        <f>'5a. Principal -1555'!I47</f>
        <v>387449.3400000001</v>
      </c>
      <c r="C45" s="62">
        <v>0.0055</v>
      </c>
      <c r="D45" s="63">
        <f t="shared" si="5"/>
        <v>177.5809475</v>
      </c>
      <c r="E45" s="60">
        <f t="shared" si="7"/>
        <v>-9239.465334</v>
      </c>
      <c r="F45" s="61">
        <f>'5b. Principal -1556'!B47</f>
        <v>0</v>
      </c>
      <c r="G45" s="62">
        <f t="shared" si="2"/>
        <v>0.0055</v>
      </c>
      <c r="H45" s="63">
        <f t="shared" si="6"/>
        <v>0</v>
      </c>
      <c r="I45" s="58">
        <f t="shared" si="4"/>
        <v>0</v>
      </c>
    </row>
    <row r="46" spans="1:9" ht="15">
      <c r="A46" s="57">
        <v>40057</v>
      </c>
      <c r="B46" s="58">
        <f>'5a. Principal -1555'!I48</f>
        <v>507634.67000000016</v>
      </c>
      <c r="C46" s="62">
        <v>0.0055</v>
      </c>
      <c r="D46" s="63">
        <f t="shared" si="5"/>
        <v>232.6658904166667</v>
      </c>
      <c r="E46" s="60">
        <f t="shared" si="7"/>
        <v>-9006.799443583333</v>
      </c>
      <c r="F46" s="61">
        <f>'5b. Principal -1556'!B48</f>
        <v>0</v>
      </c>
      <c r="G46" s="62">
        <f t="shared" si="2"/>
        <v>0.0055</v>
      </c>
      <c r="H46" s="63">
        <f t="shared" si="6"/>
        <v>0</v>
      </c>
      <c r="I46" s="58">
        <f t="shared" si="4"/>
        <v>0</v>
      </c>
    </row>
    <row r="47" spans="1:9" ht="15">
      <c r="A47" s="57">
        <v>40087</v>
      </c>
      <c r="B47" s="58">
        <f>'5a. Principal -1555'!I49</f>
        <v>515590.66000000015</v>
      </c>
      <c r="C47" s="62">
        <v>0.0055</v>
      </c>
      <c r="D47" s="63">
        <f t="shared" si="5"/>
        <v>236.31238583333337</v>
      </c>
      <c r="E47" s="60">
        <f t="shared" si="7"/>
        <v>-8770.48705775</v>
      </c>
      <c r="F47" s="61">
        <f>'5b. Principal -1556'!B49</f>
        <v>0</v>
      </c>
      <c r="G47" s="62">
        <f t="shared" si="2"/>
        <v>0.0055</v>
      </c>
      <c r="H47" s="63">
        <f t="shared" si="6"/>
        <v>0</v>
      </c>
      <c r="I47" s="58">
        <f t="shared" si="4"/>
        <v>0</v>
      </c>
    </row>
    <row r="48" spans="1:9" ht="15">
      <c r="A48" s="57">
        <v>40118</v>
      </c>
      <c r="B48" s="58">
        <f>'5a. Principal -1555'!I50</f>
        <v>540920.0200000003</v>
      </c>
      <c r="C48" s="62">
        <v>0.0055</v>
      </c>
      <c r="D48" s="63">
        <f t="shared" si="5"/>
        <v>247.92167583333344</v>
      </c>
      <c r="E48" s="60">
        <f t="shared" si="7"/>
        <v>-8522.565381916667</v>
      </c>
      <c r="F48" s="61">
        <f>'5b. Principal -1556'!B50</f>
        <v>0</v>
      </c>
      <c r="G48" s="62">
        <f t="shared" si="2"/>
        <v>0.0055</v>
      </c>
      <c r="H48" s="63">
        <f t="shared" si="6"/>
        <v>0</v>
      </c>
      <c r="I48" s="58">
        <f t="shared" si="4"/>
        <v>0</v>
      </c>
    </row>
    <row r="49" spans="1:9" ht="15">
      <c r="A49" s="57">
        <v>40148</v>
      </c>
      <c r="B49" s="58">
        <f>'5a. Principal -1555'!I51</f>
        <v>514187.37000000034</v>
      </c>
      <c r="C49" s="62">
        <v>0.0055</v>
      </c>
      <c r="D49" s="63">
        <f t="shared" si="5"/>
        <v>235.66921125000013</v>
      </c>
      <c r="E49" s="60">
        <f t="shared" si="7"/>
        <v>-8286.896170666667</v>
      </c>
      <c r="F49" s="61">
        <f>'5b. Principal -1556'!B51</f>
        <v>0</v>
      </c>
      <c r="G49" s="62">
        <f t="shared" si="2"/>
        <v>0.0055</v>
      </c>
      <c r="H49" s="63">
        <f t="shared" si="6"/>
        <v>0</v>
      </c>
      <c r="I49" s="58">
        <f t="shared" si="4"/>
        <v>0</v>
      </c>
    </row>
    <row r="50" spans="1:9" ht="15">
      <c r="A50" s="57">
        <v>40179</v>
      </c>
      <c r="B50" s="58">
        <f>'5a. Principal -1555'!I52</f>
        <v>381581.11000000034</v>
      </c>
      <c r="C50" s="62">
        <v>0.0055</v>
      </c>
      <c r="D50" s="63">
        <f t="shared" si="5"/>
        <v>174.89134208333348</v>
      </c>
      <c r="E50" s="60">
        <f t="shared" si="7"/>
        <v>-8112.004828583334</v>
      </c>
      <c r="F50" s="61">
        <f>'5b. Principal -1556'!B52</f>
        <v>193016.58000000002</v>
      </c>
      <c r="G50" s="62">
        <f t="shared" si="2"/>
        <v>0.0055</v>
      </c>
      <c r="H50" s="63">
        <f t="shared" si="6"/>
        <v>88.46593250000001</v>
      </c>
      <c r="I50" s="58">
        <f t="shared" si="4"/>
        <v>88.46593250000001</v>
      </c>
    </row>
    <row r="51" spans="1:9" ht="15">
      <c r="A51" s="57">
        <v>40210</v>
      </c>
      <c r="B51" s="58">
        <f>'5a. Principal -1555'!I53</f>
        <v>489910.3500000003</v>
      </c>
      <c r="C51" s="62">
        <v>0.0055</v>
      </c>
      <c r="D51" s="63">
        <f t="shared" si="5"/>
        <v>224.54224375000013</v>
      </c>
      <c r="E51" s="60">
        <f t="shared" si="7"/>
        <v>-7887.4625848333335</v>
      </c>
      <c r="F51" s="61">
        <f>'5b. Principal -1556'!B53</f>
        <v>193703.98</v>
      </c>
      <c r="G51" s="62">
        <f t="shared" si="2"/>
        <v>0.0055</v>
      </c>
      <c r="H51" s="63">
        <f t="shared" si="6"/>
        <v>88.78099083333332</v>
      </c>
      <c r="I51" s="58">
        <f t="shared" si="4"/>
        <v>177.2469233333333</v>
      </c>
    </row>
    <row r="52" spans="1:9" ht="15">
      <c r="A52" s="57">
        <v>40238</v>
      </c>
      <c r="B52" s="58">
        <f>'5a. Principal -1555'!I54</f>
        <v>512660.6800000004</v>
      </c>
      <c r="C52" s="62">
        <v>0.0055</v>
      </c>
      <c r="D52" s="63">
        <f t="shared" si="5"/>
        <v>234.9694783333335</v>
      </c>
      <c r="E52" s="60">
        <f t="shared" si="7"/>
        <v>-7652.4931065</v>
      </c>
      <c r="F52" s="61">
        <f>'5b. Principal -1556'!B54</f>
        <v>197891.22</v>
      </c>
      <c r="G52" s="62">
        <f t="shared" si="2"/>
        <v>0.0055</v>
      </c>
      <c r="H52" s="63">
        <f t="shared" si="6"/>
        <v>90.70014249999998</v>
      </c>
      <c r="I52" s="58">
        <f t="shared" si="4"/>
        <v>267.9470658333333</v>
      </c>
    </row>
    <row r="53" spans="1:9" ht="15">
      <c r="A53" s="57">
        <v>40269</v>
      </c>
      <c r="B53" s="58">
        <f>'5a. Principal -1555'!I55</f>
        <v>493371.9600000004</v>
      </c>
      <c r="C53" s="62">
        <v>0.0055</v>
      </c>
      <c r="D53" s="63">
        <f t="shared" si="5"/>
        <v>226.12881500000017</v>
      </c>
      <c r="E53" s="60">
        <f t="shared" si="7"/>
        <v>-7426.3642915</v>
      </c>
      <c r="F53" s="61">
        <f>'5b. Principal -1556'!B55</f>
        <v>237139.14</v>
      </c>
      <c r="G53" s="62">
        <f t="shared" si="2"/>
        <v>0.0055</v>
      </c>
      <c r="H53" s="63">
        <f t="shared" si="6"/>
        <v>108.68877250000001</v>
      </c>
      <c r="I53" s="58">
        <f t="shared" si="4"/>
        <v>376.6358383333333</v>
      </c>
    </row>
    <row r="54" spans="1:9" ht="15">
      <c r="A54" s="57">
        <v>40299</v>
      </c>
      <c r="B54" s="58">
        <f>'5a. Principal -1555'!I56</f>
        <v>565342.9000000004</v>
      </c>
      <c r="C54" s="62">
        <v>0.0055</v>
      </c>
      <c r="D54" s="63">
        <f t="shared" si="5"/>
        <v>259.11549583333345</v>
      </c>
      <c r="E54" s="60">
        <f t="shared" si="7"/>
        <v>-7167.248795666666</v>
      </c>
      <c r="F54" s="61">
        <f>'5b. Principal -1556'!B56</f>
        <v>241891.17</v>
      </c>
      <c r="G54" s="62">
        <f t="shared" si="2"/>
        <v>0.0055</v>
      </c>
      <c r="H54" s="63">
        <f t="shared" si="6"/>
        <v>110.86678625</v>
      </c>
      <c r="I54" s="58">
        <f t="shared" si="4"/>
        <v>487.50262458333333</v>
      </c>
    </row>
    <row r="55" spans="1:9" ht="15">
      <c r="A55" s="57">
        <v>40330</v>
      </c>
      <c r="B55" s="58">
        <f>'5a. Principal -1555'!I57</f>
        <v>522645.4300000004</v>
      </c>
      <c r="C55" s="62">
        <v>0.0055</v>
      </c>
      <c r="D55" s="63">
        <f t="shared" si="5"/>
        <v>239.54582208333352</v>
      </c>
      <c r="E55" s="60">
        <f t="shared" si="7"/>
        <v>-6927.702973583333</v>
      </c>
      <c r="F55" s="61">
        <f>'5b. Principal -1556'!B57</f>
        <v>269487.17000000004</v>
      </c>
      <c r="G55" s="62">
        <f t="shared" si="2"/>
        <v>0.0055</v>
      </c>
      <c r="H55" s="63">
        <f t="shared" si="6"/>
        <v>123.51495291666669</v>
      </c>
      <c r="I55" s="58">
        <f t="shared" si="4"/>
        <v>611.0175775</v>
      </c>
    </row>
    <row r="56" spans="1:9" ht="15">
      <c r="A56" s="57">
        <v>40360</v>
      </c>
      <c r="B56" s="58">
        <f>'5a. Principal -1555'!I58</f>
        <v>782251.4500000004</v>
      </c>
      <c r="C56" s="62">
        <v>0.0089</v>
      </c>
      <c r="D56" s="63">
        <f t="shared" si="5"/>
        <v>580.169825416667</v>
      </c>
      <c r="E56" s="60">
        <f t="shared" si="7"/>
        <v>-6347.533148166666</v>
      </c>
      <c r="F56" s="61">
        <f>'5b. Principal -1556'!B58</f>
        <v>302926.13000000006</v>
      </c>
      <c r="G56" s="62">
        <f t="shared" si="2"/>
        <v>0.0089</v>
      </c>
      <c r="H56" s="63">
        <f t="shared" si="6"/>
        <v>224.67021308333338</v>
      </c>
      <c r="I56" s="58">
        <f t="shared" si="4"/>
        <v>835.6877905833334</v>
      </c>
    </row>
    <row r="57" spans="1:9" ht="15">
      <c r="A57" s="57">
        <v>40391</v>
      </c>
      <c r="B57" s="58">
        <f>'5a. Principal -1555'!I59</f>
        <v>752677.3500000003</v>
      </c>
      <c r="C57" s="62">
        <f>+C56</f>
        <v>0.0089</v>
      </c>
      <c r="D57" s="63">
        <f t="shared" si="5"/>
        <v>558.2357012500003</v>
      </c>
      <c r="E57" s="60">
        <f t="shared" si="7"/>
        <v>-5789.297446916666</v>
      </c>
      <c r="F57" s="61">
        <f>'5b. Principal -1556'!B59</f>
        <v>304615.3400000001</v>
      </c>
      <c r="G57" s="62">
        <f t="shared" si="2"/>
        <v>0.0089</v>
      </c>
      <c r="H57" s="63">
        <f t="shared" si="6"/>
        <v>225.9230438333334</v>
      </c>
      <c r="I57" s="58">
        <f t="shared" si="4"/>
        <v>1061.6108344166669</v>
      </c>
    </row>
    <row r="58" spans="1:9" ht="15">
      <c r="A58" s="57">
        <v>40422</v>
      </c>
      <c r="B58" s="58">
        <f>'5a. Principal -1555'!I60</f>
        <v>1627346.4500000002</v>
      </c>
      <c r="C58" s="62">
        <f aca="true" t="shared" si="8" ref="C58:C71">+C57</f>
        <v>0.0089</v>
      </c>
      <c r="D58" s="63">
        <f t="shared" si="5"/>
        <v>1206.9486170833336</v>
      </c>
      <c r="E58" s="60">
        <f t="shared" si="7"/>
        <v>-4582.348829833332</v>
      </c>
      <c r="F58" s="61">
        <f>'5b. Principal -1556'!B60</f>
        <v>536852.8</v>
      </c>
      <c r="G58" s="62">
        <f t="shared" si="2"/>
        <v>0.0089</v>
      </c>
      <c r="H58" s="63">
        <f t="shared" si="6"/>
        <v>398.16582666666665</v>
      </c>
      <c r="I58" s="58">
        <f t="shared" si="4"/>
        <v>1459.7766610833335</v>
      </c>
    </row>
    <row r="59" spans="1:9" ht="15">
      <c r="A59" s="57">
        <v>40452</v>
      </c>
      <c r="B59" s="58">
        <f>'5a. Principal -1555'!I61</f>
        <v>2173949.4000000004</v>
      </c>
      <c r="C59" s="62">
        <v>0.012</v>
      </c>
      <c r="D59" s="63">
        <f t="shared" si="5"/>
        <v>2173.9494000000004</v>
      </c>
      <c r="E59" s="60">
        <f t="shared" si="7"/>
        <v>-2408.399429833332</v>
      </c>
      <c r="F59" s="61">
        <f>'5b. Principal -1556'!B61</f>
        <v>588389.87</v>
      </c>
      <c r="G59" s="62">
        <f t="shared" si="2"/>
        <v>0.012</v>
      </c>
      <c r="H59" s="63">
        <f t="shared" si="6"/>
        <v>588.38987</v>
      </c>
      <c r="I59" s="58">
        <f t="shared" si="4"/>
        <v>2048.166531083333</v>
      </c>
    </row>
    <row r="60" spans="1:9" ht="15">
      <c r="A60" s="57">
        <v>40483</v>
      </c>
      <c r="B60" s="58">
        <f>'5a. Principal -1555'!I62</f>
        <v>2706342.8500000006</v>
      </c>
      <c r="C60" s="62">
        <f t="shared" si="8"/>
        <v>0.012</v>
      </c>
      <c r="D60" s="63">
        <f t="shared" si="5"/>
        <v>2706.3428500000005</v>
      </c>
      <c r="E60" s="60">
        <f t="shared" si="7"/>
        <v>297.9434201666686</v>
      </c>
      <c r="F60" s="61">
        <f>'5b. Principal -1556'!B62</f>
        <v>629654.35</v>
      </c>
      <c r="G60" s="62">
        <f t="shared" si="2"/>
        <v>0.012</v>
      </c>
      <c r="H60" s="63">
        <f t="shared" si="6"/>
        <v>629.65435</v>
      </c>
      <c r="I60" s="58">
        <f t="shared" si="4"/>
        <v>2677.820881083333</v>
      </c>
    </row>
    <row r="61" spans="1:9" ht="15">
      <c r="A61" s="57">
        <v>40513</v>
      </c>
      <c r="B61" s="58">
        <f>'5a. Principal -1555'!I63</f>
        <v>2974192.7600000007</v>
      </c>
      <c r="C61" s="62">
        <f t="shared" si="8"/>
        <v>0.012</v>
      </c>
      <c r="D61" s="63">
        <f t="shared" si="5"/>
        <v>2974.1927600000004</v>
      </c>
      <c r="E61" s="60">
        <f t="shared" si="7"/>
        <v>3272.136180166669</v>
      </c>
      <c r="F61" s="61">
        <f>'5b. Principal -1556'!B63</f>
        <v>675738.77</v>
      </c>
      <c r="G61" s="62">
        <f t="shared" si="2"/>
        <v>0.012</v>
      </c>
      <c r="H61" s="63">
        <f t="shared" si="6"/>
        <v>675.73877</v>
      </c>
      <c r="I61" s="58">
        <f t="shared" si="4"/>
        <v>3353.559651083333</v>
      </c>
    </row>
    <row r="62" spans="1:9" ht="15">
      <c r="A62" s="57">
        <v>40544</v>
      </c>
      <c r="B62" s="58">
        <f>'5a. Principal -1555'!I64</f>
        <v>3095180.590000001</v>
      </c>
      <c r="C62" s="62">
        <v>0.0147</v>
      </c>
      <c r="D62" s="63">
        <f t="shared" si="5"/>
        <v>3791.596222750001</v>
      </c>
      <c r="E62" s="60">
        <f t="shared" si="7"/>
        <v>7063.73240291667</v>
      </c>
      <c r="F62" s="61">
        <f>'5b. Principal -1556'!B64</f>
        <v>691808.59</v>
      </c>
      <c r="G62" s="62">
        <f t="shared" si="2"/>
        <v>0.0147</v>
      </c>
      <c r="H62" s="63">
        <f t="shared" si="6"/>
        <v>847.4655227499999</v>
      </c>
      <c r="I62" s="58">
        <f t="shared" si="4"/>
        <v>4201.025173833333</v>
      </c>
    </row>
    <row r="63" spans="1:9" ht="15">
      <c r="A63" s="57">
        <v>40575</v>
      </c>
      <c r="B63" s="58">
        <f>'5a. Principal -1555'!I65</f>
        <v>3054762.160000001</v>
      </c>
      <c r="C63" s="62">
        <f t="shared" si="8"/>
        <v>0.0147</v>
      </c>
      <c r="D63" s="63">
        <f t="shared" si="5"/>
        <v>3742.083646000001</v>
      </c>
      <c r="E63" s="60">
        <f t="shared" si="7"/>
        <v>10805.816048916671</v>
      </c>
      <c r="F63" s="61">
        <f>'5b. Principal -1556'!B65</f>
        <v>706869.98</v>
      </c>
      <c r="G63" s="62">
        <f t="shared" si="2"/>
        <v>0.0147</v>
      </c>
      <c r="H63" s="63">
        <f t="shared" si="6"/>
        <v>865.9157255</v>
      </c>
      <c r="I63" s="58">
        <f t="shared" si="4"/>
        <v>5066.940899333333</v>
      </c>
    </row>
    <row r="64" spans="1:9" ht="15">
      <c r="A64" s="57">
        <v>40603</v>
      </c>
      <c r="B64" s="58">
        <f>'5a. Principal -1555'!I66</f>
        <v>2999964.6800000006</v>
      </c>
      <c r="C64" s="62">
        <f t="shared" si="8"/>
        <v>0.0147</v>
      </c>
      <c r="D64" s="63">
        <f t="shared" si="5"/>
        <v>3674.956733000001</v>
      </c>
      <c r="E64" s="60">
        <f t="shared" si="7"/>
        <v>14480.772781916672</v>
      </c>
      <c r="F64" s="61">
        <f>'5b. Principal -1556'!B66</f>
        <v>721570.6699999999</v>
      </c>
      <c r="G64" s="62">
        <f t="shared" si="2"/>
        <v>0.0147</v>
      </c>
      <c r="H64" s="63">
        <f t="shared" si="6"/>
        <v>883.9240707499998</v>
      </c>
      <c r="I64" s="58">
        <f t="shared" si="4"/>
        <v>5950.864970083332</v>
      </c>
    </row>
    <row r="65" spans="1:9" ht="15">
      <c r="A65" s="57">
        <v>40634</v>
      </c>
      <c r="B65" s="58">
        <f>'5a. Principal -1555'!I67</f>
        <v>3214108.9900000007</v>
      </c>
      <c r="C65" s="62">
        <f t="shared" si="8"/>
        <v>0.0147</v>
      </c>
      <c r="D65" s="63">
        <f t="shared" si="5"/>
        <v>3937.2835127500007</v>
      </c>
      <c r="E65" s="60">
        <f t="shared" si="7"/>
        <v>18418.056294666672</v>
      </c>
      <c r="F65" s="61">
        <f>'5b. Principal -1556'!B67</f>
        <v>736229.71</v>
      </c>
      <c r="G65" s="62">
        <f t="shared" si="2"/>
        <v>0.0147</v>
      </c>
      <c r="H65" s="63">
        <f t="shared" si="6"/>
        <v>901.8813947499999</v>
      </c>
      <c r="I65" s="58">
        <f t="shared" si="4"/>
        <v>6852.746364833332</v>
      </c>
    </row>
    <row r="66" spans="1:9" ht="15">
      <c r="A66" s="57">
        <v>40664</v>
      </c>
      <c r="B66" s="58">
        <f>'5a. Principal -1555'!I68</f>
        <v>3181477.0800000005</v>
      </c>
      <c r="C66" s="62">
        <f t="shared" si="8"/>
        <v>0.0147</v>
      </c>
      <c r="D66" s="63">
        <f t="shared" si="5"/>
        <v>3897.3094230000006</v>
      </c>
      <c r="E66" s="60">
        <f t="shared" si="7"/>
        <v>22315.365717666675</v>
      </c>
      <c r="F66" s="61">
        <f>'5b. Principal -1556'!B68</f>
        <v>750901.49</v>
      </c>
      <c r="G66" s="62">
        <f t="shared" si="2"/>
        <v>0.0147</v>
      </c>
      <c r="H66" s="63">
        <f t="shared" si="6"/>
        <v>919.85432525</v>
      </c>
      <c r="I66" s="58">
        <f t="shared" si="4"/>
        <v>7772.600690083333</v>
      </c>
    </row>
    <row r="67" spans="1:9" ht="15">
      <c r="A67" s="57">
        <v>40695</v>
      </c>
      <c r="B67" s="58">
        <f>'5a. Principal -1555'!I69</f>
        <v>3123863.1800000006</v>
      </c>
      <c r="C67" s="62">
        <f t="shared" si="8"/>
        <v>0.0147</v>
      </c>
      <c r="D67" s="63">
        <f t="shared" si="5"/>
        <v>3826.7323955000006</v>
      </c>
      <c r="E67" s="60">
        <f t="shared" si="7"/>
        <v>26142.098113166674</v>
      </c>
      <c r="F67" s="61">
        <f>'5b. Principal -1556'!B69</f>
        <v>794045.4299999999</v>
      </c>
      <c r="G67" s="62">
        <f t="shared" si="2"/>
        <v>0.0147</v>
      </c>
      <c r="H67" s="63">
        <f t="shared" si="6"/>
        <v>972.7056517499999</v>
      </c>
      <c r="I67" s="58">
        <f t="shared" si="4"/>
        <v>8745.306341833333</v>
      </c>
    </row>
    <row r="68" spans="1:9" ht="15">
      <c r="A68" s="57">
        <v>40725</v>
      </c>
      <c r="B68" s="58">
        <f>'5a. Principal -1555'!I70</f>
        <v>3163467.700000001</v>
      </c>
      <c r="C68" s="62">
        <f t="shared" si="8"/>
        <v>0.0147</v>
      </c>
      <c r="D68" s="63">
        <f t="shared" si="5"/>
        <v>3875.247932500001</v>
      </c>
      <c r="E68" s="60">
        <f t="shared" si="7"/>
        <v>30017.346045666676</v>
      </c>
      <c r="F68" s="61">
        <f>'5b. Principal -1556'!B70</f>
        <v>808897.8799999999</v>
      </c>
      <c r="G68" s="62">
        <f t="shared" si="2"/>
        <v>0.0147</v>
      </c>
      <c r="H68" s="63">
        <f t="shared" si="6"/>
        <v>990.8999029999999</v>
      </c>
      <c r="I68" s="58">
        <f t="shared" si="4"/>
        <v>9736.206244833333</v>
      </c>
    </row>
    <row r="69" spans="1:9" ht="15">
      <c r="A69" s="57">
        <v>40756</v>
      </c>
      <c r="B69" s="58">
        <f>'5a. Principal -1555'!I71</f>
        <v>3359899.020000001</v>
      </c>
      <c r="C69" s="62">
        <f t="shared" si="8"/>
        <v>0.0147</v>
      </c>
      <c r="D69" s="63">
        <f t="shared" si="5"/>
        <v>4115.876299500001</v>
      </c>
      <c r="E69" s="60">
        <f t="shared" si="7"/>
        <v>34133.22234516668</v>
      </c>
      <c r="F69" s="61">
        <f>'5b. Principal -1556'!B71</f>
        <v>830766.3999999999</v>
      </c>
      <c r="G69" s="62">
        <f t="shared" si="2"/>
        <v>0.0147</v>
      </c>
      <c r="H69" s="63">
        <f t="shared" si="6"/>
        <v>1017.6888399999998</v>
      </c>
      <c r="I69" s="58">
        <f t="shared" si="4"/>
        <v>10753.895084833333</v>
      </c>
    </row>
    <row r="70" spans="1:9" ht="15">
      <c r="A70" s="57">
        <v>40787</v>
      </c>
      <c r="B70" s="58">
        <f>'5a. Principal -1555'!I72</f>
        <v>3312967.020000001</v>
      </c>
      <c r="C70" s="62">
        <f t="shared" si="8"/>
        <v>0.0147</v>
      </c>
      <c r="D70" s="63">
        <f>B70*C70/12</f>
        <v>4058.384599500001</v>
      </c>
      <c r="E70" s="60">
        <f t="shared" si="7"/>
        <v>38191.60694466668</v>
      </c>
      <c r="F70" s="61">
        <f>'5b. Principal -1556'!B72</f>
        <v>943963.3999999999</v>
      </c>
      <c r="G70" s="62">
        <f t="shared" si="2"/>
        <v>0.0147</v>
      </c>
      <c r="H70" s="63">
        <f>F70*G70/12</f>
        <v>1156.3551649999997</v>
      </c>
      <c r="I70" s="58">
        <f t="shared" si="4"/>
        <v>11910.250249833332</v>
      </c>
    </row>
    <row r="71" spans="1:9" ht="15">
      <c r="A71" s="57">
        <v>40817</v>
      </c>
      <c r="B71" s="58">
        <f>'5a. Principal -1555'!I73</f>
        <v>3266035.020000001</v>
      </c>
      <c r="C71" s="62">
        <f t="shared" si="8"/>
        <v>0.0147</v>
      </c>
      <c r="D71" s="63">
        <f>B71*C71/12</f>
        <v>4000.892899500001</v>
      </c>
      <c r="E71" s="60">
        <f t="shared" si="7"/>
        <v>42192.49984416668</v>
      </c>
      <c r="F71" s="61">
        <f>'5b. Principal -1556'!B73</f>
        <v>1057160.4</v>
      </c>
      <c r="G71" s="62">
        <f>C71</f>
        <v>0.0147</v>
      </c>
      <c r="H71" s="63">
        <f>F71*G71/12</f>
        <v>1295.0214899999999</v>
      </c>
      <c r="I71" s="58">
        <f t="shared" si="4"/>
        <v>13205.271739833332</v>
      </c>
    </row>
    <row r="72" spans="1:9" ht="15">
      <c r="A72" s="57">
        <v>40848</v>
      </c>
      <c r="B72" s="58">
        <f>'5a. Principal -1555'!I74</f>
        <v>3219103.020000001</v>
      </c>
      <c r="C72" s="62">
        <f aca="true" t="shared" si="9" ref="C72:C85">+C71</f>
        <v>0.0147</v>
      </c>
      <c r="D72" s="63">
        <f>B72*C72/12</f>
        <v>3943.4011995000014</v>
      </c>
      <c r="E72" s="60">
        <f>D72+E71</f>
        <v>46135.90104366669</v>
      </c>
      <c r="F72" s="61">
        <f>'5b. Principal -1556'!B74</f>
        <v>1170357.4</v>
      </c>
      <c r="G72" s="62">
        <f>C72</f>
        <v>0.0147</v>
      </c>
      <c r="H72" s="63">
        <f>F72*G72/12</f>
        <v>1433.687815</v>
      </c>
      <c r="I72" s="58">
        <f>H72+I71</f>
        <v>14638.959554833331</v>
      </c>
    </row>
    <row r="73" spans="1:11" ht="15">
      <c r="A73" s="57">
        <v>40878</v>
      </c>
      <c r="B73" s="58">
        <f>'5a. Principal -1555'!I75</f>
        <v>3172171.020000001</v>
      </c>
      <c r="C73" s="62">
        <f t="shared" si="9"/>
        <v>0.0147</v>
      </c>
      <c r="D73" s="63">
        <f>B73*C73/12</f>
        <v>3885.909499500001</v>
      </c>
      <c r="E73" s="60">
        <f>D73+E72</f>
        <v>50021.810543166685</v>
      </c>
      <c r="F73" s="61">
        <f>'5b. Principal -1556'!B75</f>
        <v>1283554.4</v>
      </c>
      <c r="G73" s="62">
        <f>C73</f>
        <v>0.0147</v>
      </c>
      <c r="H73" s="63">
        <f>F73*G73/12</f>
        <v>1572.3541399999997</v>
      </c>
      <c r="I73" s="58">
        <f>H73+I72</f>
        <v>16211.31369483333</v>
      </c>
      <c r="K73" s="40">
        <f>I73+E73</f>
        <v>66233.12423800002</v>
      </c>
    </row>
    <row r="74" spans="1:9" ht="15">
      <c r="A74" s="57">
        <v>40909</v>
      </c>
      <c r="B74" s="58">
        <f>'5a. Principal -1555'!I76</f>
        <v>3125237.020000001</v>
      </c>
      <c r="C74" s="137">
        <f t="shared" si="9"/>
        <v>0.0147</v>
      </c>
      <c r="D74" s="63">
        <f aca="true" t="shared" si="10" ref="D74:D85">B74*C74/12</f>
        <v>3828.415349500001</v>
      </c>
      <c r="E74" s="60">
        <f aca="true" t="shared" si="11" ref="E74:E85">D74+E73</f>
        <v>53850.225892666684</v>
      </c>
      <c r="F74" s="61">
        <f>'5b. Principal -1556'!B76</f>
        <v>1396753.4</v>
      </c>
      <c r="G74" s="62">
        <f aca="true" t="shared" si="12" ref="G74:G85">C74</f>
        <v>0.0147</v>
      </c>
      <c r="H74" s="63">
        <f aca="true" t="shared" si="13" ref="H74:H85">F74*G74/12</f>
        <v>1711.0229149999998</v>
      </c>
      <c r="I74" s="58">
        <f aca="true" t="shared" si="14" ref="I74:I85">H74+I73</f>
        <v>17922.33660983333</v>
      </c>
    </row>
    <row r="75" spans="1:9" ht="15">
      <c r="A75" s="57">
        <v>40940</v>
      </c>
      <c r="B75" s="58">
        <f>'5a. Principal -1555'!I77</f>
        <v>2992325.020000001</v>
      </c>
      <c r="C75" s="137">
        <f t="shared" si="9"/>
        <v>0.0147</v>
      </c>
      <c r="D75" s="63">
        <f t="shared" si="10"/>
        <v>3665.598149500001</v>
      </c>
      <c r="E75" s="60">
        <f t="shared" si="11"/>
        <v>57515.824042166685</v>
      </c>
      <c r="F75" s="61">
        <f>'5b. Principal -1556'!B77</f>
        <v>1469915.4</v>
      </c>
      <c r="G75" s="62">
        <f t="shared" si="12"/>
        <v>0.0147</v>
      </c>
      <c r="H75" s="63">
        <f t="shared" si="13"/>
        <v>1800.6463649999998</v>
      </c>
      <c r="I75" s="58">
        <f t="shared" si="14"/>
        <v>19722.982974833332</v>
      </c>
    </row>
    <row r="76" spans="1:9" ht="15">
      <c r="A76" s="57">
        <v>40969</v>
      </c>
      <c r="B76" s="58">
        <f>'5a. Principal -1555'!I78</f>
        <v>2859413.020000001</v>
      </c>
      <c r="C76" s="137">
        <f t="shared" si="9"/>
        <v>0.0147</v>
      </c>
      <c r="D76" s="63">
        <f t="shared" si="10"/>
        <v>3502.7809495000015</v>
      </c>
      <c r="E76" s="60">
        <f t="shared" si="11"/>
        <v>61018.60499166669</v>
      </c>
      <c r="F76" s="61">
        <f>'5b. Principal -1556'!B78</f>
        <v>1543077.4</v>
      </c>
      <c r="G76" s="62">
        <f t="shared" si="12"/>
        <v>0.0147</v>
      </c>
      <c r="H76" s="63">
        <f t="shared" si="13"/>
        <v>1890.2698149999999</v>
      </c>
      <c r="I76" s="58">
        <f t="shared" si="14"/>
        <v>21613.252789833332</v>
      </c>
    </row>
    <row r="77" spans="1:9" ht="15">
      <c r="A77" s="57">
        <v>41000</v>
      </c>
      <c r="B77" s="58">
        <f>'5a. Principal -1555'!I79</f>
        <v>2726501.020000001</v>
      </c>
      <c r="C77" s="137">
        <f t="shared" si="9"/>
        <v>0.0147</v>
      </c>
      <c r="D77" s="63">
        <f t="shared" si="10"/>
        <v>3339.963749500001</v>
      </c>
      <c r="E77" s="60">
        <f t="shared" si="11"/>
        <v>64358.56874116669</v>
      </c>
      <c r="F77" s="61">
        <f>'5b. Principal -1556'!B79</f>
        <v>1616239.4</v>
      </c>
      <c r="G77" s="62">
        <f t="shared" si="12"/>
        <v>0.0147</v>
      </c>
      <c r="H77" s="63">
        <f t="shared" si="13"/>
        <v>1979.8932649999997</v>
      </c>
      <c r="I77" s="58">
        <f t="shared" si="14"/>
        <v>23593.14605483333</v>
      </c>
    </row>
    <row r="78" spans="1:9" ht="15">
      <c r="A78" s="57">
        <v>41030</v>
      </c>
      <c r="B78" s="58">
        <f>'5a. Principal -1555'!I80</f>
        <v>2593589.020000001</v>
      </c>
      <c r="C78" s="137">
        <f t="shared" si="9"/>
        <v>0.0147</v>
      </c>
      <c r="D78" s="63">
        <f t="shared" si="10"/>
        <v>3177.146549500001</v>
      </c>
      <c r="E78" s="60">
        <f t="shared" si="11"/>
        <v>67535.71529066669</v>
      </c>
      <c r="F78" s="61">
        <f>'5b. Principal -1556'!B80</f>
        <v>1689401.4</v>
      </c>
      <c r="G78" s="62">
        <f t="shared" si="12"/>
        <v>0.0147</v>
      </c>
      <c r="H78" s="63">
        <f t="shared" si="13"/>
        <v>2069.5167149999997</v>
      </c>
      <c r="I78" s="58">
        <f t="shared" si="14"/>
        <v>25662.662769833332</v>
      </c>
    </row>
    <row r="79" spans="1:9" ht="15">
      <c r="A79" s="57">
        <v>41061</v>
      </c>
      <c r="B79" s="58">
        <f>'5a. Principal -1555'!I81</f>
        <v>2460677.020000001</v>
      </c>
      <c r="C79" s="137">
        <f t="shared" si="9"/>
        <v>0.0147</v>
      </c>
      <c r="D79" s="63">
        <f t="shared" si="10"/>
        <v>3014.329349500001</v>
      </c>
      <c r="E79" s="60">
        <f t="shared" si="11"/>
        <v>70550.04464016668</v>
      </c>
      <c r="F79" s="61">
        <f>'5b. Principal -1556'!B81</f>
        <v>1762563.4</v>
      </c>
      <c r="G79" s="62">
        <f t="shared" si="12"/>
        <v>0.0147</v>
      </c>
      <c r="H79" s="63">
        <f t="shared" si="13"/>
        <v>2159.140165</v>
      </c>
      <c r="I79" s="58">
        <f t="shared" si="14"/>
        <v>27821.802934833333</v>
      </c>
    </row>
    <row r="80" spans="1:9" ht="15">
      <c r="A80" s="57">
        <v>41091</v>
      </c>
      <c r="B80" s="58">
        <f>'5a. Principal -1555'!I82</f>
        <v>2327765.020000001</v>
      </c>
      <c r="C80" s="137">
        <f t="shared" si="9"/>
        <v>0.0147</v>
      </c>
      <c r="D80" s="63">
        <f t="shared" si="10"/>
        <v>2851.5121495000008</v>
      </c>
      <c r="E80" s="60">
        <f t="shared" si="11"/>
        <v>73401.55678966669</v>
      </c>
      <c r="F80" s="61">
        <f>'5b. Principal -1556'!B82</f>
        <v>1835725.4</v>
      </c>
      <c r="G80" s="62">
        <f t="shared" si="12"/>
        <v>0.0147</v>
      </c>
      <c r="H80" s="63">
        <f t="shared" si="13"/>
        <v>2248.763615</v>
      </c>
      <c r="I80" s="58">
        <f t="shared" si="14"/>
        <v>30070.566549833333</v>
      </c>
    </row>
    <row r="81" spans="1:9" ht="15">
      <c r="A81" s="57">
        <v>41122</v>
      </c>
      <c r="B81" s="58">
        <f>'5a. Principal -1555'!I83</f>
        <v>2194853.020000001</v>
      </c>
      <c r="C81" s="137">
        <f t="shared" si="9"/>
        <v>0.0147</v>
      </c>
      <c r="D81" s="63">
        <f t="shared" si="10"/>
        <v>2688.6949495000013</v>
      </c>
      <c r="E81" s="60">
        <f t="shared" si="11"/>
        <v>76090.25173916669</v>
      </c>
      <c r="F81" s="61">
        <f>'5b. Principal -1556'!B83</f>
        <v>1908887.4</v>
      </c>
      <c r="G81" s="62">
        <f t="shared" si="12"/>
        <v>0.0147</v>
      </c>
      <c r="H81" s="63">
        <f t="shared" si="13"/>
        <v>2338.387065</v>
      </c>
      <c r="I81" s="58">
        <f t="shared" si="14"/>
        <v>32408.95361483333</v>
      </c>
    </row>
    <row r="82" spans="1:9" ht="15">
      <c r="A82" s="57">
        <v>41153</v>
      </c>
      <c r="B82" s="58">
        <f>'5a. Principal -1555'!I84</f>
        <v>2061941.020000001</v>
      </c>
      <c r="C82" s="137">
        <f t="shared" si="9"/>
        <v>0.0147</v>
      </c>
      <c r="D82" s="63">
        <f t="shared" si="10"/>
        <v>2525.877749500001</v>
      </c>
      <c r="E82" s="60">
        <f t="shared" si="11"/>
        <v>78616.12948866669</v>
      </c>
      <c r="F82" s="61">
        <f>'5b. Principal -1556'!B84</f>
        <v>1982049.4</v>
      </c>
      <c r="G82" s="62">
        <f t="shared" si="12"/>
        <v>0.0147</v>
      </c>
      <c r="H82" s="63">
        <f t="shared" si="13"/>
        <v>2428.010515</v>
      </c>
      <c r="I82" s="58">
        <f t="shared" si="14"/>
        <v>34836.96412983333</v>
      </c>
    </row>
    <row r="83" spans="1:9" ht="15">
      <c r="A83" s="57">
        <v>41183</v>
      </c>
      <c r="B83" s="58">
        <f>'5a. Principal -1555'!I85</f>
        <v>1929029.020000001</v>
      </c>
      <c r="C83" s="137">
        <f t="shared" si="9"/>
        <v>0.0147</v>
      </c>
      <c r="D83" s="63">
        <f t="shared" si="10"/>
        <v>2363.0605495000013</v>
      </c>
      <c r="E83" s="60">
        <f t="shared" si="11"/>
        <v>80979.1900381667</v>
      </c>
      <c r="F83" s="61">
        <f>'5b. Principal -1556'!B85</f>
        <v>2055211.4</v>
      </c>
      <c r="G83" s="62">
        <f t="shared" si="12"/>
        <v>0.0147</v>
      </c>
      <c r="H83" s="63">
        <f t="shared" si="13"/>
        <v>2517.6339649999995</v>
      </c>
      <c r="I83" s="58">
        <f t="shared" si="14"/>
        <v>37354.59809483333</v>
      </c>
    </row>
    <row r="84" spans="1:9" ht="15">
      <c r="A84" s="57">
        <v>41214</v>
      </c>
      <c r="B84" s="58">
        <f>'5a. Principal -1555'!I86</f>
        <v>1796117.020000001</v>
      </c>
      <c r="C84" s="137">
        <f t="shared" si="9"/>
        <v>0.0147</v>
      </c>
      <c r="D84" s="63">
        <f t="shared" si="10"/>
        <v>2200.243349500001</v>
      </c>
      <c r="E84" s="60">
        <f t="shared" si="11"/>
        <v>83179.4333876667</v>
      </c>
      <c r="F84" s="61">
        <f>'5b. Principal -1556'!B86</f>
        <v>2128373.4</v>
      </c>
      <c r="G84" s="62">
        <f t="shared" si="12"/>
        <v>0.0147</v>
      </c>
      <c r="H84" s="63">
        <f t="shared" si="13"/>
        <v>2607.2574149999996</v>
      </c>
      <c r="I84" s="58">
        <f t="shared" si="14"/>
        <v>39961.85550983333</v>
      </c>
    </row>
    <row r="85" spans="1:11" ht="15">
      <c r="A85" s="57">
        <v>41244</v>
      </c>
      <c r="B85" s="58">
        <f>'5a. Principal -1555'!I87</f>
        <v>1663205.020000001</v>
      </c>
      <c r="C85" s="137">
        <f t="shared" si="9"/>
        <v>0.0147</v>
      </c>
      <c r="D85" s="63">
        <f t="shared" si="10"/>
        <v>2037.426149500001</v>
      </c>
      <c r="E85" s="60">
        <f t="shared" si="11"/>
        <v>85216.85953716669</v>
      </c>
      <c r="F85" s="61">
        <f>'5b. Principal -1556'!B87</f>
        <v>2201535.4</v>
      </c>
      <c r="G85" s="62">
        <f t="shared" si="12"/>
        <v>0.0147</v>
      </c>
      <c r="H85" s="63">
        <f t="shared" si="13"/>
        <v>2696.8808649999996</v>
      </c>
      <c r="I85" s="58">
        <f t="shared" si="14"/>
        <v>42658.73637483333</v>
      </c>
      <c r="K85" s="73"/>
    </row>
    <row r="86" spans="4:5" ht="15">
      <c r="D86" s="40"/>
      <c r="E86" s="40"/>
    </row>
    <row r="87" spans="4:5" ht="15">
      <c r="D87" s="40"/>
      <c r="E87" s="40"/>
    </row>
    <row r="88" spans="4:5" ht="15">
      <c r="D88" s="40"/>
      <c r="E88" s="40"/>
    </row>
    <row r="89" spans="4:5" ht="15">
      <c r="D89" s="40"/>
      <c r="E89" s="40"/>
    </row>
    <row r="90" spans="4:5" ht="15">
      <c r="D90" s="40"/>
      <c r="E90" s="40"/>
    </row>
    <row r="91" spans="4:5" ht="15">
      <c r="D91" s="40"/>
      <c r="E91" s="40"/>
    </row>
    <row r="92" spans="4:5" ht="15">
      <c r="D92" s="40"/>
      <c r="E92" s="40"/>
    </row>
    <row r="93" spans="4:5" ht="15">
      <c r="D93" s="40"/>
      <c r="E93" s="40"/>
    </row>
    <row r="94" spans="4:5" ht="15">
      <c r="D94" s="40"/>
      <c r="E94" s="40"/>
    </row>
    <row r="95" spans="4:5" ht="15">
      <c r="D95" s="40"/>
      <c r="E95" s="40"/>
    </row>
    <row r="96" spans="4:5" ht="15">
      <c r="D96" s="40"/>
      <c r="E96" s="40"/>
    </row>
    <row r="97" spans="4:5" ht="15">
      <c r="D97" s="40"/>
      <c r="E97" s="40"/>
    </row>
    <row r="98" spans="4:5" ht="15">
      <c r="D98" s="40"/>
      <c r="E98" s="40"/>
    </row>
    <row r="99" spans="4:5" ht="15">
      <c r="D99" s="40"/>
      <c r="E99" s="40"/>
    </row>
    <row r="100" spans="4:5" ht="15">
      <c r="D100" s="40"/>
      <c r="E100" s="40"/>
    </row>
    <row r="101" spans="4:5" ht="15">
      <c r="D101" s="40"/>
      <c r="E101" s="40"/>
    </row>
    <row r="102" spans="4:5" ht="15">
      <c r="D102" s="40"/>
      <c r="E102" s="40"/>
    </row>
    <row r="103" spans="4:5" ht="15">
      <c r="D103" s="40"/>
      <c r="E103" s="40"/>
    </row>
    <row r="104" spans="4:5" ht="15">
      <c r="D104" s="40"/>
      <c r="E104" s="40"/>
    </row>
    <row r="105" spans="4:5" ht="15">
      <c r="D105" s="40"/>
      <c r="E105" s="40"/>
    </row>
    <row r="106" spans="4:5" ht="15">
      <c r="D106" s="40"/>
      <c r="E106" s="40"/>
    </row>
    <row r="107" spans="4:5" ht="15">
      <c r="D107" s="40"/>
      <c r="E107" s="40"/>
    </row>
    <row r="108" spans="4:5" ht="15">
      <c r="D108" s="40"/>
      <c r="E108" s="40"/>
    </row>
    <row r="109" spans="4:5" ht="15">
      <c r="D109" s="40"/>
      <c r="E109" s="40"/>
    </row>
    <row r="110" spans="4:5" ht="15">
      <c r="D110" s="40"/>
      <c r="E110" s="40"/>
    </row>
    <row r="111" spans="4:5" ht="15">
      <c r="D111" s="40"/>
      <c r="E111" s="40"/>
    </row>
    <row r="112" spans="4:5" ht="15">
      <c r="D112" s="40"/>
      <c r="E112" s="40"/>
    </row>
    <row r="113" spans="4:5" ht="15">
      <c r="D113" s="40"/>
      <c r="E113" s="40"/>
    </row>
    <row r="114" spans="4:5" ht="15">
      <c r="D114" s="40"/>
      <c r="E114" s="40"/>
    </row>
    <row r="115" spans="4:5" ht="15">
      <c r="D115" s="40"/>
      <c r="E115" s="40"/>
    </row>
    <row r="116" spans="4:5" ht="15">
      <c r="D116" s="40"/>
      <c r="E116" s="40"/>
    </row>
  </sheetData>
  <sheetProtection/>
  <mergeCells count="2">
    <mergeCell ref="B4:E4"/>
    <mergeCell ref="F4:I4"/>
  </mergeCells>
  <printOptions/>
  <pageMargins left="0.75" right="0.75" top="0.58" bottom="0.33" header="0.5" footer="0.17"/>
  <pageSetup fitToHeight="1" fitToWidth="1" horizontalDpi="600" verticalDpi="600" orientation="portrait" scale="53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Ramona Abi-Rashed</cp:lastModifiedBy>
  <cp:lastPrinted>2011-09-27T18:49:39Z</cp:lastPrinted>
  <dcterms:created xsi:type="dcterms:W3CDTF">2009-03-31T14:51:00Z</dcterms:created>
  <dcterms:modified xsi:type="dcterms:W3CDTF">2011-11-21T15:22:08Z</dcterms:modified>
  <cp:category/>
  <cp:version/>
  <cp:contentType/>
  <cp:contentStatus/>
</cp:coreProperties>
</file>