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<sst xmlns="http://schemas.openxmlformats.org/spreadsheetml/2006/main" count="879" uniqueCount="504">
  <si>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</si>
  <si>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</si>
  <si>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</si>
  <si>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</si>
  <si>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</si>
  <si>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</si>
  <si>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</si>
  <si>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</si>
  <si>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</si>
  <si>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</si>
  <si>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</si>
  <si>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</si>
  <si>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</si>
  <si>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</si>
  <si>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</si>
  <si>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</si>
  <si>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</si>
  <si>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</si>
  <si>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</si>
  <si>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</si>
  <si>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</si>
  <si>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</si>
  <si>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</si>
  <si>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</si>
  <si>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</si>
  <si>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</si>
  <si>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</si>
  <si>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</si>
  <si>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</si>
  <si>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</si>
  <si>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</si>
  <si>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</si>
  <si>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</si>
  <si>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</si>
  <si>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</si>
  <si>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</si>
  <si>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</si>
  <si>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</si>
  <si>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</si>
  <si>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</si>
  <si>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</si>
  <si>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</si>
  <si>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</si>
  <si>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</si>
  <si>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</si>
  <si>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</si>
  <si>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</si>
  <si>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</si>
  <si>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</si>
  <si>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</si>
  <si>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</si>
  <si>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</si>
  <si>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</si>
  <si>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</si>
  <si>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</si>
  <si>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</si>
  <si>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</si>
  <si>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</si>
  <si>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</si>
  <si>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</si>
  <si>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</si>
  <si>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</si>
  <si>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</si>
  <si>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</si>
  <si>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</si>
  <si>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</si>
  <si>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</si>
  <si>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</si>
  <si>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</si>
  <si>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</si>
  <si>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</si>
  <si>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</si>
  <si>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</si>
  <si>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</si>
  <si>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</si>
  <si>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</si>
  <si>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</si>
  <si>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</si>
  <si>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</si>
  <si>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</si>
  <si>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</si>
  <si>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</si>
  <si>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</si>
  <si>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</si>
  <si>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</si>
  <si>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</si>
  <si>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</si>
  <si>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</si>
  <si>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</si>
  <si>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</si>
  <si>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</si>
  <si>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</si>
  <si>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</si>
  <si>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</si>
  <si>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</si>
  <si>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</si>
  <si>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</si>
  <si>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</si>
  <si>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</si>
  <si>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</si>
  <si>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</si>
  <si>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</si>
  <si>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</si>
  <si>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</si>
  <si>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</si>
  <si>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</si>
  <si>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</si>
  <si>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</si>
  <si>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</si>
  <si>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</si>
  <si>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</si>
  <si>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</si>
  <si>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</si>
  <si>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</si>
  <si>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</si>
  <si>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</si>
  <si>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</si>
  <si>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</si>
  <si>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</si>
  <si>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</si>
  <si>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</si>
  <si>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</si>
  <si>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</si>
  <si>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</si>
  <si>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</si>
  <si>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</si>
  <si>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</si>
  <si>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</si>
  <si>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</si>
  <si>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</si>
  <si>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</si>
  <si>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</si>
  <si>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</si>
  <si>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</si>
  <si>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</si>
  <si>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</si>
  <si>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</si>
  <si>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</si>
  <si>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</si>
  <si>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</si>
  <si>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</si>
  <si>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</si>
  <si>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</si>
  <si>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</si>
  <si>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</si>
  <si>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</si>
  <si>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</si>
  <si>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</si>
  <si>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</si>
  <si>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</si>
  <si>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</si>
  <si>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</si>
  <si>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</si>
  <si>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</si>
  <si>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</si>
  <si>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</si>
  <si>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</si>
  <si>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</si>
  <si>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</si>
  <si>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</si>
  <si>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</si>
  <si>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</si>
  <si>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</si>
  <si>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</si>
  <si>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</si>
  <si>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</si>
  <si>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</si>
  <si>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</si>
  <si>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</si>
  <si>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</si>
  <si>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</si>
  <si>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</si>
  <si>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</si>
  <si>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</si>
  <si>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</si>
  <si>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</si>
  <si>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</si>
  <si>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</si>
  <si>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</si>
  <si>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</si>
  <si>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</si>
  <si>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</si>
  <si>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</si>
  <si>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</si>
  <si>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</si>
  <si>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</si>
  <si>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</si>
  <si>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</si>
  <si>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</si>
  <si>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</si>
  <si>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</si>
  <si>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</si>
  <si>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</si>
  <si>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</si>
  <si>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</si>
  <si>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</si>
  <si>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</si>
  <si>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</si>
  <si>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</si>
  <si>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</si>
  <si>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</si>
  <si>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</si>
  <si>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</si>
  <si>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</si>
  <si>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</si>
  <si>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</si>
  <si>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</si>
  <si>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</si>
  <si>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</si>
  <si>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</si>
  <si>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</si>
  <si>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</si>
  <si>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</si>
  <si>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</si>
  <si>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</si>
  <si>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</si>
  <si>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</si>
  <si>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</si>
  <si>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</si>
  <si>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</si>
  <si>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</si>
  <si>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</si>
  <si>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</si>
  <si>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</si>
  <si>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</si>
  <si>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</si>
  <si>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</si>
  <si>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</si>
  <si>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</si>
  <si>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</si>
  <si>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</si>
  <si>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</si>
  <si>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</si>
  <si>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</si>
  <si>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</si>
  <si>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</si>
  <si>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</si>
  <si>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</si>
  <si>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</si>
  <si>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</si>
  <si>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</si>
  <si>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</si>
  <si>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</si>
  <si>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</si>
  <si>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</si>
  <si>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</si>
  <si>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</si>
  <si>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</si>
  <si>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</si>
  <si>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</si>
  <si>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</si>
  <si>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</si>
  <si>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</si>
  <si>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</si>
  <si>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</si>
  <si>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</si>
  <si>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</si>
  <si>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</si>
  <si>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</si>
  <si>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</si>
  <si>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</si>
  <si>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</si>
  <si>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</si>
  <si>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</si>
  <si>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</si>
  <si>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</si>
  <si>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</si>
  <si>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</si>
  <si>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</si>
  <si>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</si>
  <si>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</si>
  <si>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</si>
  <si>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</si>
  <si>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</si>
  <si>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</si>
  <si>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</si>
  <si>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</si>
  <si>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</si>
  <si>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</si>
  <si>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</si>
  <si>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</si>
  <si>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</si>
  <si>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</si>
  <si>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</si>
  <si>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</si>
  <si>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</si>
  <si>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</si>
  <si>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</si>
  <si>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</si>
  <si>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</si>
  <si>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</si>
  <si>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</si>
  <si>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</si>
  <si>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</si>
  <si>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</si>
  <si>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</si>
  <si>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</si>
  <si>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</si>
  <si>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</si>
  <si>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</si>
  <si>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</si>
  <si>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</si>
  <si>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</si>
  <si>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</si>
  <si>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</si>
  <si>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</si>
  <si>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</si>
  <si>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</si>
  <si>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</si>
  <si>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</si>
  <si>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</si>
  <si>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</si>
  <si>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</si>
  <si>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</si>
  <si>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</si>
  <si>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</si>
  <si>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</si>
  <si>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</si>
  <si>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</si>
  <si>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</si>
  <si>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</si>
  <si>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</si>
  <si>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</si>
  <si>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</si>
  <si>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</si>
  <si>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</si>
  <si>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</si>
  <si>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</si>
  <si>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</si>
  <si>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</si>
  <si>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</si>
  <si>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</si>
  <si>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</si>
  <si>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</si>
  <si>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</si>
  <si>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</si>
  <si>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</si>
  <si>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</si>
  <si>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</si>
  <si>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</si>
  <si>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</si>
  <si>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</si>
  <si>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</si>
  <si>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</si>
  <si>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</si>
  <si>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</si>
  <si>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</si>
  <si>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</si>
  <si>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</si>
  <si>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</si>
  <si>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</si>
  <si>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</si>
  <si>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</si>
  <si>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</si>
  <si>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</si>
  <si>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</si>
  <si>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</si>
  <si>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</si>
  <si>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</si>
  <si>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</si>
  <si>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</si>
  <si>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</si>
  <si>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</si>
  <si>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</si>
  <si>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</si>
  <si>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</si>
  <si>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</si>
  <si>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</si>
  <si>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</si>
  <si>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</si>
  <si>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</si>
  <si>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</si>
  <si>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</si>
  <si>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</si>
  <si>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</si>
  <si>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</si>
  <si>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</si>
  <si>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</si>
  <si>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</si>
  <si>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</si>
  <si>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</si>
  <si>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</si>
  <si>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</si>
  <si>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</si>
  <si>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</si>
  <si>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</si>
  <si>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</si>
  <si>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</si>
  <si>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</si>
  <si>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</si>
  <si>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</si>
  <si>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</si>
  <si>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</si>
  <si>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</si>
  <si>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</si>
  <si>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</si>
  <si>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</si>
  <si>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</si>
  <si>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</si>
  <si>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</si>
  <si>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</si>
  <si>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</si>
  <si>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</si>
  <si>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</si>
  <si>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</si>
  <si>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</si>
  <si>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</si>
  <si>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</si>
  <si>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</si>
  <si>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</si>
  <si>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</si>
  <si>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</si>
  <si>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</si>
  <si>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</si>
  <si>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</si>
  <si>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</si>
  <si>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</si>
  <si>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</si>
  <si>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</si>
  <si>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</si>
  <si>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</si>
  <si>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</si>
  <si>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</si>
  <si>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</si>
  <si>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</si>
  <si>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</si>
  <si>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</si>
  <si>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</si>
  <si>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</si>
  <si>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</si>
  <si>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</si>
  <si>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</si>
  <si>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</si>
  <si>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</si>
  <si>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</si>
  <si>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</si>
  <si>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</si>
  <si>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</si>
  <si>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</si>
  <si>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</si>
  <si>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</si>
  <si>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</si>
  <si>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</si>
  <si>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</si>
  <si>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</si>
  <si>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</si>
  <si>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</si>
  <si>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</si>
  <si>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</si>
  <si>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</si>
  <si>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</si>
  <si>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</si>
  <si>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</si>
  <si>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</si>
  <si>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</si>
  <si>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</si>
  <si>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</si>
  <si>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</si>
  <si>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</si>
  <si>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</si>
  <si>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</si>
  <si>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</si>
  <si>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</si>
  <si>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</si>
  <si>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</si>
  <si>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</si>
  <si>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</si>
  <si>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</si>
  <si>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</si>
  <si>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</si>
  <si>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</si>
  <si>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</si>
  <si>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</si>
  <si>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</si>
  <si>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</si>
  <si>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</si>
  <si>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</si>
  <si>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</si>
  <si>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</si>
  <si>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</si>
  <si>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Overpaid</t>
  </si>
  <si>
    <t>Reporting period:  2002</t>
  </si>
  <si>
    <t>Provision for bad debts</t>
  </si>
  <si>
    <t>DEPRECIATION DIFFERENCE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</si>
  <si>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</si>
  <si>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</si>
  <si>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</si>
  <si>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</si>
  <si>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</si>
  <si>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</si>
  <si>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</si>
  <si>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</si>
  <si>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</si>
  <si>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Midland Power Utility Corporation</t>
  </si>
  <si>
    <t>Y</t>
  </si>
  <si>
    <t>N</t>
  </si>
  <si>
    <t>Deferred and prepaid expenses</t>
  </si>
  <si>
    <t xml:space="preserve">Incorporation Costs </t>
  </si>
  <si>
    <t>Discontinued post retirement benefit plan</t>
  </si>
  <si>
    <r>
      <t xml:space="preserve">Income Tax Rate (excluding surtax) from </t>
    </r>
    <r>
      <rPr>
        <b/>
        <sz val="10"/>
        <color indexed="10"/>
        <rFont val="Arial"/>
        <family val="2"/>
      </rPr>
      <t>2003</t>
    </r>
    <r>
      <rPr>
        <sz val="10"/>
        <rFont val="Arial"/>
        <family val="0"/>
      </rPr>
      <t xml:space="preserve"> Utility's tax return</t>
    </r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</si>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</sst>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1" applyNumberFormat="1" applyFont="1" applyFill="1" applyBorder="1" applyAlignment="1" applyProtection="1" quotePrefix="1">
      <alignment vertical="top"/>
      <protection/>
    </xf>
    <xf numFmtId="3" fontId="0" fillId="36" borderId="47" xfId="61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6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9" applyFont="1" applyFill="1" applyBorder="1" applyAlignment="1" applyProtection="1">
      <alignment vertical="top"/>
      <protection locked="0"/>
    </xf>
    <xf numFmtId="3" fontId="0" fillId="40" borderId="14" xfId="66" applyNumberFormat="1" applyFill="1" applyBorder="1" applyAlignment="1">
      <alignment horizontal="right" vertical="top"/>
      <protection locked="0"/>
    </xf>
    <xf numFmtId="0" fontId="0" fillId="41" borderId="0" xfId="0" applyFont="1" applyFill="1" applyAlignment="1">
      <alignment horizontal="center" vertical="top"/>
    </xf>
    <xf numFmtId="0" fontId="0" fillId="41" borderId="17" xfId="0" applyFont="1" applyFill="1" applyBorder="1" applyAlignment="1">
      <alignment horizontal="center" vertical="top"/>
    </xf>
    <xf numFmtId="0" fontId="57" fillId="0" borderId="0" xfId="0" applyFont="1" applyBorder="1" applyAlignment="1">
      <alignment vertical="top"/>
    </xf>
    <xf numFmtId="3" fontId="0" fillId="40" borderId="14" xfId="65" applyNumberFormat="1" applyFill="1" applyBorder="1" applyAlignment="1">
      <alignment horizontal="right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3" fontId="0" fillId="36" borderId="17" xfId="0" applyNumberFormat="1" applyFont="1" applyFill="1" applyBorder="1" applyAlignment="1" applyProtection="1">
      <alignment horizontal="center" vertical="top"/>
      <protection locked="0"/>
    </xf>
    <xf numFmtId="0" fontId="19" fillId="44" borderId="0" xfId="0" applyFont="1" applyFill="1" applyAlignment="1">
      <alignment vertical="top"/>
    </xf>
    <xf numFmtId="4" fontId="0" fillId="37" borderId="14" xfId="42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1 3" xfId="55"/>
    <cellStyle name="Heading 2" xfId="56"/>
    <cellStyle name="Heading 2 2" xfId="57"/>
    <cellStyle name="Heading 2 3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s\RATE%20APPLICATION%20-%202012\Midland\PILS\MPUC%20PILs%20Models\2012%20OEB%20filing%20models\PILS%20Submission%20Models\Midland%20PUC%20Submission\Midland_SIMPIL%202001%20Oct%20to%20Dec_201202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tes\RATE%20APPLICATION%20-%202012\Midland\PILS\MPUC%20PILs%20Models\2012%20OEB%20filing%20models\PILS%20Submission%20Models\Midland%20PUC%20Submission\Midland_SIMPIL_2002_PILs_Model_201202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dland_SIMPIL%202001%20Oct%20to%20Dec_201204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dland_SIMPIL_2002_PILs_Model_201204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ILS%202001,%202002,%202003%20&amp;%202004,%202005,%202006%20Variance%20Acct%202012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7">
        <row r="16">
          <cell r="E16">
            <v>-19896.772776014805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  <sheetName val="Consolidated Apr&amp;DecYE"/>
    </sheetNames>
    <sheetDataSet>
      <sheetData sheetId="7">
        <row r="15">
          <cell r="G15">
            <v>-534.660487804878</v>
          </cell>
        </row>
        <row r="17">
          <cell r="G17">
            <v>-87502.67417488199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7">
        <row r="15">
          <cell r="C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  <sheetName val="Consolidated Apr&amp;DecY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inuity Sch 2001 to 2012"/>
      <sheetName val="2002 Monthly Recovery "/>
      <sheetName val="2002 Summary"/>
      <sheetName val="2003 Monthly Recovery "/>
      <sheetName val="2003 Summary"/>
      <sheetName val="2004 Jan-Mar Recovery "/>
      <sheetName val="2004 Apr-Dec Reovery "/>
      <sheetName val="2004 Mar-Dec Fixed Variable Cal"/>
      <sheetName val="2004 Jan-Dec Summary"/>
      <sheetName val="2005 Jan-Mar Recovery"/>
      <sheetName val="2005 Mar-Dec Recovery"/>
      <sheetName val="2005 Mar-Dec Fixed Variable Cal"/>
      <sheetName val="2005 Jan-Dec Summary"/>
      <sheetName val="2006 Monthy Recovery"/>
      <sheetName val="2006 Jan-Dec Summary"/>
    </sheetNames>
    <sheetDataSet>
      <sheetData sheetId="0">
        <row r="9">
          <cell r="C9">
            <v>58797</v>
          </cell>
          <cell r="J9">
            <v>355.231875</v>
          </cell>
        </row>
        <row r="28">
          <cell r="C28">
            <v>257376</v>
          </cell>
          <cell r="D28">
            <v>218336.96347046254</v>
          </cell>
          <cell r="J28">
            <v>7548.117301771601</v>
          </cell>
        </row>
        <row r="47">
          <cell r="C47">
            <v>316173</v>
          </cell>
          <cell r="D47">
            <v>325846.21239567496</v>
          </cell>
          <cell r="J47">
            <v>2142.3029464349456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workbookViewId="0" topLeftCell="A1">
      <selection activeCell="B28" sqref="B2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489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493</v>
      </c>
      <c r="C3" s="8"/>
      <c r="D3" s="453" t="s">
        <v>451</v>
      </c>
      <c r="E3" s="8"/>
      <c r="F3" s="8"/>
      <c r="G3" s="8"/>
      <c r="H3" s="8"/>
    </row>
    <row r="4" spans="1:8" ht="12.75">
      <c r="A4" s="2" t="s">
        <v>481</v>
      </c>
      <c r="C4" s="8"/>
      <c r="D4" s="452" t="s">
        <v>446</v>
      </c>
      <c r="E4" s="426"/>
      <c r="H4" s="8"/>
    </row>
    <row r="5" spans="1:8" ht="12.75">
      <c r="A5" s="52"/>
      <c r="C5" s="8"/>
      <c r="D5" s="451" t="s">
        <v>447</v>
      </c>
      <c r="E5" s="396"/>
      <c r="H5" s="8"/>
    </row>
    <row r="6" spans="1:8" ht="12.75">
      <c r="A6" s="2" t="s">
        <v>126</v>
      </c>
      <c r="B6" s="386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8" t="s">
        <v>494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8" t="s">
        <v>495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8" t="s">
        <v>495</v>
      </c>
    </row>
    <row r="18" spans="1:4" ht="15" customHeight="1">
      <c r="A18" s="387" t="s">
        <v>315</v>
      </c>
      <c r="C18" s="8"/>
      <c r="D18" s="8"/>
    </row>
    <row r="19" spans="1:4" ht="15" customHeight="1">
      <c r="A19" s="498" t="s">
        <v>316</v>
      </c>
      <c r="B19" s="8" t="s">
        <v>313</v>
      </c>
      <c r="C19" s="8" t="s">
        <v>64</v>
      </c>
      <c r="D19" s="487" t="s">
        <v>495</v>
      </c>
    </row>
    <row r="20" spans="1:4" ht="13.5" thickBot="1">
      <c r="A20" s="499"/>
      <c r="B20" s="8" t="s">
        <v>314</v>
      </c>
      <c r="C20" s="8" t="s">
        <v>64</v>
      </c>
      <c r="D20" s="488" t="s">
        <v>495</v>
      </c>
    </row>
    <row r="21" spans="1:4" ht="12.75">
      <c r="A21" s="498" t="s">
        <v>312</v>
      </c>
      <c r="B21" s="8" t="s">
        <v>313</v>
      </c>
      <c r="C21" s="8"/>
      <c r="D21" s="421">
        <v>1</v>
      </c>
    </row>
    <row r="22" spans="1:4" ht="12.75">
      <c r="A22" s="498"/>
      <c r="B22" s="8" t="s">
        <v>314</v>
      </c>
      <c r="C22" s="8"/>
      <c r="D22" s="421">
        <v>1</v>
      </c>
    </row>
    <row r="23" spans="1:4" ht="7.5" customHeight="1">
      <c r="A23" s="45"/>
      <c r="C23" s="8"/>
      <c r="D23" s="386"/>
    </row>
    <row r="24" spans="1:4" ht="12.75">
      <c r="A24" s="45" t="s">
        <v>212</v>
      </c>
      <c r="C24" s="8" t="s">
        <v>213</v>
      </c>
      <c r="D24" s="422">
        <v>37986</v>
      </c>
    </row>
    <row r="25" ht="6.75" customHeight="1" thickBot="1">
      <c r="A25" s="12"/>
    </row>
    <row r="26" spans="1:5" ht="12.75">
      <c r="A26" s="254" t="s">
        <v>67</v>
      </c>
      <c r="C26" s="8"/>
      <c r="E26" s="441" t="s">
        <v>297</v>
      </c>
    </row>
    <row r="27" spans="1:5" ht="12.75">
      <c r="A27" s="255" t="s">
        <v>68</v>
      </c>
      <c r="C27" s="8"/>
      <c r="E27" s="442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19">
        <v>8211324.75</v>
      </c>
      <c r="H31" s="5"/>
    </row>
    <row r="32" ht="6" customHeight="1"/>
    <row r="33" spans="1:8" ht="12.75">
      <c r="A33" t="s">
        <v>71</v>
      </c>
      <c r="D33" s="420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0">
        <v>0.0988</v>
      </c>
      <c r="H37" s="41"/>
    </row>
    <row r="38" ht="4.5" customHeight="1">
      <c r="H38" s="34"/>
    </row>
    <row r="39" spans="1:8" ht="12.75">
      <c r="A39" t="s">
        <v>74</v>
      </c>
      <c r="D39" s="420">
        <v>0.0725</v>
      </c>
      <c r="H39" s="41"/>
    </row>
    <row r="40" ht="6" customHeight="1">
      <c r="H40" s="34"/>
    </row>
    <row r="41" spans="1:8" ht="12.75">
      <c r="A41" t="s">
        <v>75</v>
      </c>
      <c r="D41" s="250">
        <v>703300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3">
        <v>0</v>
      </c>
      <c r="E43" s="385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v>703300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4">
        <v>234433</v>
      </c>
      <c r="E47" s="385">
        <f aca="true" t="shared" si="0" ref="E47:E53">D47</f>
        <v>234433</v>
      </c>
      <c r="H47" s="40"/>
      <c r="J47" s="5"/>
      <c r="K47" s="5"/>
    </row>
    <row r="48" spans="1:11" ht="12.75">
      <c r="A48" t="s">
        <v>290</v>
      </c>
      <c r="D48" s="424">
        <v>234433</v>
      </c>
      <c r="E48" s="385">
        <f>D48</f>
        <v>234433</v>
      </c>
      <c r="F48" s="22"/>
      <c r="H48" s="40"/>
      <c r="J48" s="5"/>
      <c r="K48" s="5"/>
    </row>
    <row r="49" spans="1:11" ht="12.75">
      <c r="A49" t="s">
        <v>291</v>
      </c>
      <c r="D49" s="425">
        <v>0</v>
      </c>
      <c r="E49" s="385">
        <v>0</v>
      </c>
      <c r="F49" s="22"/>
      <c r="H49" s="40"/>
      <c r="J49" s="5"/>
      <c r="K49" s="5"/>
    </row>
    <row r="50" spans="1:11" ht="12.75">
      <c r="A50" t="s">
        <v>292</v>
      </c>
      <c r="D50" s="426"/>
      <c r="E50" s="385">
        <f t="shared" si="0"/>
        <v>0</v>
      </c>
      <c r="H50" s="40"/>
      <c r="J50" s="5"/>
      <c r="K50" s="5"/>
    </row>
    <row r="51" spans="1:11" ht="12.75">
      <c r="A51" t="s">
        <v>443</v>
      </c>
      <c r="D51" s="426"/>
      <c r="E51" s="385">
        <f t="shared" si="0"/>
        <v>0</v>
      </c>
      <c r="H51" s="40"/>
      <c r="J51" s="5"/>
      <c r="K51" s="5"/>
    </row>
    <row r="52" spans="1:11" ht="12.75">
      <c r="A52" t="s">
        <v>467</v>
      </c>
      <c r="D52" s="426"/>
      <c r="E52" s="385">
        <f t="shared" si="0"/>
        <v>0</v>
      </c>
      <c r="H52" s="40"/>
      <c r="J52" s="5"/>
      <c r="K52" s="5"/>
    </row>
    <row r="53" spans="4:11" ht="12.75">
      <c r="D53" s="426"/>
      <c r="E53" s="385">
        <f t="shared" si="0"/>
        <v>0</v>
      </c>
      <c r="H53" s="40"/>
      <c r="J53" s="5"/>
      <c r="K53" s="5"/>
    </row>
    <row r="54" spans="1:11" ht="12.75">
      <c r="A54" s="2" t="s">
        <v>293</v>
      </c>
      <c r="E54" s="253">
        <f>SUM(E43:E53)</f>
        <v>468866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v>4105662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405639.4056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v>4105662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297660.495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99220.0239219892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198440.0478439784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198440.0478439784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2">
        <f>D62</f>
        <v>297660.495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workbookViewId="0" topLeftCell="A162">
      <selection activeCell="E185" sqref="E18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469</v>
      </c>
      <c r="H1" s="209"/>
    </row>
    <row r="2" spans="1:8" ht="12.75">
      <c r="A2" s="210" t="s">
        <v>468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470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Midland Power Utility Corporation</v>
      </c>
      <c r="B6" s="115"/>
      <c r="D6" s="137"/>
      <c r="E6" s="115"/>
      <c r="G6" s="115"/>
      <c r="H6" s="463"/>
    </row>
    <row r="7" spans="1:8" ht="12.75">
      <c r="A7" s="210" t="str">
        <f>REGINFO!A4</f>
        <v>Reporting period:  2002</v>
      </c>
      <c r="B7" s="115"/>
      <c r="D7" s="137"/>
      <c r="E7" s="115"/>
      <c r="G7" s="115"/>
      <c r="H7" s="463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7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256</v>
      </c>
      <c r="B10" s="427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7">
        <f>REGINFO!E54</f>
        <v>468866</v>
      </c>
      <c r="D16" s="17"/>
      <c r="E16" s="265">
        <f>G16-C16</f>
        <v>186233</v>
      </c>
      <c r="F16" s="3"/>
      <c r="G16" s="265">
        <f>TAXREC!E50</f>
        <v>655099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59">
        <v>409224</v>
      </c>
      <c r="D20" s="18"/>
      <c r="E20" s="265">
        <f>G20-C20</f>
        <v>36617</v>
      </c>
      <c r="F20" s="6"/>
      <c r="G20" s="265">
        <f>TAXREC!E61</f>
        <v>445841</v>
      </c>
      <c r="H20" s="151"/>
    </row>
    <row r="21" spans="1:8" ht="12.75">
      <c r="A21" s="158" t="s">
        <v>56</v>
      </c>
      <c r="B21" s="127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1"/>
    </row>
    <row r="22" spans="1:8" ht="12.75">
      <c r="A22" s="158" t="s">
        <v>264</v>
      </c>
      <c r="B22" s="127">
        <v>4</v>
      </c>
      <c r="C22" s="259"/>
      <c r="D22" s="18"/>
      <c r="E22" s="265">
        <f>G22-C22</f>
        <v>47142</v>
      </c>
      <c r="F22" s="6"/>
      <c r="G22" s="265">
        <f>TAXREC!E63</f>
        <v>47142</v>
      </c>
      <c r="H22" s="151"/>
    </row>
    <row r="23" spans="1:8" ht="12.75">
      <c r="A23" s="158" t="s">
        <v>263</v>
      </c>
      <c r="B23" s="127">
        <v>4</v>
      </c>
      <c r="C23" s="259"/>
      <c r="D23" s="18"/>
      <c r="E23" s="265">
        <f>G23-C23</f>
        <v>76272</v>
      </c>
      <c r="F23" s="6"/>
      <c r="G23" s="265">
        <f>TAXREC!E64</f>
        <v>76272</v>
      </c>
      <c r="H23" s="151"/>
    </row>
    <row r="24" spans="1:8" ht="12.75">
      <c r="A24" s="158" t="s">
        <v>265</v>
      </c>
      <c r="B24" s="127">
        <v>5</v>
      </c>
      <c r="C24" s="259">
        <v>13686</v>
      </c>
      <c r="D24" s="18"/>
      <c r="E24" s="265">
        <v>0</v>
      </c>
      <c r="F24" s="6"/>
      <c r="G24" s="265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59"/>
      <c r="D26" s="18"/>
      <c r="E26" s="265">
        <f>G26-C26</f>
        <v>41000</v>
      </c>
      <c r="F26" s="6"/>
      <c r="G26" s="265">
        <f>TAXREC!E92</f>
        <v>41000</v>
      </c>
      <c r="H26" s="151"/>
    </row>
    <row r="27" spans="1:8" ht="12.75">
      <c r="A27" s="158" t="s">
        <v>159</v>
      </c>
      <c r="B27" s="127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1"/>
    </row>
    <row r="28" spans="1:8" ht="12.75">
      <c r="A28" s="158" t="s">
        <v>158</v>
      </c>
      <c r="B28" s="127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1"/>
    </row>
    <row r="29" spans="1:8" ht="12.75">
      <c r="A29" s="158" t="s">
        <v>157</v>
      </c>
      <c r="B29" s="127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1"/>
    </row>
    <row r="30" spans="1:8" ht="15.75">
      <c r="A30" s="481" t="s">
        <v>399</v>
      </c>
      <c r="B30" s="127"/>
      <c r="C30" s="257"/>
      <c r="D30" s="18"/>
      <c r="E30" s="265">
        <f>G30-C30</f>
        <v>347</v>
      </c>
      <c r="F30" s="6"/>
      <c r="G30" s="265">
        <f>TAXREC!E66</f>
        <v>347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59">
        <v>214988</v>
      </c>
      <c r="D33" s="132"/>
      <c r="E33" s="265">
        <f aca="true" t="shared" si="0" ref="E33:E42">G33-C33</f>
        <v>143540</v>
      </c>
      <c r="F33" s="6"/>
      <c r="G33" s="265">
        <f>TAXREC!E97+TAXREC!E98</f>
        <v>358528</v>
      </c>
      <c r="H33" s="151"/>
    </row>
    <row r="34" spans="1:8" ht="12.75">
      <c r="A34" s="158" t="s">
        <v>57</v>
      </c>
      <c r="B34" s="127">
        <v>8</v>
      </c>
      <c r="C34" s="259"/>
      <c r="D34" s="132"/>
      <c r="E34" s="265">
        <f t="shared" si="0"/>
        <v>0</v>
      </c>
      <c r="F34" s="6"/>
      <c r="G34" s="265">
        <f>TAXREC!E99</f>
        <v>0</v>
      </c>
      <c r="H34" s="151"/>
    </row>
    <row r="35" spans="1:8" ht="12.75">
      <c r="A35" s="158" t="s">
        <v>45</v>
      </c>
      <c r="B35" s="127">
        <v>9</v>
      </c>
      <c r="C35" s="259">
        <v>0</v>
      </c>
      <c r="D35" s="132"/>
      <c r="E35" s="265">
        <f t="shared" si="0"/>
        <v>0</v>
      </c>
      <c r="F35" s="6"/>
      <c r="G35" s="265">
        <f>TAXREC!E100</f>
        <v>0</v>
      </c>
      <c r="H35" s="151"/>
    </row>
    <row r="36" spans="1:8" ht="12.75">
      <c r="A36" s="158" t="s">
        <v>266</v>
      </c>
      <c r="B36" s="127">
        <v>10</v>
      </c>
      <c r="C36" s="259"/>
      <c r="D36" s="132"/>
      <c r="E36" s="265">
        <f t="shared" si="0"/>
        <v>0</v>
      </c>
      <c r="F36" s="6"/>
      <c r="G36" s="265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8">
        <f>REGINFO!D66</f>
        <v>198440.0478439784</v>
      </c>
      <c r="D37" s="132"/>
      <c r="E37" s="265">
        <f t="shared" si="0"/>
        <v>-74815.04784397839</v>
      </c>
      <c r="F37" s="6"/>
      <c r="G37" s="265">
        <f>TAXREC!E51</f>
        <v>123625</v>
      </c>
      <c r="H37" s="151"/>
    </row>
    <row r="38" spans="1:8" ht="12.75">
      <c r="A38" s="155" t="s">
        <v>262</v>
      </c>
      <c r="B38" s="125">
        <v>4</v>
      </c>
      <c r="C38" s="259"/>
      <c r="D38" s="132"/>
      <c r="E38" s="265">
        <f t="shared" si="0"/>
        <v>76272</v>
      </c>
      <c r="F38" s="6"/>
      <c r="G38" s="265">
        <f>TAXREC!E104</f>
        <v>76272</v>
      </c>
      <c r="H38" s="151"/>
    </row>
    <row r="39" spans="1:8" ht="12.75">
      <c r="A39" s="155" t="s">
        <v>261</v>
      </c>
      <c r="B39" s="125">
        <v>4</v>
      </c>
      <c r="C39" s="259"/>
      <c r="D39" s="132"/>
      <c r="E39" s="265">
        <f t="shared" si="0"/>
        <v>47142</v>
      </c>
      <c r="F39" s="6"/>
      <c r="G39" s="265">
        <f>TAXREC!E105</f>
        <v>47142</v>
      </c>
      <c r="H39" s="151"/>
    </row>
    <row r="40" spans="1:8" ht="12.75">
      <c r="A40" s="155" t="s">
        <v>12</v>
      </c>
      <c r="B40" s="125">
        <v>3</v>
      </c>
      <c r="C40" s="259"/>
      <c r="D40" s="132"/>
      <c r="E40" s="265">
        <f t="shared" si="0"/>
        <v>0</v>
      </c>
      <c r="F40" s="6"/>
      <c r="G40" s="265">
        <f>TAXREC!E106</f>
        <v>0</v>
      </c>
      <c r="H40" s="151"/>
    </row>
    <row r="41" spans="1:8" ht="12.75">
      <c r="A41" s="155" t="s">
        <v>13</v>
      </c>
      <c r="B41" s="125">
        <v>3</v>
      </c>
      <c r="C41" s="259"/>
      <c r="D41" s="132"/>
      <c r="E41" s="265">
        <f t="shared" si="0"/>
        <v>0</v>
      </c>
      <c r="F41" s="6"/>
      <c r="G41" s="265">
        <f>TAXREC!E107</f>
        <v>0</v>
      </c>
      <c r="H41" s="151"/>
    </row>
    <row r="42" spans="1:8" ht="12.75">
      <c r="A42" s="155" t="s">
        <v>184</v>
      </c>
      <c r="B42" s="125">
        <v>11</v>
      </c>
      <c r="C42" s="259"/>
      <c r="D42" s="132"/>
      <c r="E42" s="265">
        <f t="shared" si="0"/>
        <v>0</v>
      </c>
      <c r="F42" s="6"/>
      <c r="G42" s="265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59"/>
      <c r="D44" s="132"/>
      <c r="E44" s="265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59"/>
      <c r="D45" s="132"/>
      <c r="E45" s="265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59"/>
      <c r="D46" s="132"/>
      <c r="E46" s="265">
        <f>G46-C46</f>
        <v>113845</v>
      </c>
      <c r="F46" s="6"/>
      <c r="G46" s="250">
        <f>TAXREC!E110</f>
        <v>113845</v>
      </c>
      <c r="H46" s="151"/>
    </row>
    <row r="47" spans="1:8" ht="12.75">
      <c r="A47" s="158" t="s">
        <v>154</v>
      </c>
      <c r="B47" s="127">
        <v>12</v>
      </c>
      <c r="C47" s="259"/>
      <c r="D47" s="132"/>
      <c r="E47" s="265">
        <f>G47-C47</f>
        <v>0</v>
      </c>
      <c r="F47" s="6"/>
      <c r="G47" s="250">
        <f>TAXREC!E111</f>
        <v>0</v>
      </c>
      <c r="H47" s="151"/>
    </row>
    <row r="48" spans="1:8" ht="15.75">
      <c r="A48" s="481" t="s">
        <v>399</v>
      </c>
      <c r="B48" s="127"/>
      <c r="C48" s="257"/>
      <c r="D48" s="132"/>
      <c r="E48" s="265">
        <f>G48-C48</f>
        <v>424284</v>
      </c>
      <c r="F48" s="6"/>
      <c r="G48" s="250">
        <f>TAXREC!E108</f>
        <v>424284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1">
        <f>C16+SUM(C20:C30)-SUM(C33:C48)</f>
        <v>478347.9521560216</v>
      </c>
      <c r="D50" s="102"/>
      <c r="E50" s="261">
        <f>E16+SUM(E20:E30)-SUM(E33:E48)</f>
        <v>-342656.9521560216</v>
      </c>
      <c r="F50" s="429" t="s">
        <v>371</v>
      </c>
      <c r="G50" s="261">
        <f>G16+SUM(G20:G30)-SUM(G33:G48)</f>
        <v>122005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0">
        <f>IF($C$50&gt;'Tax Rates'!$E$11,'Tax Rates'!$F$16,IF($C$50&gt;'Tax Rates'!$C$11,'Tax Rates'!$E$16,'Tax Rates'!$C$16))</f>
        <v>0.3412</v>
      </c>
      <c r="D53" s="102"/>
      <c r="E53" s="266">
        <f>+G53-C53</f>
        <v>-0.155</v>
      </c>
      <c r="F53" s="114"/>
      <c r="G53" s="471">
        <v>0.1862</v>
      </c>
      <c r="H53" s="151"/>
      <c r="I53" s="468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2">
        <f>IF(C50&gt;0,C50*C53,0)</f>
        <v>163212.32127563457</v>
      </c>
      <c r="D55" s="102"/>
      <c r="E55" s="265">
        <f>G55-C55</f>
        <v>-163212.32127563457</v>
      </c>
      <c r="F55" s="429" t="s">
        <v>372</v>
      </c>
      <c r="G55" s="262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3"/>
      <c r="D58" s="132"/>
      <c r="E58" s="265">
        <f>+G58-C58</f>
        <v>0</v>
      </c>
      <c r="F58" s="429" t="s">
        <v>372</v>
      </c>
      <c r="G58" s="268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4">
        <f>+C55-C58</f>
        <v>163212.32127563457</v>
      </c>
      <c r="D60" s="133"/>
      <c r="E60" s="267">
        <f>+E55-E58</f>
        <v>-163212.32127563457</v>
      </c>
      <c r="F60" s="429" t="s">
        <v>372</v>
      </c>
      <c r="G60" s="267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2">
        <f>Ratebase</f>
        <v>8211324.75</v>
      </c>
      <c r="D66" s="102"/>
      <c r="E66" s="265">
        <f>G66-C66</f>
        <v>1815658.25</v>
      </c>
      <c r="F66" s="6"/>
      <c r="G66" s="473">
        <v>10026983</v>
      </c>
      <c r="H66" s="151"/>
      <c r="I66" s="474" t="s">
        <v>479</v>
      </c>
    </row>
    <row r="67" spans="1:10" ht="12.75">
      <c r="A67" s="152" t="s">
        <v>364</v>
      </c>
      <c r="B67" s="125">
        <v>16</v>
      </c>
      <c r="C67" s="258">
        <f>IF(C66&gt;0,'Tax Rates'!C21,0)</f>
        <v>5000000</v>
      </c>
      <c r="D67" s="102"/>
      <c r="E67" s="265">
        <f>G67-C67</f>
        <v>0</v>
      </c>
      <c r="F67" s="6"/>
      <c r="G67" s="473">
        <v>5000000</v>
      </c>
      <c r="H67" s="151"/>
      <c r="I67" s="474" t="s">
        <v>479</v>
      </c>
      <c r="J67" s="495"/>
    </row>
    <row r="68" spans="1:8" ht="12.75">
      <c r="A68" s="152" t="s">
        <v>42</v>
      </c>
      <c r="B68" s="125"/>
      <c r="C68" s="262">
        <f>IF((C66-C67)&gt;0,C66-C67,0)</f>
        <v>3211324.75</v>
      </c>
      <c r="D68" s="102"/>
      <c r="E68" s="265">
        <f>SUM(E66:E67)</f>
        <v>1815658.25</v>
      </c>
      <c r="F68" s="114"/>
      <c r="G68" s="262">
        <f>G66-G67</f>
        <v>5026983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299">
        <f>'Tax Rates'!C18</f>
        <v>0.003</v>
      </c>
      <c r="D70" s="102"/>
      <c r="E70" s="266">
        <f>+G70-C70</f>
        <v>0</v>
      </c>
      <c r="F70" s="6"/>
      <c r="G70" s="299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2">
        <f>IF(C68&gt;0,C68*C70,0)*REGINFO!$B$6/REGINFO!$B$7</f>
        <v>9633.97425</v>
      </c>
      <c r="D72" s="101"/>
      <c r="E72" s="265">
        <f>+G72-C72</f>
        <v>5446.974749999999</v>
      </c>
      <c r="F72" s="475" t="s">
        <v>480</v>
      </c>
      <c r="G72" s="262">
        <f>IF(G68&gt;0,G68*G70,0)*REGINFO!$B$6/REGINFO!$B$7</f>
        <v>15080.948999999999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2">
        <f>Ratebase</f>
        <v>8211324.75</v>
      </c>
      <c r="D75" s="102"/>
      <c r="E75" s="265">
        <f>+G75-C75</f>
        <v>1815658.25</v>
      </c>
      <c r="F75" s="6"/>
      <c r="G75" s="473">
        <f>+G66</f>
        <v>10026983</v>
      </c>
      <c r="H75" s="151"/>
      <c r="I75" s="474" t="s">
        <v>479</v>
      </c>
    </row>
    <row r="76" spans="1:9" ht="12.75">
      <c r="A76" s="152" t="s">
        <v>364</v>
      </c>
      <c r="B76" s="125">
        <v>19</v>
      </c>
      <c r="C76" s="258">
        <f>IF(C75&gt;0,'Tax Rates'!C22,0)</f>
        <v>10000000</v>
      </c>
      <c r="D76" s="18"/>
      <c r="E76" s="265">
        <f>+G76-C76</f>
        <v>0</v>
      </c>
      <c r="F76" s="6"/>
      <c r="G76" s="473">
        <v>10000000</v>
      </c>
      <c r="H76" s="151"/>
      <c r="I76" s="474" t="s">
        <v>479</v>
      </c>
    </row>
    <row r="77" spans="1:8" ht="12.75">
      <c r="A77" s="152" t="s">
        <v>42</v>
      </c>
      <c r="B77" s="125"/>
      <c r="C77" s="262">
        <f>IF((C75-C76)&gt;0,C75-C76,0)</f>
        <v>0</v>
      </c>
      <c r="D77" s="19"/>
      <c r="E77" s="265">
        <f>SUM(E75:E76)</f>
        <v>1815658.25</v>
      </c>
      <c r="F77" s="114"/>
      <c r="G77" s="262">
        <f>G75-G76</f>
        <v>26983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299">
        <f>'Tax Rates'!C19</f>
        <v>0.00225</v>
      </c>
      <c r="D79" s="102"/>
      <c r="E79" s="266">
        <f>G79-C79</f>
        <v>0</v>
      </c>
      <c r="F79" s="6"/>
      <c r="G79" s="266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2">
        <f>IF(C77&gt;0,C77*C79,0)*REGINFO!$B$6/REGINFO!$B$7</f>
        <v>0</v>
      </c>
      <c r="D81" s="102"/>
      <c r="E81" s="265">
        <f>+G81-C81</f>
        <v>60.71175</v>
      </c>
      <c r="F81" s="6"/>
      <c r="G81" s="262">
        <f>G77*G79*B9/B10</f>
        <v>60.71175</v>
      </c>
      <c r="H81" s="151"/>
    </row>
    <row r="82" spans="1:8" ht="12.75">
      <c r="A82" s="152" t="s">
        <v>319</v>
      </c>
      <c r="B82" s="125">
        <v>21</v>
      </c>
      <c r="C82" s="298">
        <f>IF(C77&gt;0,IF(C60&gt;0,C50*'Tax Rates'!C20,0),0)</f>
        <v>0</v>
      </c>
      <c r="D82" s="102"/>
      <c r="E82" s="265">
        <f>+G82-C82</f>
        <v>0</v>
      </c>
      <c r="F82" s="6"/>
      <c r="G82" s="298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2">
        <f>C81-C82</f>
        <v>0</v>
      </c>
      <c r="D84" s="16"/>
      <c r="E84" s="265">
        <f>E81-E82</f>
        <v>60.71175</v>
      </c>
      <c r="F84" s="103"/>
      <c r="G84" s="262">
        <f>G81-G82</f>
        <v>60.71175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0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373</v>
      </c>
      <c r="B90" s="127">
        <v>22</v>
      </c>
      <c r="C90" s="262">
        <f>C60/(1-C53)</f>
        <v>247741.8355732158</v>
      </c>
      <c r="D90" s="20"/>
      <c r="E90" s="139"/>
      <c r="F90" s="428" t="s">
        <v>485</v>
      </c>
      <c r="G90" s="268">
        <f>TAXREC!E156</f>
        <v>0</v>
      </c>
      <c r="H90" s="151"/>
    </row>
    <row r="91" spans="1:8" ht="12.75">
      <c r="A91" s="158" t="s">
        <v>374</v>
      </c>
      <c r="B91" s="127">
        <v>23</v>
      </c>
      <c r="C91" s="262">
        <f>C84/(1-C88)</f>
        <v>0</v>
      </c>
      <c r="D91" s="20"/>
      <c r="E91" s="139"/>
      <c r="F91" s="428" t="s">
        <v>485</v>
      </c>
      <c r="G91" s="268">
        <f>TAXREC!E158</f>
        <v>61</v>
      </c>
      <c r="H91" s="151"/>
    </row>
    <row r="92" spans="1:8" ht="12.75">
      <c r="A92" s="158" t="s">
        <v>352</v>
      </c>
      <c r="B92" s="127">
        <v>24</v>
      </c>
      <c r="C92" s="262">
        <f>C72</f>
        <v>9633.97425</v>
      </c>
      <c r="D92" s="20"/>
      <c r="E92" s="139"/>
      <c r="F92" s="428" t="s">
        <v>485</v>
      </c>
      <c r="G92" s="268">
        <f>TAXREC!E157</f>
        <v>14468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486</v>
      </c>
      <c r="B95" s="125">
        <v>25</v>
      </c>
      <c r="C95" s="267">
        <f>SUM(C90:C93)</f>
        <v>257375.8098232158</v>
      </c>
      <c r="D95" s="6"/>
      <c r="E95" s="139"/>
      <c r="F95" s="428" t="s">
        <v>485</v>
      </c>
      <c r="G95" s="411">
        <f>SUM(G90:G94)</f>
        <v>14529</v>
      </c>
      <c r="H95" s="164"/>
    </row>
    <row r="96" spans="1:8" ht="12.75">
      <c r="A96" s="401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47142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76272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367</v>
      </c>
      <c r="B106" s="127">
        <v>6</v>
      </c>
      <c r="C106" s="112"/>
      <c r="D106" s="3"/>
      <c r="E106" s="250">
        <f>E26</f>
        <v>41000</v>
      </c>
      <c r="F106" s="37"/>
      <c r="G106" s="200"/>
      <c r="H106" s="164"/>
    </row>
    <row r="107" spans="1:8" ht="12.75">
      <c r="A107" s="158" t="s">
        <v>368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0">
        <f>E206</f>
        <v>0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76272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47142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0">
        <f>E46</f>
        <v>113845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2">
        <f>SUM(E102:E107)-SUM(E109:E118)</f>
        <v>-72845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93" t="s">
        <v>499</v>
      </c>
      <c r="B122" s="127"/>
      <c r="C122" s="112"/>
      <c r="D122" s="3" t="s">
        <v>231</v>
      </c>
      <c r="E122" s="467">
        <v>0.1862</v>
      </c>
      <c r="F122" s="468"/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2">
        <f>E120*E122</f>
        <v>-13563.739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2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2">
        <f>E124-E126</f>
        <v>-13563.739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467">
        <f>18.62%-1.12%</f>
        <v>0.175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356</v>
      </c>
      <c r="B132" s="130"/>
      <c r="C132" s="112"/>
      <c r="D132" s="3"/>
      <c r="E132" s="261">
        <f>E128/(1-E130)</f>
        <v>-16440.89575757576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0">
        <f>C50</f>
        <v>478347.9521560216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7">
        <v>0.1862</v>
      </c>
      <c r="F138" s="497"/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1">
        <f>IF(E136&gt;0,E136*E138,0)</f>
        <v>89068.38869145123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2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0">
        <f>E140-E142</f>
        <v>89068.38869145123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0">
        <f>C60</f>
        <v>163212.32127563457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0">
        <f>E144-E146</f>
        <v>-74143.93258418335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4" t="s">
        <v>20</v>
      </c>
      <c r="B150" s="130"/>
      <c r="C150" s="112"/>
      <c r="D150" s="119"/>
      <c r="E150" s="480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0">
        <f>C66</f>
        <v>8211324.75</v>
      </c>
      <c r="F151" s="37"/>
      <c r="G151" s="200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3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0">
        <f>E151-E152</f>
        <v>3211324.75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4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0">
        <f>IF(E153&gt;0,E153*E155*B9/B10,0)</f>
        <v>9633.97425</v>
      </c>
      <c r="F157" s="37"/>
      <c r="G157" s="200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3">
        <f>C72</f>
        <v>9633.97425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2">
        <f>E157-E158</f>
        <v>0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4" t="s">
        <v>236</v>
      </c>
      <c r="B161" s="130"/>
      <c r="C161" s="112"/>
      <c r="D161" s="119"/>
      <c r="E161" s="302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0">
        <f>C75</f>
        <v>8211324.75</v>
      </c>
      <c r="F162" s="37"/>
      <c r="G162" s="200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3">
        <f>IF(E162&gt;0,'Tax Rates'!C40,0)</f>
        <v>10000000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0">
        <f>E162-E163</f>
        <v>-1788675.25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310</v>
      </c>
      <c r="B166" s="130"/>
      <c r="C166" s="112"/>
      <c r="D166" s="119"/>
      <c r="E166" s="304">
        <f>'Tax Rates'!C55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241</v>
      </c>
      <c r="B168" s="130"/>
      <c r="C168" s="112"/>
      <c r="D168" s="119"/>
      <c r="E168" s="300">
        <f>IF(E164&gt;0,E164*E166*B9/B10,0)</f>
        <v>0</v>
      </c>
      <c r="F168" s="37"/>
      <c r="G168" s="200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5">
        <f>IF(E164&gt;0,IF(E144&gt;0,E136*'Tax Rates'!C56,0),0)</f>
        <v>0</v>
      </c>
      <c r="F169" s="37"/>
      <c r="G169" s="200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0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2" t="s">
        <v>351</v>
      </c>
      <c r="B172" s="130"/>
      <c r="C172" s="112"/>
      <c r="D172" s="118" t="s">
        <v>188</v>
      </c>
      <c r="E172" s="303">
        <f>C84</f>
        <v>0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2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348</v>
      </c>
      <c r="B175" s="130"/>
      <c r="C175" s="112"/>
      <c r="D175" s="119"/>
      <c r="E175" s="467">
        <f>+E138-1.12%</f>
        <v>0.175</v>
      </c>
      <c r="F175" s="468"/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0">
        <f>E148/(1-E175)</f>
        <v>-89871.43343537376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0">
        <f>E173/(1-E175)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0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496">
        <f>SUM(E177:E179)</f>
        <v>-89871.43343537376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0">
        <f>E132</f>
        <v>-16440.89575757576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0">
        <f>E181+E183</f>
        <v>-106312.32919294952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6">
        <f>REGINFO!D62</f>
        <v>297660.495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6">
        <f>REGINFO!D66</f>
        <v>198440.0478439784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6">
        <f>E193-E194</f>
        <v>99220.4471560216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4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4"/>
      <c r="H200" s="164"/>
    </row>
    <row r="201" spans="1:8" ht="12.75">
      <c r="A201" s="155" t="s">
        <v>252</v>
      </c>
      <c r="B201" s="127"/>
      <c r="C201" s="112"/>
      <c r="D201" s="120"/>
      <c r="E201" s="306">
        <f>G37+G42</f>
        <v>123625</v>
      </c>
      <c r="F201" s="3"/>
      <c r="G201" s="484"/>
      <c r="H201" s="164"/>
    </row>
    <row r="202" spans="1:8" ht="12.75">
      <c r="A202" s="155" t="s">
        <v>347</v>
      </c>
      <c r="B202" s="127"/>
      <c r="C202" s="112"/>
      <c r="D202" s="120"/>
      <c r="E202" s="306">
        <f>REGINFO!D62</f>
        <v>297660.495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1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69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7">
        <f>+E196-E204</f>
        <v>99220.4471560216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workbookViewId="0" topLeftCell="A1">
      <selection activeCell="C14" sqref="C1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Midland Power Utility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3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4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7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328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259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223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326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327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486">
        <v>15336662</v>
      </c>
      <c r="D31" s="284"/>
      <c r="E31" s="282">
        <f>C31-D31</f>
        <v>15336662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6">
        <v>2346818</v>
      </c>
      <c r="D32" s="284"/>
      <c r="E32" s="282">
        <f>C32-D32</f>
        <v>2346818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86">
        <f>240667+224540</f>
        <v>465207</v>
      </c>
      <c r="D33" s="284"/>
      <c r="E33" s="282">
        <f>C33-D33</f>
        <v>465207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0">
        <v>15336662</v>
      </c>
      <c r="D39" s="284"/>
      <c r="E39" s="282">
        <f>C39-D39</f>
        <v>15336662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0">
        <v>560670</v>
      </c>
      <c r="D40" s="284"/>
      <c r="E40" s="282">
        <f aca="true" t="shared" si="0" ref="E40:E48">C40-D40</f>
        <v>560670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490">
        <v>351120</v>
      </c>
      <c r="D41" s="284"/>
      <c r="E41" s="282">
        <f t="shared" si="0"/>
        <v>351120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490">
        <v>799295</v>
      </c>
      <c r="D42" s="284"/>
      <c r="E42" s="282">
        <f t="shared" si="0"/>
        <v>799295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490">
        <v>445841</v>
      </c>
      <c r="D43" s="284"/>
      <c r="E43" s="282">
        <f t="shared" si="0"/>
        <v>445841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490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491</v>
      </c>
      <c r="B45" s="23" t="s">
        <v>188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3"/>
      <c r="D46" s="284"/>
      <c r="E46" s="282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79">
        <f>SUM(C31:C36)-SUM(C39:C49)</f>
        <v>655099</v>
      </c>
      <c r="D50" s="279">
        <f>SUM(D31:D36)-SUM(D39:D49)</f>
        <v>0</v>
      </c>
      <c r="E50" s="279">
        <f>SUM(E31:E35)-SUM(E39:E48)</f>
        <v>655099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3">
        <v>123625</v>
      </c>
      <c r="D51" s="283"/>
      <c r="E51" s="280">
        <f>+C51-D51</f>
        <v>123625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3">
        <v>10854</v>
      </c>
      <c r="D52" s="283"/>
      <c r="E52" s="281">
        <f>+C52-D52</f>
        <v>10854</v>
      </c>
      <c r="F52" s="8"/>
    </row>
    <row r="53" spans="1:6" ht="12.75">
      <c r="A53" s="2" t="s">
        <v>131</v>
      </c>
      <c r="B53" s="8" t="s">
        <v>189</v>
      </c>
      <c r="C53" s="279">
        <f>C50-C51-C52</f>
        <v>520620</v>
      </c>
      <c r="D53" s="279">
        <f>D50-D51-D52</f>
        <v>0</v>
      </c>
      <c r="E53" s="279">
        <f>E50-E51-E52</f>
        <v>520620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5">
        <f>+C52</f>
        <v>10854</v>
      </c>
      <c r="D59" s="285">
        <f>D52</f>
        <v>0</v>
      </c>
      <c r="E59" s="270">
        <f>+C59-D59</f>
        <v>10854</v>
      </c>
      <c r="F59" s="8"/>
    </row>
    <row r="60" spans="1:6" ht="12.75">
      <c r="A60" s="4" t="s">
        <v>329</v>
      </c>
      <c r="B60" s="8" t="s">
        <v>187</v>
      </c>
      <c r="C60" s="315"/>
      <c r="D60" s="315"/>
      <c r="E60" s="270">
        <f>+C60-D60</f>
        <v>0</v>
      </c>
      <c r="F60" s="8"/>
    </row>
    <row r="61" spans="1:7" ht="12.75">
      <c r="A61" t="s">
        <v>4</v>
      </c>
      <c r="B61" s="8" t="s">
        <v>187</v>
      </c>
      <c r="C61" s="476">
        <f>C43</f>
        <v>445841</v>
      </c>
      <c r="D61" s="285">
        <f>D43</f>
        <v>0</v>
      </c>
      <c r="E61" s="270">
        <f>+C61-D61</f>
        <v>445841</v>
      </c>
      <c r="F61" s="8"/>
      <c r="G61" s="413"/>
    </row>
    <row r="62" spans="1:6" ht="12.75">
      <c r="A62" t="s">
        <v>6</v>
      </c>
      <c r="B62" s="8" t="s">
        <v>187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279</v>
      </c>
      <c r="B63" s="8" t="s">
        <v>187</v>
      </c>
      <c r="C63" s="313">
        <f>'Tax Reserves'!C22</f>
        <v>47142</v>
      </c>
      <c r="D63" s="314">
        <f>'Tax Reserves'!D22</f>
        <v>0</v>
      </c>
      <c r="E63" s="270">
        <f>C63-D63</f>
        <v>47142</v>
      </c>
      <c r="F63" s="8"/>
    </row>
    <row r="64" spans="1:6" ht="12.75">
      <c r="A64" s="4" t="s">
        <v>52</v>
      </c>
      <c r="B64" s="8" t="s">
        <v>187</v>
      </c>
      <c r="C64" s="313">
        <v>76272</v>
      </c>
      <c r="D64" s="314">
        <f>'Tax Reserves'!D63</f>
        <v>0</v>
      </c>
      <c r="E64" s="270">
        <f>+C64-D64</f>
        <v>76272</v>
      </c>
      <c r="F64" s="8"/>
    </row>
    <row r="65" spans="1:6" ht="12.75">
      <c r="A65" t="s">
        <v>448</v>
      </c>
      <c r="B65" s="8" t="s">
        <v>187</v>
      </c>
      <c r="C65" s="284"/>
      <c r="D65" s="284"/>
      <c r="E65" s="270">
        <f>+C65-D65</f>
        <v>0</v>
      </c>
      <c r="F65" s="8"/>
    </row>
    <row r="66" spans="1:6" ht="15">
      <c r="A66" s="465" t="s">
        <v>399</v>
      </c>
      <c r="B66" s="8"/>
      <c r="C66" s="444">
        <f>'TAXREC 3 No True-up'!C47</f>
        <v>347</v>
      </c>
      <c r="D66" s="444">
        <f>'TAXREC 3 No True-up'!D47</f>
        <v>0</v>
      </c>
      <c r="E66" s="270">
        <f>+C66-D66</f>
        <v>347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0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0">
        <f>SUM(C59:C68)</f>
        <v>580456</v>
      </c>
      <c r="D70" s="270">
        <f>SUM(D59:D68)</f>
        <v>0</v>
      </c>
      <c r="E70" s="270">
        <f>SUM(E59:E68)</f>
        <v>580456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2"/>
      <c r="D73" s="292"/>
      <c r="E73" s="270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2"/>
      <c r="D74" s="292"/>
      <c r="E74" s="270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2"/>
      <c r="D75" s="292"/>
      <c r="E75" s="270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483</v>
      </c>
      <c r="B76" s="8" t="s">
        <v>187</v>
      </c>
      <c r="C76" s="477"/>
      <c r="D76" s="292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497</v>
      </c>
      <c r="B77" s="8" t="s">
        <v>187</v>
      </c>
      <c r="C77" s="292">
        <v>41000</v>
      </c>
      <c r="D77" s="292"/>
      <c r="E77" s="270">
        <f t="shared" si="1"/>
        <v>41000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2"/>
      <c r="D78" s="292"/>
      <c r="E78" s="270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2"/>
      <c r="D79" s="292"/>
      <c r="E79" s="270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41000</v>
      </c>
      <c r="D80" s="250">
        <f>SUM(D73:D79)</f>
        <v>0</v>
      </c>
      <c r="E80" s="250">
        <f>SUM(E73:E79)</f>
        <v>41000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621456</v>
      </c>
      <c r="D82" s="250">
        <f>D70+D80</f>
        <v>0</v>
      </c>
      <c r="E82" s="250">
        <f>E70+E80</f>
        <v>621456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8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Incorporation Costs </v>
      </c>
      <c r="B89" s="271"/>
      <c r="C89" s="288">
        <f t="shared" si="3"/>
        <v>41000</v>
      </c>
      <c r="D89" s="288">
        <f t="shared" si="3"/>
        <v>0</v>
      </c>
      <c r="E89" s="288">
        <f t="shared" si="3"/>
        <v>41000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151</v>
      </c>
      <c r="B92" s="271"/>
      <c r="C92" s="277">
        <f>SUM(C85:C91)</f>
        <v>41000</v>
      </c>
      <c r="D92" s="277">
        <f>SUM(D85:D91)</f>
        <v>0</v>
      </c>
      <c r="E92" s="277">
        <f>SUM(E85:E91)</f>
        <v>41000</v>
      </c>
      <c r="F92" s="8"/>
      <c r="G92" s="45"/>
      <c r="H92" s="45"/>
      <c r="I92" s="45"/>
      <c r="J92" s="45"/>
      <c r="K92" s="45"/>
    </row>
    <row r="93" spans="1:11" ht="12.75">
      <c r="A93" s="271" t="s">
        <v>436</v>
      </c>
      <c r="B93" s="271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197</v>
      </c>
      <c r="B94" s="271"/>
      <c r="C94" s="250">
        <f>C92+C93</f>
        <v>41000</v>
      </c>
      <c r="D94" s="250">
        <f>D92+D93</f>
        <v>0</v>
      </c>
      <c r="E94" s="250">
        <f>E92+E93</f>
        <v>41000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2">
        <v>355592</v>
      </c>
      <c r="D97" s="292"/>
      <c r="E97" s="270">
        <f>+C97-D97</f>
        <v>355592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2">
        <v>2936</v>
      </c>
      <c r="D98" s="292"/>
      <c r="E98" s="270">
        <f>+C98-D98</f>
        <v>2936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2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6">
        <f>'Tax Reserves'!C35</f>
        <v>76272</v>
      </c>
      <c r="D104" s="316">
        <f>'Tax Reserves'!D35</f>
        <v>0</v>
      </c>
      <c r="E104" s="270">
        <f t="shared" si="5"/>
        <v>76272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6">
        <f>'Tax Reserves'!C50</f>
        <v>47142</v>
      </c>
      <c r="D105" s="316">
        <f>'Tax Reserves'!D50</f>
        <v>0</v>
      </c>
      <c r="E105" s="280">
        <f t="shared" si="5"/>
        <v>47142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399</v>
      </c>
      <c r="B108" s="8"/>
      <c r="C108" s="253">
        <f>'TAXREC 3 No True-up'!C73</f>
        <v>424284</v>
      </c>
      <c r="D108" s="253">
        <f>'TAXREC 3 No True-up'!D73</f>
        <v>0</v>
      </c>
      <c r="E108" s="270">
        <f t="shared" si="5"/>
        <v>424284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113845</v>
      </c>
      <c r="D110" s="250">
        <f>'TAXREC 2'!D119</f>
        <v>0</v>
      </c>
      <c r="E110" s="250">
        <f>'TAXREC 2'!E119</f>
        <v>113845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1020071</v>
      </c>
      <c r="D113" s="250">
        <f>SUM(D97:D111)</f>
        <v>0</v>
      </c>
      <c r="E113" s="250">
        <f>SUM(E97:E111)</f>
        <v>1020071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2"/>
      <c r="D115" s="292"/>
      <c r="E115" s="270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2"/>
      <c r="D116" s="292"/>
      <c r="E116" s="270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496</v>
      </c>
      <c r="B117" s="8" t="s">
        <v>188</v>
      </c>
      <c r="C117" s="292"/>
      <c r="D117" s="292"/>
      <c r="E117" s="270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2"/>
      <c r="D118" s="292"/>
      <c r="E118" s="270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2"/>
      <c r="D119" s="292"/>
      <c r="E119" s="270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1020071</v>
      </c>
      <c r="D122" s="250">
        <f>D113+D120</f>
        <v>0</v>
      </c>
      <c r="E122" s="250">
        <f>+E113+E120</f>
        <v>1020071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199</v>
      </c>
      <c r="B130" s="271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200</v>
      </c>
      <c r="B131" s="271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198</v>
      </c>
      <c r="B132" s="271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122005</v>
      </c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122005</v>
      </c>
      <c r="D134" s="250">
        <f>D53+D82-D122</f>
        <v>0</v>
      </c>
      <c r="E134" s="250">
        <f>E53+E82-E122</f>
        <v>122005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3">
        <f>I133-I134</f>
        <v>-1424789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92">
        <v>122005</v>
      </c>
      <c r="D136" s="292"/>
      <c r="E136" s="262">
        <f>C136-D136</f>
        <v>122005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08"/>
      <c r="D137" s="308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7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6">
        <v>0</v>
      </c>
      <c r="D142" s="296"/>
      <c r="E142" s="251">
        <f>C142-D142</f>
        <v>0</v>
      </c>
      <c r="F142" s="8"/>
      <c r="G142" s="45" t="s">
        <v>492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6">
        <v>0</v>
      </c>
      <c r="D143" s="296"/>
      <c r="E143" s="290">
        <f>C143-D143</f>
        <v>0</v>
      </c>
      <c r="F143" s="8"/>
      <c r="G143" s="45" t="s">
        <v>492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99</v>
      </c>
      <c r="B146" s="8" t="s">
        <v>189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2"/>
      <c r="D149" s="5"/>
      <c r="E149" s="403">
        <f>C149</f>
        <v>0</v>
      </c>
      <c r="F149" s="8"/>
      <c r="G149" s="45" t="s">
        <v>474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2"/>
      <c r="D150" s="5"/>
      <c r="E150" s="403">
        <f>C150</f>
        <v>0</v>
      </c>
      <c r="F150" s="8"/>
      <c r="G150" s="45" t="s">
        <v>475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3">
        <f>SUM(C149:C150)</f>
        <v>0</v>
      </c>
      <c r="D151" s="482" t="s">
        <v>487</v>
      </c>
      <c r="E151" s="403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484</v>
      </c>
      <c r="B155" s="8"/>
    </row>
    <row r="156" spans="1:5" ht="12.75">
      <c r="A156" t="s">
        <v>219</v>
      </c>
      <c r="B156" s="86" t="s">
        <v>187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187</v>
      </c>
      <c r="C157" s="479">
        <v>14468</v>
      </c>
      <c r="D157" s="250"/>
      <c r="E157" s="250">
        <f>C157+D157</f>
        <v>14468</v>
      </c>
    </row>
    <row r="158" spans="1:5" ht="12.75">
      <c r="A158" t="s">
        <v>218</v>
      </c>
      <c r="B158" s="86" t="s">
        <v>187</v>
      </c>
      <c r="C158" s="479">
        <v>61</v>
      </c>
      <c r="D158" s="250"/>
      <c r="E158" s="250">
        <f>C158+D158</f>
        <v>61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0">
        <f>C156+C157+C158</f>
        <v>14529</v>
      </c>
      <c r="D160" s="250">
        <f>D156+D157+D158</f>
        <v>0</v>
      </c>
      <c r="E160" s="250">
        <f>E156+E157+E158</f>
        <v>14529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Midland Power Utility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50">
        <f>C13-D13</f>
        <v>0</v>
      </c>
    </row>
    <row r="14" spans="1:5" ht="12.75">
      <c r="A14" s="61" t="s">
        <v>281</v>
      </c>
      <c r="B14" s="61"/>
      <c r="C14" s="292">
        <v>47142</v>
      </c>
      <c r="D14" s="292"/>
      <c r="E14" s="250">
        <f aca="true" t="shared" si="0" ref="E14:E21">C14-D14</f>
        <v>47142</v>
      </c>
    </row>
    <row r="15" spans="1:5" ht="12.75">
      <c r="A15" s="61" t="s">
        <v>282</v>
      </c>
      <c r="B15" s="61"/>
      <c r="C15" s="292"/>
      <c r="D15" s="292"/>
      <c r="E15" s="250">
        <f t="shared" si="0"/>
        <v>0</v>
      </c>
    </row>
    <row r="16" spans="1:5" ht="12.75">
      <c r="A16" s="61" t="s">
        <v>283</v>
      </c>
      <c r="B16" s="61"/>
      <c r="C16" s="292"/>
      <c r="D16" s="292"/>
      <c r="E16" s="250">
        <f t="shared" si="0"/>
        <v>0</v>
      </c>
    </row>
    <row r="17" spans="1:5" ht="12.75">
      <c r="A17" s="61" t="s">
        <v>284</v>
      </c>
      <c r="B17" s="61"/>
      <c r="C17" s="292"/>
      <c r="D17" s="292"/>
      <c r="E17" s="250">
        <f t="shared" si="0"/>
        <v>0</v>
      </c>
    </row>
    <row r="18" spans="1:5" ht="12.75">
      <c r="A18" s="61" t="s">
        <v>453</v>
      </c>
      <c r="B18" s="61"/>
      <c r="C18" s="292"/>
      <c r="D18" s="292"/>
      <c r="E18" s="250">
        <f t="shared" si="0"/>
        <v>0</v>
      </c>
    </row>
    <row r="19" spans="1:5" ht="12.75">
      <c r="A19" s="61" t="s">
        <v>453</v>
      </c>
      <c r="B19" s="61"/>
      <c r="C19" s="292"/>
      <c r="D19" s="292"/>
      <c r="E19" s="250">
        <f t="shared" si="0"/>
        <v>0</v>
      </c>
    </row>
    <row r="20" spans="1:5" ht="12.75">
      <c r="A20" s="61"/>
      <c r="B20" s="61"/>
      <c r="C20" s="292"/>
      <c r="D20" s="292"/>
      <c r="E20" s="250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5" ht="12.75">
      <c r="A22" s="2" t="s">
        <v>180</v>
      </c>
      <c r="C22" s="250">
        <f>SUM(C13:C21)</f>
        <v>47142</v>
      </c>
      <c r="D22" s="250">
        <f>SUM(D13:D21)</f>
        <v>0</v>
      </c>
      <c r="E22" s="250">
        <f>SUM(E13:E21)</f>
        <v>47142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1"/>
      <c r="C24" s="91"/>
      <c r="D24" s="91"/>
      <c r="E24" s="91"/>
    </row>
    <row r="25" spans="1:5" ht="12.75">
      <c r="A25" s="61"/>
      <c r="B25" s="61"/>
      <c r="C25" s="292"/>
      <c r="D25" s="292"/>
      <c r="E25" s="250">
        <f>C25-D25</f>
        <v>0</v>
      </c>
    </row>
    <row r="26" spans="1:5" ht="12.75">
      <c r="A26" s="61" t="s">
        <v>281</v>
      </c>
      <c r="B26" s="61"/>
      <c r="C26" s="292">
        <v>76272</v>
      </c>
      <c r="D26" s="292"/>
      <c r="E26" s="250">
        <f aca="true" t="shared" si="1" ref="E26:E33">C26-D26</f>
        <v>76272</v>
      </c>
    </row>
    <row r="27" spans="1:5" ht="12.75">
      <c r="A27" s="61" t="s">
        <v>282</v>
      </c>
      <c r="B27" s="61"/>
      <c r="C27" s="292"/>
      <c r="D27" s="292"/>
      <c r="E27" s="250">
        <f t="shared" si="1"/>
        <v>0</v>
      </c>
    </row>
    <row r="28" spans="1:5" ht="12.75">
      <c r="A28" s="61" t="s">
        <v>283</v>
      </c>
      <c r="B28" s="61"/>
      <c r="C28" s="292"/>
      <c r="D28" s="292"/>
      <c r="E28" s="250">
        <f t="shared" si="1"/>
        <v>0</v>
      </c>
    </row>
    <row r="29" spans="1:5" ht="12.75">
      <c r="A29" s="61" t="s">
        <v>284</v>
      </c>
      <c r="B29" s="61"/>
      <c r="C29" s="292"/>
      <c r="D29" s="292"/>
      <c r="E29" s="250">
        <f t="shared" si="1"/>
        <v>0</v>
      </c>
    </row>
    <row r="30" spans="1:5" ht="12.75">
      <c r="A30" s="61" t="s">
        <v>453</v>
      </c>
      <c r="B30" s="61"/>
      <c r="C30" s="292"/>
      <c r="D30" s="292"/>
      <c r="E30" s="250">
        <f t="shared" si="1"/>
        <v>0</v>
      </c>
    </row>
    <row r="31" spans="1:5" ht="12.75">
      <c r="A31" s="61" t="s">
        <v>453</v>
      </c>
      <c r="B31" s="61"/>
      <c r="C31" s="292"/>
      <c r="D31" s="292"/>
      <c r="E31" s="250">
        <f t="shared" si="1"/>
        <v>0</v>
      </c>
    </row>
    <row r="32" spans="1:5" ht="12.75">
      <c r="A32" s="61"/>
      <c r="B32" s="61"/>
      <c r="C32" s="292"/>
      <c r="D32" s="292"/>
      <c r="E32" s="250">
        <f t="shared" si="1"/>
        <v>0</v>
      </c>
    </row>
    <row r="33" spans="1:5" ht="13.5" thickBot="1">
      <c r="A33" s="62"/>
      <c r="B33" s="61"/>
      <c r="C33" s="292"/>
      <c r="D33" s="292"/>
      <c r="E33" s="250">
        <f t="shared" si="1"/>
        <v>0</v>
      </c>
    </row>
    <row r="34" spans="1:5" ht="12.75">
      <c r="A34" s="56" t="s">
        <v>132</v>
      </c>
      <c r="C34" s="22"/>
      <c r="D34" s="22"/>
      <c r="E34" s="277"/>
    </row>
    <row r="35" spans="1:5" ht="12.75">
      <c r="A35" s="2" t="s">
        <v>180</v>
      </c>
      <c r="C35" s="250">
        <f>SUM(C25:C33)</f>
        <v>76272</v>
      </c>
      <c r="D35" s="250">
        <f>SUM(D25:D33)</f>
        <v>0</v>
      </c>
      <c r="E35" s="250">
        <f>SUM(E25:E33)</f>
        <v>76272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1"/>
      <c r="C40" s="91"/>
      <c r="D40" s="91"/>
      <c r="E40" s="91"/>
    </row>
    <row r="41" spans="1:5" ht="12.75">
      <c r="A41" s="61"/>
      <c r="B41" s="61"/>
      <c r="C41" s="292"/>
      <c r="D41" s="292"/>
      <c r="E41" s="250">
        <f>C41-D41</f>
        <v>0</v>
      </c>
    </row>
    <row r="42" spans="1:5" ht="12.75">
      <c r="A42" s="61"/>
      <c r="B42" s="61"/>
      <c r="C42" s="292"/>
      <c r="D42" s="292"/>
      <c r="E42" s="250">
        <f aca="true" t="shared" si="2" ref="E42:E49">C42-D42</f>
        <v>0</v>
      </c>
    </row>
    <row r="43" spans="1:5" ht="12.75">
      <c r="A43" s="61" t="s">
        <v>267</v>
      </c>
      <c r="B43" s="61"/>
      <c r="C43" s="292"/>
      <c r="D43" s="292"/>
      <c r="E43" s="250">
        <f t="shared" si="2"/>
        <v>0</v>
      </c>
    </row>
    <row r="44" spans="1:5" ht="12.75">
      <c r="A44" s="61" t="s">
        <v>268</v>
      </c>
      <c r="B44" s="61"/>
      <c r="C44" s="292">
        <v>47142</v>
      </c>
      <c r="D44" s="292"/>
      <c r="E44" s="250">
        <f t="shared" si="2"/>
        <v>47142</v>
      </c>
    </row>
    <row r="45" spans="1:5" ht="12.75">
      <c r="A45" s="61" t="s">
        <v>269</v>
      </c>
      <c r="B45" s="61"/>
      <c r="C45" s="292"/>
      <c r="D45" s="292"/>
      <c r="E45" s="250">
        <f t="shared" si="2"/>
        <v>0</v>
      </c>
    </row>
    <row r="46" spans="1:5" ht="12.75">
      <c r="A46" s="61" t="s">
        <v>270</v>
      </c>
      <c r="B46" s="61"/>
      <c r="C46" s="292"/>
      <c r="D46" s="292"/>
      <c r="E46" s="250">
        <f t="shared" si="2"/>
        <v>0</v>
      </c>
    </row>
    <row r="47" spans="1:5" ht="12.75">
      <c r="A47" s="61" t="s">
        <v>453</v>
      </c>
      <c r="B47" s="61"/>
      <c r="C47" s="292"/>
      <c r="D47" s="292"/>
      <c r="E47" s="250">
        <f t="shared" si="2"/>
        <v>0</v>
      </c>
    </row>
    <row r="48" spans="1:5" ht="12.75">
      <c r="A48" s="61" t="s">
        <v>453</v>
      </c>
      <c r="B48" s="61"/>
      <c r="C48" s="292"/>
      <c r="D48" s="292"/>
      <c r="E48" s="250">
        <f t="shared" si="2"/>
        <v>0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5" ht="12.75">
      <c r="A50" s="2" t="s">
        <v>180</v>
      </c>
      <c r="C50" s="250">
        <f>SUM(C41:C49)</f>
        <v>47142</v>
      </c>
      <c r="D50" s="250">
        <f>SUM(D41:D49)</f>
        <v>0</v>
      </c>
      <c r="E50" s="250">
        <f>SUM(E41:E49)</f>
        <v>47142</v>
      </c>
    </row>
    <row r="51" spans="3:5" ht="12.75">
      <c r="C51" s="22"/>
      <c r="D51" s="22"/>
      <c r="E51" s="22"/>
    </row>
    <row r="52" spans="1:5" ht="12.75">
      <c r="A52" s="246" t="s">
        <v>272</v>
      </c>
      <c r="B52" s="61"/>
      <c r="C52" s="91"/>
      <c r="D52" s="91"/>
      <c r="E52" s="91"/>
    </row>
    <row r="53" spans="1:5" ht="12.75">
      <c r="A53" s="61"/>
      <c r="B53" s="61"/>
      <c r="C53" s="292"/>
      <c r="D53" s="292"/>
      <c r="E53" s="250">
        <f>C53-D53</f>
        <v>0</v>
      </c>
    </row>
    <row r="54" spans="1:5" ht="12.75">
      <c r="A54" s="245"/>
      <c r="B54" s="61"/>
      <c r="C54" s="292"/>
      <c r="D54" s="292"/>
      <c r="E54" s="250">
        <f aca="true" t="shared" si="3" ref="E54:E61">C54-D54</f>
        <v>0</v>
      </c>
    </row>
    <row r="55" spans="1:5" ht="12.75">
      <c r="A55" s="245" t="s">
        <v>267</v>
      </c>
      <c r="B55" s="61"/>
      <c r="C55" s="292"/>
      <c r="D55" s="292"/>
      <c r="E55" s="250">
        <f t="shared" si="3"/>
        <v>0</v>
      </c>
    </row>
    <row r="56" spans="1:5" ht="12.75">
      <c r="A56" s="245" t="s">
        <v>268</v>
      </c>
      <c r="B56" s="61"/>
      <c r="C56" s="292">
        <v>76272</v>
      </c>
      <c r="D56" s="292"/>
      <c r="E56" s="250">
        <f t="shared" si="3"/>
        <v>76272</v>
      </c>
    </row>
    <row r="57" spans="1:5" ht="12.75">
      <c r="A57" s="245" t="s">
        <v>269</v>
      </c>
      <c r="B57" s="61"/>
      <c r="C57" s="292"/>
      <c r="D57" s="292"/>
      <c r="E57" s="250">
        <f t="shared" si="3"/>
        <v>0</v>
      </c>
    </row>
    <row r="58" spans="1:5" ht="12.75">
      <c r="A58" s="245" t="s">
        <v>270</v>
      </c>
      <c r="B58" s="61"/>
      <c r="C58" s="292"/>
      <c r="D58" s="292"/>
      <c r="E58" s="250">
        <f t="shared" si="3"/>
        <v>0</v>
      </c>
    </row>
    <row r="59" spans="1:5" ht="12.75">
      <c r="A59" s="61" t="s">
        <v>453</v>
      </c>
      <c r="B59" s="61"/>
      <c r="C59" s="292"/>
      <c r="D59" s="292"/>
      <c r="E59" s="250">
        <f t="shared" si="3"/>
        <v>0</v>
      </c>
    </row>
    <row r="60" spans="1:5" ht="12.75">
      <c r="A60" s="61" t="s">
        <v>453</v>
      </c>
      <c r="B60" s="61"/>
      <c r="C60" s="292"/>
      <c r="D60" s="292"/>
      <c r="E60" s="250">
        <f t="shared" si="3"/>
        <v>0</v>
      </c>
    </row>
    <row r="61" spans="1:5" ht="13.5" thickBot="1">
      <c r="A61" s="62"/>
      <c r="B61" s="61"/>
      <c r="C61" s="292"/>
      <c r="D61" s="292"/>
      <c r="E61" s="250">
        <f t="shared" si="3"/>
        <v>0</v>
      </c>
    </row>
    <row r="62" spans="1:5" ht="12.75">
      <c r="A62" s="56" t="s">
        <v>132</v>
      </c>
      <c r="C62" s="22"/>
      <c r="D62" s="22"/>
      <c r="E62" s="277"/>
    </row>
    <row r="63" spans="1:5" ht="12.75">
      <c r="A63" s="2" t="s">
        <v>180</v>
      </c>
      <c r="C63" s="250">
        <f>SUM(C53:C61)</f>
        <v>76272</v>
      </c>
      <c r="D63" s="250">
        <f>SUM(D53:D61)</f>
        <v>0</v>
      </c>
      <c r="E63" s="250">
        <f>SUM(E53:E61)</f>
        <v>76272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workbookViewId="0" topLeftCell="A80">
      <selection activeCell="A99" sqref="A9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471</v>
      </c>
      <c r="B5" s="8"/>
      <c r="C5" s="8" t="s">
        <v>2</v>
      </c>
      <c r="D5" s="8"/>
      <c r="E5" s="8"/>
      <c r="F5" s="8"/>
    </row>
    <row r="6" spans="1:6" ht="12.75">
      <c r="A6" s="413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Midland Power Utility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3"/>
      <c r="D17" s="293"/>
      <c r="E17" s="310">
        <f>C17-D17</f>
        <v>0</v>
      </c>
    </row>
    <row r="18" spans="1:5" ht="12.75">
      <c r="A18" s="67" t="s">
        <v>253</v>
      </c>
      <c r="B18" t="s">
        <v>187</v>
      </c>
      <c r="C18" s="293"/>
      <c r="D18" s="293"/>
      <c r="E18" s="310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3"/>
      <c r="D19" s="293"/>
      <c r="E19" s="310">
        <f t="shared" si="0"/>
        <v>0</v>
      </c>
    </row>
    <row r="20" spans="1:5" ht="12.75">
      <c r="A20" s="67" t="s">
        <v>454</v>
      </c>
      <c r="B20" t="s">
        <v>187</v>
      </c>
      <c r="C20" s="293"/>
      <c r="D20" s="311"/>
      <c r="E20" s="310">
        <f t="shared" si="0"/>
        <v>0</v>
      </c>
    </row>
    <row r="21" spans="1:5" ht="12.75">
      <c r="A21" s="67" t="s">
        <v>8</v>
      </c>
      <c r="B21" t="s">
        <v>187</v>
      </c>
      <c r="C21" s="293"/>
      <c r="D21" s="293"/>
      <c r="E21" s="310">
        <f t="shared" si="0"/>
        <v>0</v>
      </c>
    </row>
    <row r="22" spans="1:5" ht="12.75">
      <c r="A22" s="67"/>
      <c r="B22" t="s">
        <v>187</v>
      </c>
      <c r="C22" s="293"/>
      <c r="D22" s="293"/>
      <c r="E22" s="310">
        <f t="shared" si="0"/>
        <v>0</v>
      </c>
    </row>
    <row r="23" spans="1:5" ht="12.75">
      <c r="A23" s="67" t="s">
        <v>137</v>
      </c>
      <c r="B23" t="s">
        <v>187</v>
      </c>
      <c r="C23" s="293"/>
      <c r="D23" s="293"/>
      <c r="E23" s="310">
        <f t="shared" si="0"/>
        <v>0</v>
      </c>
    </row>
    <row r="24" spans="1:5" ht="12.75">
      <c r="A24" s="67" t="s">
        <v>138</v>
      </c>
      <c r="B24" t="s">
        <v>187</v>
      </c>
      <c r="C24" s="293"/>
      <c r="D24" s="293"/>
      <c r="E24" s="310">
        <f t="shared" si="0"/>
        <v>0</v>
      </c>
    </row>
    <row r="25" spans="1:5" ht="12.75">
      <c r="A25" s="67" t="s">
        <v>9</v>
      </c>
      <c r="B25" t="s">
        <v>187</v>
      </c>
      <c r="C25" s="293"/>
      <c r="D25" s="293"/>
      <c r="E25" s="310">
        <f t="shared" si="0"/>
        <v>0</v>
      </c>
    </row>
    <row r="26" spans="1:5" ht="12.75">
      <c r="A26" s="67" t="s">
        <v>191</v>
      </c>
      <c r="B26" t="s">
        <v>187</v>
      </c>
      <c r="C26" s="293"/>
      <c r="D26" s="293"/>
      <c r="E26" s="310">
        <f t="shared" si="0"/>
        <v>0</v>
      </c>
    </row>
    <row r="27" spans="1:5" ht="12.75">
      <c r="A27" s="67" t="s">
        <v>7</v>
      </c>
      <c r="B27" t="s">
        <v>187</v>
      </c>
      <c r="C27" s="293"/>
      <c r="D27" s="293"/>
      <c r="E27" s="310">
        <f t="shared" si="0"/>
        <v>0</v>
      </c>
    </row>
    <row r="28" spans="1:5" ht="12.75">
      <c r="A28" s="67" t="s">
        <v>124</v>
      </c>
      <c r="B28" t="s">
        <v>187</v>
      </c>
      <c r="C28" s="293"/>
      <c r="D28" s="293"/>
      <c r="E28" s="310">
        <f t="shared" si="0"/>
        <v>0</v>
      </c>
    </row>
    <row r="29" spans="1:5" ht="12.75">
      <c r="A29" s="67" t="s">
        <v>139</v>
      </c>
      <c r="B29" t="s">
        <v>187</v>
      </c>
      <c r="C29" s="293"/>
      <c r="D29" s="293"/>
      <c r="E29" s="310">
        <f t="shared" si="0"/>
        <v>0</v>
      </c>
    </row>
    <row r="30" spans="1:5" ht="12.75">
      <c r="A30" s="67" t="s">
        <v>140</v>
      </c>
      <c r="B30" t="s">
        <v>187</v>
      </c>
      <c r="C30" s="293"/>
      <c r="D30" s="293"/>
      <c r="E30" s="310">
        <f t="shared" si="0"/>
        <v>0</v>
      </c>
    </row>
    <row r="31" spans="1:5" ht="12.75">
      <c r="A31" s="67" t="s">
        <v>254</v>
      </c>
      <c r="B31" t="s">
        <v>187</v>
      </c>
      <c r="C31" s="293"/>
      <c r="D31" s="293"/>
      <c r="E31" s="310">
        <f t="shared" si="0"/>
        <v>0</v>
      </c>
    </row>
    <row r="32" spans="1:5" ht="12.75">
      <c r="A32" s="67" t="s">
        <v>141</v>
      </c>
      <c r="B32" t="s">
        <v>187</v>
      </c>
      <c r="C32" s="293"/>
      <c r="D32" s="293"/>
      <c r="E32" s="310">
        <f t="shared" si="0"/>
        <v>0</v>
      </c>
    </row>
    <row r="33" spans="1:5" ht="12.75">
      <c r="A33" s="67" t="s">
        <v>142</v>
      </c>
      <c r="B33" t="s">
        <v>187</v>
      </c>
      <c r="C33" s="293"/>
      <c r="D33" s="293"/>
      <c r="E33" s="310">
        <f t="shared" si="0"/>
        <v>0</v>
      </c>
    </row>
    <row r="34" spans="1:5" ht="12.75">
      <c r="A34" s="67" t="s">
        <v>143</v>
      </c>
      <c r="B34" t="s">
        <v>187</v>
      </c>
      <c r="C34" s="293"/>
      <c r="D34" s="293"/>
      <c r="E34" s="310">
        <f t="shared" si="0"/>
        <v>0</v>
      </c>
    </row>
    <row r="35" spans="1:5" ht="12.75">
      <c r="A35" s="67" t="s">
        <v>193</v>
      </c>
      <c r="B35" t="s">
        <v>187</v>
      </c>
      <c r="C35" s="293"/>
      <c r="D35" s="293"/>
      <c r="E35" s="310">
        <f t="shared" si="0"/>
        <v>0</v>
      </c>
    </row>
    <row r="36" spans="1:5" ht="12.75">
      <c r="A36" s="67" t="s">
        <v>482</v>
      </c>
      <c r="B36" t="s">
        <v>187</v>
      </c>
      <c r="C36" s="293"/>
      <c r="D36" s="293"/>
      <c r="E36" s="310">
        <f t="shared" si="0"/>
        <v>0</v>
      </c>
    </row>
    <row r="37" spans="1:5" ht="12.75">
      <c r="A37" s="67"/>
      <c r="B37" t="s">
        <v>187</v>
      </c>
      <c r="C37" s="293"/>
      <c r="D37" s="293"/>
      <c r="E37" s="310">
        <f t="shared" si="0"/>
        <v>0</v>
      </c>
    </row>
    <row r="38" spans="2:5" ht="12.75">
      <c r="B38" t="s">
        <v>187</v>
      </c>
      <c r="C38" s="293"/>
      <c r="D38" s="293"/>
      <c r="E38" s="250">
        <f t="shared" si="0"/>
        <v>0</v>
      </c>
    </row>
    <row r="39" spans="2:5" ht="12.75">
      <c r="B39" t="s">
        <v>187</v>
      </c>
      <c r="C39" s="292"/>
      <c r="D39" s="293"/>
      <c r="E39" s="250">
        <f t="shared" si="0"/>
        <v>0</v>
      </c>
    </row>
    <row r="40" spans="1:5" ht="12.75">
      <c r="A40" s="68" t="s">
        <v>204</v>
      </c>
      <c r="B40" t="s">
        <v>187</v>
      </c>
      <c r="C40" s="292"/>
      <c r="D40" s="292"/>
      <c r="E40" s="250">
        <f t="shared" si="0"/>
        <v>0</v>
      </c>
    </row>
    <row r="41" spans="1:5" ht="12.75">
      <c r="A41" s="67"/>
      <c r="B41" t="s">
        <v>187</v>
      </c>
      <c r="C41" s="292"/>
      <c r="D41" s="292"/>
      <c r="E41" s="250">
        <f t="shared" si="0"/>
        <v>0</v>
      </c>
    </row>
    <row r="42" spans="1:5" ht="12.75">
      <c r="A42" s="67"/>
      <c r="B42" t="s">
        <v>187</v>
      </c>
      <c r="C42" s="292"/>
      <c r="D42" s="292"/>
      <c r="E42" s="250">
        <f t="shared" si="0"/>
        <v>0</v>
      </c>
    </row>
    <row r="43" spans="1:5" ht="12.75">
      <c r="A43" s="67"/>
      <c r="B43" t="s">
        <v>187</v>
      </c>
      <c r="C43" s="292"/>
      <c r="D43" s="292"/>
      <c r="E43" s="250">
        <f t="shared" si="0"/>
        <v>0</v>
      </c>
    </row>
    <row r="44" spans="1:5" ht="12.75">
      <c r="A44" s="67"/>
      <c r="B44" t="s">
        <v>187</v>
      </c>
      <c r="C44" s="292"/>
      <c r="D44" s="292"/>
      <c r="E44" s="250">
        <f t="shared" si="0"/>
        <v>0</v>
      </c>
    </row>
    <row r="45" spans="1:5" ht="12.75">
      <c r="A45" s="67"/>
      <c r="B45" t="s">
        <v>187</v>
      </c>
      <c r="C45" s="292"/>
      <c r="D45" s="292"/>
      <c r="E45" s="277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str">
        <f>IF($E19&gt;$C$11,#REF!," ")</f>
        <v> </v>
      </c>
      <c r="B51" s="271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 </v>
      </c>
      <c r="B54" s="271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3" t="str">
        <f>IF($E37&gt;$C$11,A37," ")</f>
        <v> </v>
      </c>
      <c r="B68" s="271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144</v>
      </c>
      <c r="B77" s="271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4" t="s">
        <v>203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170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2"/>
      <c r="D82" s="292"/>
      <c r="E82" s="250">
        <f>C82-D82</f>
        <v>0</v>
      </c>
    </row>
    <row r="83" spans="1:5" ht="12.75">
      <c r="A83" s="71" t="s">
        <v>152</v>
      </c>
      <c r="B83" s="8" t="s">
        <v>188</v>
      </c>
      <c r="C83" s="292"/>
      <c r="D83" s="292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2"/>
      <c r="D84" s="292"/>
      <c r="E84" s="250">
        <f t="shared" si="5"/>
        <v>0</v>
      </c>
    </row>
    <row r="85" spans="1:5" ht="12.75">
      <c r="A85" s="71" t="s">
        <v>255</v>
      </c>
      <c r="B85" s="8" t="s">
        <v>188</v>
      </c>
      <c r="C85" s="292"/>
      <c r="D85" s="292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2"/>
      <c r="D86" s="292"/>
      <c r="E86" s="250">
        <f t="shared" si="5"/>
        <v>0</v>
      </c>
    </row>
    <row r="87" spans="1:5" ht="12.75">
      <c r="A87" s="67" t="s">
        <v>381</v>
      </c>
      <c r="B87" s="8" t="s">
        <v>188</v>
      </c>
      <c r="C87" s="292"/>
      <c r="D87" s="292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2"/>
      <c r="D88" s="292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2"/>
      <c r="D89" s="292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2"/>
      <c r="D90" s="292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2"/>
      <c r="D91" s="292"/>
      <c r="E91" s="250">
        <f t="shared" si="5"/>
        <v>0</v>
      </c>
    </row>
    <row r="92" spans="2:5" ht="12.75">
      <c r="B92" s="8" t="s">
        <v>188</v>
      </c>
      <c r="C92" s="292"/>
      <c r="D92" s="292"/>
      <c r="E92" s="250"/>
    </row>
    <row r="93" spans="1:5" ht="12.75">
      <c r="A93" s="67"/>
      <c r="B93" s="8" t="s">
        <v>188</v>
      </c>
      <c r="C93" s="292"/>
      <c r="D93" s="292"/>
      <c r="E93" s="250">
        <f t="shared" si="5"/>
        <v>0</v>
      </c>
    </row>
    <row r="94" spans="1:5" ht="12.75">
      <c r="A94" s="67"/>
      <c r="B94" s="8" t="s">
        <v>188</v>
      </c>
      <c r="C94" s="292"/>
      <c r="D94" s="292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2"/>
      <c r="D95" s="292"/>
      <c r="E95" s="250">
        <f t="shared" si="5"/>
        <v>0</v>
      </c>
    </row>
    <row r="96" spans="1:5" ht="12.75">
      <c r="A96" s="492" t="s">
        <v>498</v>
      </c>
      <c r="B96" s="8" t="s">
        <v>188</v>
      </c>
      <c r="C96" s="292">
        <v>113845</v>
      </c>
      <c r="D96" s="292"/>
      <c r="E96" s="250">
        <f t="shared" si="5"/>
        <v>113845</v>
      </c>
    </row>
    <row r="97" spans="1:5" ht="12.75">
      <c r="A97" s="67"/>
      <c r="B97" s="8" t="s">
        <v>188</v>
      </c>
      <c r="C97" s="292"/>
      <c r="D97" s="292"/>
      <c r="E97" s="250">
        <f t="shared" si="5"/>
        <v>0</v>
      </c>
    </row>
    <row r="98" spans="1:5" ht="12.75">
      <c r="A98" s="67"/>
      <c r="B98" s="8" t="s">
        <v>188</v>
      </c>
      <c r="C98" s="292"/>
      <c r="D98" s="292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113845</v>
      </c>
      <c r="D99" s="250">
        <f>SUM(D82:D98)</f>
        <v>0</v>
      </c>
      <c r="E99" s="250">
        <f>SUM(E82:E98)</f>
        <v>113845</v>
      </c>
    </row>
    <row r="100" ht="12.75">
      <c r="A100" s="67"/>
    </row>
    <row r="101" ht="12.75">
      <c r="A101" s="67" t="s">
        <v>174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IF($E92&gt;$C$11,A95," ")</f>
        <v> </v>
      </c>
      <c r="B112" s="271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Discontinued post retirement benefit plan</v>
      </c>
      <c r="B116" s="271"/>
      <c r="C116" s="250">
        <f t="shared" si="7"/>
        <v>113845</v>
      </c>
      <c r="D116" s="250">
        <f t="shared" si="7"/>
        <v>0</v>
      </c>
      <c r="E116" s="250">
        <f t="shared" si="7"/>
        <v>113845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202</v>
      </c>
      <c r="B119" s="271"/>
      <c r="C119" s="250">
        <f>SUM(C102:C118)</f>
        <v>113845</v>
      </c>
      <c r="D119" s="250">
        <f>SUM(D102:D118)</f>
        <v>0</v>
      </c>
      <c r="E119" s="250">
        <f>SUM(E102:E118)</f>
        <v>113845</v>
      </c>
    </row>
    <row r="120" spans="1:5" ht="12.75">
      <c r="A120" s="276" t="s">
        <v>201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171</v>
      </c>
      <c r="B121" s="271"/>
      <c r="C121" s="250">
        <f>C119+C120</f>
        <v>113845</v>
      </c>
      <c r="D121" s="250">
        <f>D119+D120</f>
        <v>0</v>
      </c>
      <c r="E121" s="250">
        <f>E119+E120</f>
        <v>113845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workbookViewId="0" topLeftCell="A1">
      <selection activeCell="C40" sqref="C4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2"/>
    </row>
    <row r="4" spans="1:6" ht="15.75">
      <c r="A4" s="462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Midland Power Utility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3"/>
      <c r="D19" s="293"/>
      <c r="E19" s="310">
        <f aca="true" t="shared" si="0" ref="E19:E46">C19-D19</f>
        <v>0</v>
      </c>
    </row>
    <row r="20" spans="1:5" ht="12.75">
      <c r="A20" t="s">
        <v>392</v>
      </c>
      <c r="B20" t="s">
        <v>187</v>
      </c>
      <c r="C20" s="293"/>
      <c r="D20" s="293"/>
      <c r="E20" s="310">
        <f t="shared" si="0"/>
        <v>0</v>
      </c>
    </row>
    <row r="21" spans="1:5" ht="12.75">
      <c r="A21" t="s">
        <v>458</v>
      </c>
      <c r="B21" t="s">
        <v>187</v>
      </c>
      <c r="C21" s="293"/>
      <c r="D21" s="293"/>
      <c r="E21" s="310">
        <f t="shared" si="0"/>
        <v>0</v>
      </c>
    </row>
    <row r="22" spans="1:5" ht="12.75">
      <c r="A22" s="67" t="s">
        <v>395</v>
      </c>
      <c r="B22" t="s">
        <v>187</v>
      </c>
      <c r="C22" s="293"/>
      <c r="D22" s="311"/>
      <c r="E22" s="310">
        <f t="shared" si="0"/>
        <v>0</v>
      </c>
    </row>
    <row r="23" spans="1:5" ht="12.75">
      <c r="A23" s="67" t="s">
        <v>396</v>
      </c>
      <c r="B23" t="s">
        <v>187</v>
      </c>
      <c r="C23" s="293"/>
      <c r="D23" s="293"/>
      <c r="E23" s="310">
        <f t="shared" si="0"/>
        <v>0</v>
      </c>
    </row>
    <row r="24" spans="1:5" ht="12.75">
      <c r="A24" s="67" t="s">
        <v>459</v>
      </c>
      <c r="B24" t="s">
        <v>187</v>
      </c>
      <c r="C24" s="293"/>
      <c r="D24" s="293"/>
      <c r="E24" s="310">
        <f t="shared" si="0"/>
        <v>0</v>
      </c>
    </row>
    <row r="25" spans="1:5" ht="12.75">
      <c r="A25" s="67" t="s">
        <v>125</v>
      </c>
      <c r="B25" t="s">
        <v>187</v>
      </c>
      <c r="C25" s="293"/>
      <c r="D25" s="293"/>
      <c r="E25" s="310">
        <f t="shared" si="0"/>
        <v>0</v>
      </c>
    </row>
    <row r="26" spans="1:5" ht="12.75">
      <c r="A26" s="67" t="s">
        <v>134</v>
      </c>
      <c r="B26" t="s">
        <v>187</v>
      </c>
      <c r="C26" s="293"/>
      <c r="D26" s="293"/>
      <c r="E26" s="310">
        <f t="shared" si="0"/>
        <v>0</v>
      </c>
    </row>
    <row r="27" spans="1:5" ht="12.75">
      <c r="A27" s="67" t="s">
        <v>442</v>
      </c>
      <c r="B27" t="s">
        <v>187</v>
      </c>
      <c r="C27" s="293"/>
      <c r="D27" s="293"/>
      <c r="E27" s="310">
        <f t="shared" si="0"/>
        <v>0</v>
      </c>
    </row>
    <row r="28" spans="1:5" ht="12.75">
      <c r="A28" s="67" t="s">
        <v>394</v>
      </c>
      <c r="B28" t="s">
        <v>187</v>
      </c>
      <c r="C28" s="293"/>
      <c r="D28" s="293"/>
      <c r="E28" s="310">
        <f t="shared" si="0"/>
        <v>0</v>
      </c>
    </row>
    <row r="29" spans="1:5" ht="12.75">
      <c r="A29" s="67" t="s">
        <v>136</v>
      </c>
      <c r="B29" t="s">
        <v>187</v>
      </c>
      <c r="C29" s="293"/>
      <c r="D29" s="293"/>
      <c r="E29" s="310">
        <f t="shared" si="0"/>
        <v>0</v>
      </c>
    </row>
    <row r="30" spans="1:5" ht="12.75">
      <c r="A30" s="67" t="s">
        <v>393</v>
      </c>
      <c r="B30" t="s">
        <v>187</v>
      </c>
      <c r="C30" s="293"/>
      <c r="D30" s="293"/>
      <c r="E30" s="310">
        <f t="shared" si="0"/>
        <v>0</v>
      </c>
    </row>
    <row r="31" spans="1:5" ht="12.75">
      <c r="A31" s="67" t="s">
        <v>192</v>
      </c>
      <c r="B31" t="s">
        <v>187</v>
      </c>
      <c r="C31" s="293"/>
      <c r="D31" s="293"/>
      <c r="E31" s="310">
        <f t="shared" si="0"/>
        <v>0</v>
      </c>
    </row>
    <row r="32" spans="1:5" ht="12.75">
      <c r="A32" s="67" t="s">
        <v>437</v>
      </c>
      <c r="B32" t="s">
        <v>187</v>
      </c>
      <c r="C32" s="293"/>
      <c r="D32" s="293"/>
      <c r="E32" s="310">
        <f t="shared" si="0"/>
        <v>0</v>
      </c>
    </row>
    <row r="33" spans="1:5" ht="12.75">
      <c r="A33" s="67" t="s">
        <v>438</v>
      </c>
      <c r="B33" t="s">
        <v>187</v>
      </c>
      <c r="C33" s="293"/>
      <c r="D33" s="293"/>
      <c r="E33" s="310">
        <f t="shared" si="0"/>
        <v>0</v>
      </c>
    </row>
    <row r="34" spans="1:5" ht="12.75">
      <c r="A34" s="67" t="s">
        <v>455</v>
      </c>
      <c r="B34" t="s">
        <v>187</v>
      </c>
      <c r="C34" s="293"/>
      <c r="D34" s="293"/>
      <c r="E34" s="310">
        <f t="shared" si="0"/>
        <v>0</v>
      </c>
    </row>
    <row r="35" spans="1:5" ht="12.75">
      <c r="A35" s="81" t="s">
        <v>456</v>
      </c>
      <c r="C35" s="293"/>
      <c r="D35" s="293"/>
      <c r="E35" s="310">
        <f t="shared" si="0"/>
        <v>0</v>
      </c>
    </row>
    <row r="36" spans="1:5" ht="12.75">
      <c r="A36" s="67" t="s">
        <v>439</v>
      </c>
      <c r="C36" s="293">
        <v>347</v>
      </c>
      <c r="D36" s="293"/>
      <c r="E36" s="310">
        <f t="shared" si="0"/>
        <v>347</v>
      </c>
    </row>
    <row r="37" spans="1:5" ht="12.75">
      <c r="A37" s="67" t="s">
        <v>440</v>
      </c>
      <c r="C37" s="293"/>
      <c r="D37" s="293"/>
      <c r="E37" s="310">
        <f t="shared" si="0"/>
        <v>0</v>
      </c>
    </row>
    <row r="38" spans="1:5" ht="12.75">
      <c r="A38" s="67" t="s">
        <v>462</v>
      </c>
      <c r="C38" s="293"/>
      <c r="D38" s="293"/>
      <c r="E38" s="310">
        <f t="shared" si="0"/>
        <v>0</v>
      </c>
    </row>
    <row r="39" spans="2:5" ht="12.75">
      <c r="B39" t="s">
        <v>187</v>
      </c>
      <c r="C39" s="293"/>
      <c r="D39" s="293"/>
      <c r="E39" s="310">
        <f t="shared" si="0"/>
        <v>0</v>
      </c>
    </row>
    <row r="40" spans="1:5" ht="12.75">
      <c r="A40" s="81" t="s">
        <v>397</v>
      </c>
      <c r="B40" t="s">
        <v>187</v>
      </c>
      <c r="C40" s="293"/>
      <c r="D40" s="293"/>
      <c r="E40" s="310">
        <f t="shared" si="0"/>
        <v>0</v>
      </c>
    </row>
    <row r="41" spans="1:5" ht="12.75">
      <c r="A41" s="81"/>
      <c r="B41" t="s">
        <v>187</v>
      </c>
      <c r="C41" s="293"/>
      <c r="D41" s="293"/>
      <c r="E41" s="310">
        <f t="shared" si="0"/>
        <v>0</v>
      </c>
    </row>
    <row r="42" spans="2:5" ht="12.75">
      <c r="B42" t="s">
        <v>187</v>
      </c>
      <c r="C42" s="293"/>
      <c r="D42" s="293"/>
      <c r="E42" s="310">
        <f t="shared" si="0"/>
        <v>0</v>
      </c>
    </row>
    <row r="43" spans="1:5" ht="12.75">
      <c r="A43" s="68" t="s">
        <v>204</v>
      </c>
      <c r="B43" t="s">
        <v>187</v>
      </c>
      <c r="C43" s="293"/>
      <c r="D43" s="293"/>
      <c r="E43" s="310">
        <f t="shared" si="0"/>
        <v>0</v>
      </c>
    </row>
    <row r="44" spans="1:5" ht="12.75">
      <c r="A44" s="491"/>
      <c r="B44" t="s">
        <v>187</v>
      </c>
      <c r="C44" s="292"/>
      <c r="D44" s="292"/>
      <c r="E44" s="250">
        <f t="shared" si="0"/>
        <v>0</v>
      </c>
    </row>
    <row r="45" spans="2:5" ht="12.75">
      <c r="B45" t="s">
        <v>187</v>
      </c>
      <c r="C45" s="292"/>
      <c r="D45" s="292"/>
      <c r="E45" s="250">
        <f t="shared" si="0"/>
        <v>0</v>
      </c>
    </row>
    <row r="46" spans="1:5" ht="12.75">
      <c r="A46" s="492"/>
      <c r="B46" t="s">
        <v>187</v>
      </c>
      <c r="C46" s="292"/>
      <c r="D46" s="292"/>
      <c r="E46" s="250">
        <f t="shared" si="0"/>
        <v>0</v>
      </c>
    </row>
    <row r="47" spans="1:5" ht="12.75">
      <c r="A47" s="447" t="s">
        <v>401</v>
      </c>
      <c r="B47" t="s">
        <v>189</v>
      </c>
      <c r="C47" s="250">
        <f>SUM(C19:C46)</f>
        <v>347</v>
      </c>
      <c r="D47" s="250">
        <f>SUM(D19:D46)</f>
        <v>0</v>
      </c>
      <c r="E47" s="250">
        <f>SUM(E19:E46)</f>
        <v>347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2"/>
      <c r="D51" s="292"/>
      <c r="E51" s="250">
        <f aca="true" t="shared" si="1" ref="E51:E61">C51-D51</f>
        <v>0</v>
      </c>
    </row>
    <row r="52" spans="1:5" ht="12.75">
      <c r="A52" s="67" t="s">
        <v>458</v>
      </c>
      <c r="B52" s="8" t="s">
        <v>188</v>
      </c>
      <c r="C52" s="292"/>
      <c r="D52" s="292"/>
      <c r="E52" s="250">
        <f t="shared" si="1"/>
        <v>0</v>
      </c>
    </row>
    <row r="53" spans="1:5" ht="12.75">
      <c r="A53" t="s">
        <v>393</v>
      </c>
      <c r="B53" s="8" t="s">
        <v>188</v>
      </c>
      <c r="C53" s="292"/>
      <c r="D53" s="292"/>
      <c r="E53" s="250">
        <f t="shared" si="1"/>
        <v>0</v>
      </c>
    </row>
    <row r="54" spans="1:5" ht="12.75">
      <c r="A54" t="s">
        <v>441</v>
      </c>
      <c r="B54" s="8" t="s">
        <v>188</v>
      </c>
      <c r="C54" s="292"/>
      <c r="D54" s="292"/>
      <c r="E54" s="250">
        <f t="shared" si="1"/>
        <v>0</v>
      </c>
    </row>
    <row r="55" spans="1:5" ht="12.75">
      <c r="A55" s="67" t="s">
        <v>449</v>
      </c>
      <c r="B55" s="8" t="s">
        <v>188</v>
      </c>
      <c r="C55" s="292"/>
      <c r="D55" s="292"/>
      <c r="E55" s="250">
        <f t="shared" si="1"/>
        <v>0</v>
      </c>
    </row>
    <row r="56" spans="1:5" ht="12.75">
      <c r="A56" s="67" t="s">
        <v>461</v>
      </c>
      <c r="B56" s="8" t="s">
        <v>188</v>
      </c>
      <c r="C56" s="292"/>
      <c r="D56" s="292"/>
      <c r="E56" s="250">
        <f t="shared" si="1"/>
        <v>0</v>
      </c>
    </row>
    <row r="57" spans="1:5" ht="12.75">
      <c r="A57" s="2" t="s">
        <v>457</v>
      </c>
      <c r="B57" s="8" t="s">
        <v>188</v>
      </c>
      <c r="C57" s="292"/>
      <c r="D57" s="292"/>
      <c r="E57" s="250">
        <f t="shared" si="1"/>
        <v>0</v>
      </c>
    </row>
    <row r="58" spans="1:5" ht="12.75">
      <c r="A58" s="67" t="s">
        <v>460</v>
      </c>
      <c r="B58" s="8" t="s">
        <v>188</v>
      </c>
      <c r="C58" s="292"/>
      <c r="D58" s="292"/>
      <c r="E58" s="250">
        <f t="shared" si="1"/>
        <v>0</v>
      </c>
    </row>
    <row r="59" spans="1:5" ht="12.75">
      <c r="A59" s="67"/>
      <c r="B59" s="8" t="s">
        <v>188</v>
      </c>
      <c r="C59" s="292"/>
      <c r="D59" s="292"/>
      <c r="E59" s="250">
        <f t="shared" si="1"/>
        <v>0</v>
      </c>
    </row>
    <row r="60" spans="2:5" ht="12.75">
      <c r="B60" s="8" t="s">
        <v>188</v>
      </c>
      <c r="C60" s="292"/>
      <c r="D60" s="292"/>
      <c r="E60" s="250">
        <f t="shared" si="1"/>
        <v>0</v>
      </c>
    </row>
    <row r="61" spans="2:5" ht="12.75">
      <c r="B61" s="8" t="s">
        <v>188</v>
      </c>
      <c r="C61" s="292"/>
      <c r="D61" s="292"/>
      <c r="E61" s="250">
        <f t="shared" si="1"/>
        <v>0</v>
      </c>
    </row>
    <row r="62" spans="2:5" ht="12.75">
      <c r="B62" s="8" t="s">
        <v>188</v>
      </c>
      <c r="C62" s="292"/>
      <c r="D62" s="292"/>
      <c r="E62" s="250">
        <f aca="true" t="shared" si="2" ref="E62:E72">C62-D62</f>
        <v>0</v>
      </c>
    </row>
    <row r="63" spans="2:5" ht="12.75">
      <c r="B63" s="8" t="s">
        <v>188</v>
      </c>
      <c r="C63" s="292"/>
      <c r="D63" s="292"/>
      <c r="E63" s="250">
        <f t="shared" si="2"/>
        <v>0</v>
      </c>
    </row>
    <row r="64" spans="1:5" ht="12.75">
      <c r="A64" s="466" t="s">
        <v>398</v>
      </c>
      <c r="B64" s="8" t="s">
        <v>188</v>
      </c>
      <c r="C64" s="292">
        <v>10854</v>
      </c>
      <c r="D64" s="292"/>
      <c r="E64" s="250">
        <f t="shared" si="2"/>
        <v>10854</v>
      </c>
    </row>
    <row r="65" spans="2:5" ht="12.75">
      <c r="B65" s="8" t="s">
        <v>188</v>
      </c>
      <c r="C65" s="292"/>
      <c r="D65" s="292"/>
      <c r="E65" s="250">
        <f t="shared" si="2"/>
        <v>0</v>
      </c>
    </row>
    <row r="66" spans="1:5" ht="12.75">
      <c r="A66" s="466" t="s">
        <v>391</v>
      </c>
      <c r="B66" s="8" t="s">
        <v>188</v>
      </c>
      <c r="C66" s="292">
        <v>413430</v>
      </c>
      <c r="D66" s="292"/>
      <c r="E66" s="250">
        <f t="shared" si="2"/>
        <v>413430</v>
      </c>
    </row>
    <row r="67" spans="1:5" ht="12.75">
      <c r="A67" s="67"/>
      <c r="B67" s="8" t="s">
        <v>188</v>
      </c>
      <c r="C67" s="292"/>
      <c r="D67" s="292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2"/>
      <c r="D68" s="292"/>
      <c r="E68" s="250">
        <f t="shared" si="2"/>
        <v>0</v>
      </c>
    </row>
    <row r="69" spans="1:5" ht="12.75">
      <c r="A69" s="492"/>
      <c r="B69" s="8" t="s">
        <v>188</v>
      </c>
      <c r="C69" s="292"/>
      <c r="D69" s="292"/>
      <c r="E69" s="250">
        <f t="shared" si="2"/>
        <v>0</v>
      </c>
    </row>
    <row r="70" spans="1:5" ht="12.75">
      <c r="A70" s="492" t="s">
        <v>498</v>
      </c>
      <c r="B70" s="8" t="s">
        <v>188</v>
      </c>
      <c r="C70" s="292"/>
      <c r="D70" s="292"/>
      <c r="E70" s="250">
        <f t="shared" si="2"/>
        <v>0</v>
      </c>
    </row>
    <row r="71" spans="1:5" ht="12.75">
      <c r="A71" s="67"/>
      <c r="B71" s="8" t="s">
        <v>188</v>
      </c>
      <c r="C71" s="292"/>
      <c r="D71" s="292"/>
      <c r="E71" s="250">
        <f t="shared" si="2"/>
        <v>0</v>
      </c>
    </row>
    <row r="72" spans="1:5" ht="12.75">
      <c r="A72" s="67"/>
      <c r="B72" s="8" t="s">
        <v>188</v>
      </c>
      <c r="C72" s="292"/>
      <c r="D72" s="292"/>
      <c r="E72" s="277">
        <f t="shared" si="2"/>
        <v>0</v>
      </c>
    </row>
    <row r="73" spans="1:5" ht="12.75">
      <c r="A73" s="446" t="s">
        <v>400</v>
      </c>
      <c r="B73" s="8" t="s">
        <v>189</v>
      </c>
      <c r="C73" s="250">
        <f>SUM(C51:C72)</f>
        <v>424284</v>
      </c>
      <c r="D73" s="250">
        <f>SUM(D51:D72)</f>
        <v>0</v>
      </c>
      <c r="E73" s="250">
        <f>SUM(E51:E72)</f>
        <v>424284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90" zoomScaleNormal="90" workbookViewId="0" topLeftCell="A1">
      <selection activeCell="A26" sqref="A26:F2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2" t="str">
        <f>REGINFO!A1</f>
        <v>PILs TAXES - EB-2008-381</v>
      </c>
      <c r="B1" s="383"/>
      <c r="C1" s="340"/>
      <c r="D1" s="340"/>
      <c r="E1" s="340"/>
      <c r="F1" s="340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2.75">
      <c r="A3" s="341" t="s">
        <v>307</v>
      </c>
      <c r="B3" s="340"/>
      <c r="C3" s="340"/>
      <c r="D3" s="340"/>
      <c r="E3" s="340"/>
      <c r="F3" s="342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2.75">
      <c r="A4" s="238" t="str">
        <f>REGINFO!A3</f>
        <v>Utility Name: Midland Power Utility Corporation</v>
      </c>
      <c r="B4" s="340"/>
      <c r="C4" s="340"/>
      <c r="D4" s="340"/>
      <c r="E4" s="340"/>
      <c r="F4" s="340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2.75">
      <c r="A5" s="238" t="str">
        <f>REGINFO!A4</f>
        <v>Reporting period:  2002</v>
      </c>
      <c r="B5" s="340"/>
      <c r="C5" s="340"/>
      <c r="D5" s="340"/>
      <c r="E5" s="340"/>
      <c r="F5" s="340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1"/>
      <c r="B7" s="340"/>
      <c r="C7" s="340"/>
      <c r="D7" s="340"/>
      <c r="E7" s="340"/>
      <c r="F7" s="408" t="s">
        <v>339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06" t="s">
        <v>488</v>
      </c>
      <c r="B8" s="507"/>
      <c r="C8" s="507"/>
      <c r="D8" s="507"/>
      <c r="E8" s="340"/>
      <c r="F8" s="380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18" t="s">
        <v>112</v>
      </c>
      <c r="B9" s="323"/>
      <c r="C9" s="371">
        <v>0</v>
      </c>
      <c r="D9" s="371"/>
      <c r="E9" s="371">
        <v>200001</v>
      </c>
      <c r="F9" s="372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19" t="s">
        <v>473</v>
      </c>
      <c r="B10" s="324"/>
      <c r="C10" s="373" t="s">
        <v>111</v>
      </c>
      <c r="D10" s="373"/>
      <c r="E10" s="373" t="s">
        <v>111</v>
      </c>
      <c r="F10" s="374" t="s">
        <v>489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19"/>
      <c r="B11" s="324" t="s">
        <v>116</v>
      </c>
      <c r="C11" s="375">
        <v>200000</v>
      </c>
      <c r="D11" s="375"/>
      <c r="E11" s="375">
        <v>700000</v>
      </c>
      <c r="F11" s="376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0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1" t="s">
        <v>300</v>
      </c>
      <c r="B13" s="407">
        <v>2002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1" t="s">
        <v>299</v>
      </c>
      <c r="B14" s="244"/>
      <c r="C14" s="325">
        <v>0.1312</v>
      </c>
      <c r="D14" s="325"/>
      <c r="E14" s="326">
        <v>0.2612</v>
      </c>
      <c r="F14" s="326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1" t="s">
        <v>304</v>
      </c>
      <c r="B15" s="244"/>
      <c r="C15" s="327">
        <v>0.06</v>
      </c>
      <c r="D15" s="327"/>
      <c r="E15" s="328">
        <v>0.06</v>
      </c>
      <c r="F15" s="328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1" t="s">
        <v>260</v>
      </c>
      <c r="B16" s="244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1"/>
      <c r="B17" s="244"/>
      <c r="C17" s="325"/>
      <c r="D17" s="325"/>
      <c r="E17" s="326"/>
      <c r="F17" s="326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0" t="s">
        <v>109</v>
      </c>
      <c r="B18" s="243"/>
      <c r="C18" s="331">
        <v>0.003</v>
      </c>
      <c r="D18" s="325"/>
      <c r="E18" s="326"/>
      <c r="F18" s="326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0" t="s">
        <v>110</v>
      </c>
      <c r="B19" s="237"/>
      <c r="C19" s="332">
        <v>0.00225</v>
      </c>
      <c r="D19" s="333"/>
      <c r="E19" s="334"/>
      <c r="F19" s="334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0" t="s">
        <v>113</v>
      </c>
      <c r="B20" s="237"/>
      <c r="C20" s="333">
        <v>0.0112</v>
      </c>
      <c r="D20" s="335"/>
      <c r="E20" s="336"/>
      <c r="F20" s="336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2" t="s">
        <v>334</v>
      </c>
      <c r="B21" s="404" t="s">
        <v>477</v>
      </c>
      <c r="C21" s="359">
        <v>5000000</v>
      </c>
      <c r="D21" s="335"/>
      <c r="E21" s="336"/>
      <c r="F21" s="336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2" t="s">
        <v>335</v>
      </c>
      <c r="B22" s="405" t="s">
        <v>478</v>
      </c>
      <c r="C22" s="360">
        <v>10000000</v>
      </c>
      <c r="D22" s="337"/>
      <c r="E22" s="338"/>
      <c r="F22" s="338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0" t="s">
        <v>490</v>
      </c>
      <c r="B23" s="501"/>
      <c r="C23" s="501"/>
      <c r="D23" s="501"/>
      <c r="E23" s="501"/>
      <c r="F23" s="501"/>
      <c r="G23" s="436"/>
      <c r="H23" s="418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9"/>
      <c r="B24" s="410"/>
      <c r="C24" s="410"/>
      <c r="D24" s="410"/>
      <c r="E24" s="410"/>
      <c r="F24" s="410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7"/>
      <c r="B25" s="378"/>
      <c r="C25" s="381"/>
      <c r="D25" s="340"/>
      <c r="E25" s="340"/>
      <c r="F25" s="408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8" t="s">
        <v>500</v>
      </c>
      <c r="B26" s="509"/>
      <c r="C26" s="509"/>
      <c r="D26" s="509"/>
      <c r="E26" s="509"/>
      <c r="F26" s="50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18" t="s">
        <v>112</v>
      </c>
      <c r="B27" s="323"/>
      <c r="C27" s="365">
        <v>0</v>
      </c>
      <c r="D27" s="365"/>
      <c r="E27" s="365">
        <v>200001</v>
      </c>
      <c r="F27" s="366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19" t="s">
        <v>445</v>
      </c>
      <c r="B28" s="324"/>
      <c r="C28" s="367" t="s">
        <v>111</v>
      </c>
      <c r="D28" s="367"/>
      <c r="E28" s="367" t="s">
        <v>111</v>
      </c>
      <c r="F28" s="368" t="s">
        <v>489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19"/>
      <c r="B29" s="324" t="s">
        <v>116</v>
      </c>
      <c r="C29" s="369">
        <v>200000</v>
      </c>
      <c r="D29" s="369"/>
      <c r="E29" s="369">
        <v>700000</v>
      </c>
      <c r="F29" s="370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0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1" t="s">
        <v>115</v>
      </c>
      <c r="B31" s="407">
        <v>2003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1" t="s">
        <v>299</v>
      </c>
      <c r="B32" s="407">
        <v>2003</v>
      </c>
      <c r="C32" s="325">
        <v>0.1312</v>
      </c>
      <c r="D32" s="325"/>
      <c r="E32" s="326"/>
      <c r="F32" s="326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1" t="s">
        <v>29</v>
      </c>
      <c r="B33" s="407">
        <v>2003</v>
      </c>
      <c r="C33" s="327">
        <v>0.06</v>
      </c>
      <c r="D33" s="327"/>
      <c r="E33" s="328"/>
      <c r="F33" s="328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1" t="s">
        <v>260</v>
      </c>
      <c r="B34" s="407">
        <v>2003</v>
      </c>
      <c r="C34" s="329">
        <f>SUM(C32:C33)</f>
        <v>0.1912</v>
      </c>
      <c r="D34" s="329"/>
      <c r="E34" s="330">
        <v>0.3412</v>
      </c>
      <c r="F34" s="330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1"/>
      <c r="B35" s="244"/>
      <c r="C35" s="325"/>
      <c r="D35" s="325"/>
      <c r="E35" s="326"/>
      <c r="F35" s="326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0" t="s">
        <v>109</v>
      </c>
      <c r="B36" s="407">
        <v>2003</v>
      </c>
      <c r="C36" s="331">
        <v>0.003</v>
      </c>
      <c r="D36" s="325"/>
      <c r="E36" s="326"/>
      <c r="F36" s="326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0" t="s">
        <v>110</v>
      </c>
      <c r="B37" s="407">
        <v>2003</v>
      </c>
      <c r="C37" s="332">
        <v>0.00225</v>
      </c>
      <c r="D37" s="333"/>
      <c r="E37" s="334"/>
      <c r="F37" s="334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0" t="s">
        <v>113</v>
      </c>
      <c r="B38" s="407">
        <v>2003</v>
      </c>
      <c r="C38" s="333">
        <v>0.0112</v>
      </c>
      <c r="D38" s="335"/>
      <c r="E38" s="336"/>
      <c r="F38" s="336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2" t="s">
        <v>501</v>
      </c>
      <c r="B39" s="404" t="s">
        <v>477</v>
      </c>
      <c r="C39" s="359">
        <v>5000000</v>
      </c>
      <c r="D39" s="335"/>
      <c r="E39" s="336"/>
      <c r="F39" s="336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2" t="s">
        <v>502</v>
      </c>
      <c r="B40" s="405" t="s">
        <v>478</v>
      </c>
      <c r="C40" s="360">
        <v>10000000</v>
      </c>
      <c r="D40" s="337"/>
      <c r="E40" s="338"/>
      <c r="F40" s="338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2" t="s">
        <v>337</v>
      </c>
      <c r="B41" s="501"/>
      <c r="C41" s="501"/>
      <c r="D41" s="501"/>
      <c r="E41" s="501"/>
      <c r="F41" s="50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3"/>
      <c r="B42" s="503"/>
      <c r="C42" s="503"/>
      <c r="D42" s="503"/>
      <c r="E42" s="503"/>
      <c r="F42" s="50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7"/>
      <c r="B43" s="378"/>
      <c r="C43" s="379"/>
      <c r="D43" s="378"/>
      <c r="E43" s="378"/>
      <c r="F43" s="408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6" t="s">
        <v>503</v>
      </c>
      <c r="B44" s="363"/>
      <c r="C44" s="364"/>
      <c r="D44" s="363"/>
      <c r="E44" s="340"/>
      <c r="F44" s="380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18" t="s">
        <v>112</v>
      </c>
      <c r="B45" s="323"/>
      <c r="C45" s="365">
        <v>0</v>
      </c>
      <c r="D45" s="365"/>
      <c r="E45" s="365">
        <v>200001</v>
      </c>
      <c r="F45" s="366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19"/>
      <c r="B46" s="324"/>
      <c r="C46" s="367" t="s">
        <v>111</v>
      </c>
      <c r="D46" s="367"/>
      <c r="E46" s="367" t="s">
        <v>111</v>
      </c>
      <c r="F46" s="368" t="s">
        <v>489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19"/>
      <c r="B47" s="339" t="s">
        <v>116</v>
      </c>
      <c r="C47" s="369">
        <v>200000</v>
      </c>
      <c r="D47" s="369"/>
      <c r="E47" s="369">
        <v>700000</v>
      </c>
      <c r="F47" s="370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0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1" t="s">
        <v>115</v>
      </c>
      <c r="B49" s="407">
        <v>2003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1" t="s">
        <v>299</v>
      </c>
      <c r="B50" s="244"/>
      <c r="C50" s="349">
        <v>0.1312</v>
      </c>
      <c r="D50" s="349"/>
      <c r="E50" s="350"/>
      <c r="F50" s="350">
        <v>0.2412</v>
      </c>
      <c r="G50" s="194"/>
      <c r="H50" s="485">
        <v>0.2612</v>
      </c>
      <c r="I50" s="485">
        <f>+H50-F50</f>
        <v>0.01999999999999999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1" t="s">
        <v>29</v>
      </c>
      <c r="B51" s="244"/>
      <c r="C51" s="351">
        <v>0.06</v>
      </c>
      <c r="D51" s="351"/>
      <c r="E51" s="352"/>
      <c r="F51" s="352">
        <v>0.125</v>
      </c>
      <c r="G51" s="194"/>
      <c r="H51" s="485">
        <v>0.125</v>
      </c>
      <c r="I51" s="485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1" t="s">
        <v>260</v>
      </c>
      <c r="B52" s="244"/>
      <c r="C52" s="329">
        <f>SUM(C50:C51)</f>
        <v>0.1912</v>
      </c>
      <c r="D52" s="329"/>
      <c r="E52" s="330">
        <v>0.3412</v>
      </c>
      <c r="F52" s="330">
        <f>SUM(F50:F51)</f>
        <v>0.36619999999999997</v>
      </c>
      <c r="G52" s="194"/>
      <c r="H52" s="485">
        <f>+H51+H50</f>
        <v>0.3862</v>
      </c>
      <c r="I52" s="485">
        <f>+H52-F52</f>
        <v>0.020000000000000018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1"/>
      <c r="B53" s="244"/>
      <c r="C53" s="349"/>
      <c r="D53" s="349"/>
      <c r="E53" s="350"/>
      <c r="F53" s="350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0" t="s">
        <v>109</v>
      </c>
      <c r="B54" s="243"/>
      <c r="C54" s="353">
        <v>0.003</v>
      </c>
      <c r="D54" s="349"/>
      <c r="E54" s="350"/>
      <c r="F54" s="350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0" t="s">
        <v>110</v>
      </c>
      <c r="B55" s="237"/>
      <c r="C55" s="354">
        <v>0.00225</v>
      </c>
      <c r="D55" s="355"/>
      <c r="E55" s="356"/>
      <c r="F55" s="356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0" t="s">
        <v>113</v>
      </c>
      <c r="B56" s="237"/>
      <c r="C56" s="355">
        <v>0.0112</v>
      </c>
      <c r="D56" s="357"/>
      <c r="E56" s="358"/>
      <c r="F56" s="358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2" t="s">
        <v>353</v>
      </c>
      <c r="B57" s="404" t="s">
        <v>477</v>
      </c>
      <c r="C57" s="359">
        <v>4668892</v>
      </c>
      <c r="D57" s="357"/>
      <c r="E57" s="358"/>
      <c r="F57" s="358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2" t="s">
        <v>354</v>
      </c>
      <c r="B58" s="405" t="s">
        <v>478</v>
      </c>
      <c r="C58" s="360">
        <v>10000000</v>
      </c>
      <c r="D58" s="361"/>
      <c r="E58" s="362"/>
      <c r="F58" s="362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0" t="s">
        <v>355</v>
      </c>
      <c r="B59" s="504"/>
      <c r="C59" s="504"/>
      <c r="D59" s="504"/>
      <c r="E59" s="504"/>
      <c r="F59" s="50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5"/>
      <c r="B60" s="505"/>
      <c r="C60" s="505"/>
      <c r="D60" s="505"/>
      <c r="E60" s="505"/>
      <c r="F60" s="50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1"/>
      <c r="B61" s="342"/>
      <c r="C61" s="342"/>
      <c r="D61" s="342"/>
      <c r="E61" s="342"/>
      <c r="F61" s="344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1"/>
      <c r="B62" s="342"/>
      <c r="C62" s="343"/>
      <c r="D62" s="343"/>
      <c r="E62" s="343"/>
      <c r="F62" s="345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1"/>
      <c r="B63" s="340"/>
      <c r="C63" s="340"/>
      <c r="D63" s="340"/>
      <c r="E63" s="340"/>
      <c r="F63" s="340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6"/>
      <c r="B64" s="347"/>
      <c r="C64" s="348"/>
      <c r="D64" s="348"/>
      <c r="E64" s="348"/>
      <c r="F64" s="348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workbookViewId="0" topLeftCell="A1">
      <selection activeCell="I17" activeCellId="1" sqref="I15 I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Midland Power Utility Corporation</v>
      </c>
      <c r="O3" s="414" t="str">
        <f>REGINFO!E1</f>
        <v>Version 2009.1</v>
      </c>
    </row>
    <row r="4" spans="1:15" ht="12.75">
      <c r="A4" s="2" t="str">
        <f>REGINFO!A4</f>
        <v>Reporting period:  2002</v>
      </c>
      <c r="E4" s="415" t="s">
        <v>323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0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2">
        <v>0</v>
      </c>
      <c r="D11" s="388"/>
      <c r="E11" s="394">
        <f>C22</f>
        <v>59152.231875</v>
      </c>
      <c r="F11" s="417"/>
      <c r="G11" s="394">
        <f>E22</f>
        <v>85842.61293029424</v>
      </c>
      <c r="H11" s="417"/>
      <c r="I11" s="394">
        <f>G22</f>
        <v>-9725.631181632634</v>
      </c>
      <c r="J11" s="388"/>
      <c r="K11" s="394">
        <f>I22</f>
        <v>-116037.96037458215</v>
      </c>
      <c r="L11" s="388"/>
      <c r="M11" s="394">
        <f>K22</f>
        <v>-116037.96037458215</v>
      </c>
      <c r="N11" s="388"/>
      <c r="O11" s="394">
        <f>C11</f>
        <v>0</v>
      </c>
    </row>
    <row r="12" spans="1:15" ht="27" customHeight="1">
      <c r="A12" s="81" t="s">
        <v>402</v>
      </c>
      <c r="B12" s="66" t="s">
        <v>190</v>
      </c>
      <c r="C12" s="393">
        <f>'[6]Continuity Sch 2001 to 2012'!$C$9</f>
        <v>58797</v>
      </c>
      <c r="D12" s="389"/>
      <c r="E12" s="393">
        <f>'[6]Continuity Sch 2001 to 2012'!$C$28</f>
        <v>257376</v>
      </c>
      <c r="F12" s="95"/>
      <c r="G12" s="416">
        <f>'[6]Continuity Sch 2001 to 2012'!$C$47</f>
        <v>316173</v>
      </c>
      <c r="H12" s="95"/>
      <c r="I12" s="416"/>
      <c r="J12" s="389"/>
      <c r="K12" s="416"/>
      <c r="L12" s="389"/>
      <c r="M12" s="416">
        <f>K13/9*12/4</f>
        <v>0</v>
      </c>
      <c r="N12" s="389"/>
      <c r="O12" s="394">
        <f aca="true" t="shared" si="0" ref="O12:O20">SUM(C12:N12)</f>
        <v>632346</v>
      </c>
    </row>
    <row r="13" spans="1:15" ht="27" customHeight="1">
      <c r="A13" s="81" t="s">
        <v>444</v>
      </c>
      <c r="B13" s="66"/>
      <c r="C13" s="416"/>
      <c r="D13" s="389"/>
      <c r="E13" s="416"/>
      <c r="F13" s="95"/>
      <c r="G13" s="416"/>
      <c r="H13" s="95"/>
      <c r="I13" s="416"/>
      <c r="J13" s="389"/>
      <c r="K13" s="393"/>
      <c r="L13" s="389"/>
      <c r="M13" s="416"/>
      <c r="N13" s="389"/>
      <c r="O13" s="394">
        <f t="shared" si="0"/>
        <v>0</v>
      </c>
    </row>
    <row r="14" spans="1:15" ht="25.5">
      <c r="A14" s="81" t="s">
        <v>403</v>
      </c>
      <c r="B14" s="66" t="s">
        <v>190</v>
      </c>
      <c r="C14" s="393"/>
      <c r="D14" s="389"/>
      <c r="E14" s="393"/>
      <c r="F14" s="95"/>
      <c r="G14" s="393"/>
      <c r="H14" s="95"/>
      <c r="I14" s="393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81" t="s">
        <v>404</v>
      </c>
      <c r="B15" s="66" t="s">
        <v>190</v>
      </c>
      <c r="C15" s="393">
        <f>+'[4]PILs 1562 Calculation'!$C$15</f>
        <v>0</v>
      </c>
      <c r="D15" s="389"/>
      <c r="E15" s="393">
        <f>+'[5]PILs 1562 Calculation'!$E$15</f>
        <v>0</v>
      </c>
      <c r="F15" s="95"/>
      <c r="G15" s="393">
        <f>'[3]PILs 1562 Calculation'!$G$15</f>
        <v>-534.660487804878</v>
      </c>
      <c r="H15" s="95"/>
      <c r="I15" s="393">
        <f>+TAXCALC!E132</f>
        <v>-16440.89575757576</v>
      </c>
      <c r="J15" s="389"/>
      <c r="K15" s="393"/>
      <c r="L15" s="389"/>
      <c r="M15" s="416"/>
      <c r="N15" s="389"/>
      <c r="O15" s="394">
        <f t="shared" si="0"/>
        <v>-16975.556245380638</v>
      </c>
    </row>
    <row r="16" spans="1:15" ht="27" customHeight="1">
      <c r="A16" s="81" t="s">
        <v>405</v>
      </c>
      <c r="B16" s="66"/>
      <c r="C16" s="393"/>
      <c r="D16" s="389"/>
      <c r="E16" s="393">
        <f>'[2]PILs 1562 Calculation'!$E$16</f>
        <v>-19896.772776014805</v>
      </c>
      <c r="F16" s="95"/>
      <c r="G16" s="393"/>
      <c r="H16" s="95"/>
      <c r="I16" s="393"/>
      <c r="J16" s="389"/>
      <c r="K16" s="393"/>
      <c r="L16" s="389"/>
      <c r="M16" s="393"/>
      <c r="N16" s="389"/>
      <c r="O16" s="394">
        <f t="shared" si="0"/>
        <v>-19896.772776014805</v>
      </c>
    </row>
    <row r="17" spans="1:15" ht="27.75" customHeight="1">
      <c r="A17" s="81" t="s">
        <v>406</v>
      </c>
      <c r="B17" s="66" t="s">
        <v>190</v>
      </c>
      <c r="C17" s="393">
        <f>'[6]Continuity Sch 2001 to 2012'!$E$13</f>
        <v>0</v>
      </c>
      <c r="D17" s="389"/>
      <c r="E17" s="393">
        <f>'[6]Continuity Sch 2001 to 2012'!$E$31</f>
        <v>0</v>
      </c>
      <c r="F17" s="95"/>
      <c r="G17" s="393">
        <f>'[3]PILs 1562 Calculation'!$G$17</f>
        <v>-87502.67417488199</v>
      </c>
      <c r="H17" s="95"/>
      <c r="I17" s="393">
        <f>+TAXCALC!E181</f>
        <v>-89871.43343537376</v>
      </c>
      <c r="J17" s="389"/>
      <c r="K17" s="393"/>
      <c r="L17" s="389"/>
      <c r="M17" s="416"/>
      <c r="N17" s="389"/>
      <c r="O17" s="394">
        <f t="shared" si="0"/>
        <v>-177374.10761025577</v>
      </c>
    </row>
    <row r="18" spans="1:15" ht="25.5">
      <c r="A18" s="81" t="s">
        <v>407</v>
      </c>
      <c r="B18" s="66" t="s">
        <v>190</v>
      </c>
      <c r="C18" s="393"/>
      <c r="D18" s="389"/>
      <c r="E18" s="393"/>
      <c r="F18" s="95"/>
      <c r="G18" s="393"/>
      <c r="H18" s="95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5" ht="24" customHeight="1">
      <c r="A19" s="430" t="s">
        <v>408</v>
      </c>
      <c r="B19" s="66" t="s">
        <v>190</v>
      </c>
      <c r="C19" s="393">
        <f>'[6]Continuity Sch 2001 to 2012'!$J$9</f>
        <v>355.231875</v>
      </c>
      <c r="D19" s="389"/>
      <c r="E19" s="393">
        <f>'[6]Continuity Sch 2001 to 2012'!$J$28</f>
        <v>7548.117301771601</v>
      </c>
      <c r="F19" s="95"/>
      <c r="G19" s="393">
        <f>'[6]Continuity Sch 2001 to 2012'!$J$47</f>
        <v>2142.3029464349456</v>
      </c>
      <c r="H19" s="95"/>
      <c r="I19" s="393"/>
      <c r="J19" s="389"/>
      <c r="K19" s="393"/>
      <c r="L19" s="389"/>
      <c r="M19" s="393"/>
      <c r="N19" s="389"/>
      <c r="O19" s="394">
        <f t="shared" si="0"/>
        <v>10045.652123206546</v>
      </c>
    </row>
    <row r="20" spans="1:15" ht="24.75" customHeight="1">
      <c r="A20" s="81" t="s">
        <v>476</v>
      </c>
      <c r="B20" s="66" t="s">
        <v>188</v>
      </c>
      <c r="C20" s="416">
        <v>0</v>
      </c>
      <c r="D20" s="389"/>
      <c r="E20" s="393">
        <f>-'[6]Continuity Sch 2001 to 2012'!$D$28</f>
        <v>-218336.96347046254</v>
      </c>
      <c r="F20" s="95"/>
      <c r="G20" s="393">
        <f>-'[6]Continuity Sch 2001 to 2012'!$D$47</f>
        <v>-325846.21239567496</v>
      </c>
      <c r="H20" s="95"/>
      <c r="I20" s="393"/>
      <c r="J20" s="389"/>
      <c r="K20" s="393"/>
      <c r="L20" s="389"/>
      <c r="M20" s="393"/>
      <c r="N20" s="389"/>
      <c r="O20" s="394">
        <f t="shared" si="0"/>
        <v>-544183.1758661375</v>
      </c>
    </row>
    <row r="21" spans="1:15" ht="12.75">
      <c r="A21" s="65"/>
      <c r="C21" s="389"/>
      <c r="D21" s="95"/>
      <c r="E21" s="389"/>
      <c r="F21" s="95"/>
      <c r="G21" s="389"/>
      <c r="H21" s="95"/>
      <c r="I21" s="389"/>
      <c r="J21" s="389"/>
      <c r="K21" s="389"/>
      <c r="L21" s="389"/>
      <c r="M21" s="389"/>
      <c r="N21" s="389"/>
      <c r="O21" s="417"/>
    </row>
    <row r="22" spans="1:15" ht="13.5" thickBot="1">
      <c r="A22" s="81" t="s">
        <v>378</v>
      </c>
      <c r="B22" s="34"/>
      <c r="C22" s="395">
        <f>SUM(C11:C20)</f>
        <v>59152.231875</v>
      </c>
      <c r="D22" s="417"/>
      <c r="E22" s="395">
        <f>SUM(E11:E20)</f>
        <v>85842.61293029424</v>
      </c>
      <c r="F22" s="417"/>
      <c r="G22" s="395">
        <f>SUM(G11:G20)</f>
        <v>-9725.631181632634</v>
      </c>
      <c r="H22" s="417"/>
      <c r="I22" s="395">
        <f>SUM(I11:I20)</f>
        <v>-116037.96037458215</v>
      </c>
      <c r="J22" s="388"/>
      <c r="K22" s="395">
        <f>SUM(K11:K20)</f>
        <v>-116037.96037458215</v>
      </c>
      <c r="L22" s="388"/>
      <c r="M22" s="395">
        <f>SUM(M11:M21)</f>
        <v>-116037.96037458215</v>
      </c>
      <c r="N22" s="388"/>
      <c r="O22" s="448">
        <f>SUM(O11:O20)</f>
        <v>-116037.96037458215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8"/>
      <c r="M23" s="440"/>
      <c r="N23" s="188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409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8"/>
      <c r="M27" s="188"/>
      <c r="N27" s="188"/>
      <c r="O27" s="188"/>
    </row>
    <row r="28" spans="1:15" ht="12.75">
      <c r="A28" s="431" t="s">
        <v>410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8"/>
      <c r="M28" s="188"/>
      <c r="N28" s="188"/>
      <c r="O28" s="188"/>
    </row>
    <row r="29" spans="1:15" ht="12.75">
      <c r="A29" s="434" t="s">
        <v>411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8"/>
      <c r="M29" s="188"/>
      <c r="N29" s="188"/>
      <c r="O29" s="188"/>
    </row>
    <row r="30" spans="1:15" ht="9" customHeight="1">
      <c r="A30" s="188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8"/>
      <c r="M30" s="188"/>
      <c r="N30" s="188"/>
      <c r="O30" s="188"/>
    </row>
    <row r="31" spans="1:15" ht="12.75">
      <c r="A31" s="449" t="s">
        <v>412</v>
      </c>
      <c r="B31" s="80"/>
      <c r="C31" s="80"/>
      <c r="D31" s="80"/>
      <c r="E31" s="80"/>
      <c r="F31" s="80"/>
      <c r="G31" s="80"/>
      <c r="H31" s="80"/>
      <c r="I31" s="445"/>
      <c r="J31" s="445"/>
      <c r="K31" s="445">
        <v>3</v>
      </c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11" t="s">
        <v>413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418"/>
      <c r="Q33" s="418"/>
      <c r="R33" s="418"/>
      <c r="S33" s="418"/>
    </row>
    <row r="34" spans="1:19" ht="12.75">
      <c r="A34" s="510" t="s">
        <v>414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418"/>
      <c r="Q34" s="418"/>
      <c r="R34" s="418"/>
      <c r="S34" s="418"/>
    </row>
    <row r="35" spans="1:19" ht="12.75">
      <c r="A35" s="510" t="s">
        <v>435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418"/>
      <c r="Q35" s="418"/>
      <c r="R35" s="418"/>
      <c r="S35" s="418"/>
    </row>
    <row r="36" spans="1:19" ht="12.75">
      <c r="A36" s="510" t="s">
        <v>415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418"/>
      <c r="Q36" s="418"/>
      <c r="R36" s="418"/>
      <c r="S36" s="418"/>
    </row>
    <row r="37" spans="1:19" ht="12.75">
      <c r="A37" s="435" t="s">
        <v>375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8"/>
      <c r="Q37" s="418"/>
      <c r="R37" s="418"/>
      <c r="S37" s="418"/>
    </row>
    <row r="38" spans="1:19" ht="12.75">
      <c r="A38" s="435" t="s">
        <v>376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8"/>
      <c r="Q38" s="418"/>
      <c r="R38" s="418"/>
      <c r="S38" s="418"/>
    </row>
    <row r="39" spans="1:19" ht="12.75">
      <c r="A39" s="435" t="s">
        <v>416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8"/>
      <c r="Q39" s="418"/>
      <c r="R39" s="418"/>
      <c r="S39" s="418"/>
    </row>
    <row r="40" spans="1:19" ht="12.75">
      <c r="A40" s="435" t="s">
        <v>417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8"/>
      <c r="Q40" s="418"/>
      <c r="R40" s="418"/>
      <c r="S40" s="418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8"/>
      <c r="Q41" s="418"/>
      <c r="R41" s="418"/>
      <c r="S41" s="418"/>
    </row>
    <row r="42" spans="1:15" ht="12.75">
      <c r="A42" s="437" t="s">
        <v>418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8"/>
      <c r="M42" s="188"/>
      <c r="N42" s="188"/>
      <c r="O42" s="188"/>
    </row>
    <row r="43" spans="1:15" ht="12.75">
      <c r="A43" s="432" t="s">
        <v>419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8"/>
      <c r="M43" s="188"/>
      <c r="N43" s="188"/>
      <c r="O43" s="188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8"/>
      <c r="M44" s="188"/>
      <c r="N44" s="188"/>
      <c r="O44" s="188"/>
    </row>
    <row r="45" spans="1:15" ht="12.75">
      <c r="A45" s="437" t="s">
        <v>420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8"/>
      <c r="M45" s="188"/>
      <c r="N45" s="188"/>
      <c r="O45" s="188"/>
    </row>
    <row r="46" spans="1:15" ht="12.75">
      <c r="A46" s="432" t="s">
        <v>421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8"/>
      <c r="M46" s="188"/>
      <c r="N46" s="188"/>
      <c r="O46" s="188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8"/>
      <c r="M47" s="188"/>
      <c r="N47" s="188"/>
      <c r="O47" s="188"/>
    </row>
    <row r="48" spans="1:15" ht="12.75">
      <c r="A48" s="437" t="s">
        <v>422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8"/>
      <c r="M48" s="188"/>
      <c r="N48" s="188"/>
      <c r="O48" s="188"/>
    </row>
    <row r="49" spans="1:15" ht="12.75">
      <c r="A49" s="432" t="s">
        <v>423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8"/>
      <c r="M49" s="188"/>
      <c r="N49" s="188"/>
      <c r="O49" s="188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8"/>
      <c r="M50" s="188"/>
      <c r="N50" s="188"/>
      <c r="O50" s="188"/>
    </row>
    <row r="51" spans="1:15" ht="12.75">
      <c r="A51" s="437" t="s">
        <v>424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8"/>
      <c r="M51" s="188"/>
      <c r="N51" s="188"/>
      <c r="O51" s="188"/>
    </row>
    <row r="52" spans="1:15" ht="12.75">
      <c r="A52" s="432" t="s">
        <v>421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8"/>
      <c r="M52" s="188"/>
      <c r="N52" s="188"/>
      <c r="O52" s="188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8"/>
      <c r="M53" s="188"/>
      <c r="N53" s="188"/>
      <c r="O53" s="188"/>
    </row>
    <row r="54" spans="1:15" ht="12.75">
      <c r="A54" s="432" t="s">
        <v>425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8"/>
      <c r="M54" s="188"/>
      <c r="N54" s="188"/>
      <c r="O54" s="188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8"/>
      <c r="M55" s="188"/>
      <c r="N55" s="188"/>
      <c r="O55" s="188"/>
    </row>
    <row r="56" spans="1:15" ht="12.75" customHeight="1">
      <c r="A56" s="437" t="s">
        <v>426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8"/>
      <c r="M56" s="188"/>
      <c r="N56" s="188"/>
      <c r="O56" s="188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8"/>
      <c r="M57" s="188"/>
      <c r="N57" s="188"/>
      <c r="O57" s="188"/>
    </row>
    <row r="58" spans="1:15" ht="12.75">
      <c r="A58" s="432" t="s">
        <v>427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8"/>
      <c r="M58" s="188"/>
      <c r="N58" s="188"/>
      <c r="O58" s="188"/>
    </row>
    <row r="59" spans="1:15" ht="12.75">
      <c r="A59" s="432" t="s">
        <v>428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8"/>
      <c r="M59" s="188"/>
      <c r="N59" s="188"/>
      <c r="O59" s="188"/>
    </row>
    <row r="60" spans="1:15" ht="12.75">
      <c r="A60" s="432" t="s">
        <v>429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8"/>
      <c r="M60" s="188"/>
      <c r="N60" s="188"/>
      <c r="O60" s="188"/>
    </row>
    <row r="61" spans="1:15" ht="12.75">
      <c r="A61" s="432" t="s">
        <v>385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8"/>
      <c r="M61" s="188"/>
      <c r="N61" s="188"/>
      <c r="O61" s="188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8"/>
      <c r="M62" s="188"/>
      <c r="N62" s="188"/>
      <c r="O62" s="188"/>
    </row>
    <row r="63" spans="1:15" ht="12.75">
      <c r="A63" s="432" t="s">
        <v>430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8"/>
      <c r="M63" s="188"/>
      <c r="N63" s="188"/>
      <c r="O63" s="188"/>
    </row>
    <row r="64" spans="1:15" ht="12.75">
      <c r="A64" s="432" t="s">
        <v>431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8"/>
      <c r="M64" s="188"/>
      <c r="N64" s="188"/>
      <c r="O64" s="188"/>
    </row>
    <row r="65" spans="1:15" ht="12.75">
      <c r="A65" s="432" t="s">
        <v>387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8"/>
      <c r="M65" s="188"/>
      <c r="N65" s="188"/>
      <c r="O65" s="188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8"/>
      <c r="M66" s="188"/>
      <c r="N66" s="188"/>
      <c r="O66" s="188"/>
    </row>
    <row r="67" spans="1:15" ht="12.75">
      <c r="A67" s="432" t="s">
        <v>386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8"/>
      <c r="M67" s="188"/>
      <c r="N67" s="188"/>
      <c r="O67" s="188"/>
    </row>
    <row r="68" spans="1:15" ht="12.75">
      <c r="A68" s="432" t="s">
        <v>388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8"/>
      <c r="M68" s="188"/>
      <c r="N68" s="188"/>
      <c r="O68" s="188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8"/>
      <c r="M69" s="188"/>
      <c r="N69" s="188"/>
      <c r="O69" s="188"/>
    </row>
    <row r="70" spans="1:15" ht="12.75">
      <c r="A70" s="432" t="s">
        <v>432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8"/>
      <c r="M70" s="188"/>
      <c r="N70" s="188"/>
      <c r="O70" s="188"/>
    </row>
    <row r="71" spans="1:15" ht="12.75">
      <c r="A71" s="432" t="s">
        <v>433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8"/>
      <c r="M71" s="188"/>
      <c r="N71" s="188"/>
      <c r="O71" s="188"/>
    </row>
    <row r="72" spans="1:15" ht="12.75">
      <c r="A72" s="432" t="s">
        <v>434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8"/>
      <c r="M72" s="188"/>
      <c r="N72" s="188"/>
      <c r="O72" s="188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8"/>
      <c r="M73" s="188"/>
      <c r="N73" s="188"/>
      <c r="O73" s="188"/>
    </row>
    <row r="74" spans="1:15" ht="12.75" customHeight="1">
      <c r="A74" s="510" t="s">
        <v>464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</row>
    <row r="75" spans="1:15" ht="12.75">
      <c r="A75" s="432" t="s">
        <v>377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8"/>
      <c r="M75" s="188"/>
      <c r="N75" s="188"/>
      <c r="O75" s="188"/>
    </row>
    <row r="76" spans="1:15" ht="12.75">
      <c r="A76" s="188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8"/>
      <c r="M76" s="188"/>
      <c r="N76" s="188"/>
      <c r="O76" s="188"/>
    </row>
    <row r="77" spans="1:15" ht="12.75">
      <c r="A77" s="188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8"/>
      <c r="M77" s="188"/>
      <c r="N77" s="188"/>
      <c r="O77" s="188"/>
    </row>
    <row r="78" spans="1:17" ht="12.75">
      <c r="A78" s="188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8"/>
      <c r="O78" s="188"/>
      <c r="P78" s="188"/>
      <c r="Q78" s="188"/>
    </row>
    <row r="79" spans="1:17" ht="12.75">
      <c r="A79" s="188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8"/>
      <c r="O79" s="188"/>
      <c r="P79" s="188"/>
      <c r="Q79" s="188"/>
    </row>
    <row r="80" spans="1:17" ht="12.75">
      <c r="A80" s="188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8"/>
      <c r="O80" s="188"/>
      <c r="P80" s="188"/>
      <c r="Q80" s="188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8"/>
      <c r="O81" s="188"/>
      <c r="P81" s="188"/>
      <c r="Q81" s="188"/>
    </row>
    <row r="82" spans="1:17" ht="12.75">
      <c r="A82" s="188"/>
      <c r="B82" s="188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8"/>
      <c r="O82" s="188"/>
      <c r="P82" s="188"/>
      <c r="Q82" s="188"/>
    </row>
    <row r="83" spans="1:17" ht="12.75">
      <c r="A83" s="188"/>
      <c r="B83" s="188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8"/>
      <c r="O83" s="188"/>
      <c r="P83" s="188"/>
      <c r="Q83" s="188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8"/>
      <c r="O84" s="188"/>
      <c r="P84" s="188"/>
      <c r="Q84" s="188"/>
    </row>
    <row r="85" spans="1:17" ht="12.75">
      <c r="A85" s="188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8"/>
      <c r="O85" s="188"/>
      <c r="P85" s="188"/>
      <c r="Q85" s="188"/>
    </row>
    <row r="86" spans="1:17" ht="12.75">
      <c r="A86" s="188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8"/>
      <c r="O86" s="188"/>
      <c r="P86" s="188"/>
      <c r="Q86" s="188"/>
    </row>
    <row r="87" spans="1:17" ht="12.75">
      <c r="A87" s="188"/>
      <c r="B87" s="188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8"/>
      <c r="O87" s="188"/>
      <c r="P87" s="188"/>
      <c r="Q87" s="188"/>
    </row>
    <row r="88" spans="1:17" ht="12.75">
      <c r="A88" s="188"/>
      <c r="B88" s="188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8"/>
      <c r="O88" s="188"/>
      <c r="P88" s="188"/>
      <c r="Q88" s="188"/>
    </row>
    <row r="89" spans="1:17" ht="12.75">
      <c r="A89" s="188"/>
      <c r="B89" s="188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8"/>
      <c r="O89" s="188"/>
      <c r="P89" s="188"/>
      <c r="Q89" s="188"/>
    </row>
    <row r="90" spans="1:17" ht="12.75">
      <c r="A90" s="188"/>
      <c r="B90" s="188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8"/>
      <c r="O90" s="188"/>
      <c r="P90" s="188"/>
      <c r="Q90" s="188"/>
    </row>
    <row r="91" spans="1:17" ht="12.75">
      <c r="A91" s="188"/>
      <c r="B91" s="188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8"/>
      <c r="O91" s="188"/>
      <c r="P91" s="188"/>
      <c r="Q91" s="188"/>
    </row>
    <row r="92" spans="1:17" ht="12.75">
      <c r="A92" s="188"/>
      <c r="B92" s="188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</row>
    <row r="93" spans="1:17" ht="12.75">
      <c r="A93" s="188"/>
      <c r="B93" s="188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Christine</cp:lastModifiedBy>
  <cp:lastPrinted>2011-07-07T17:57:08Z</cp:lastPrinted>
  <dcterms:created xsi:type="dcterms:W3CDTF">2001-11-07T16:15:53Z</dcterms:created>
  <dcterms:modified xsi:type="dcterms:W3CDTF">2012-04-06T18:36:19Z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