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65431" windowWidth="15180" windowHeight="9090" firstSheet="6" activeTab="7"/>
  </bookViews>
  <sheets>
    <sheet name="Continuity Sch 2001 to 2012" sheetId="1" r:id="rId1"/>
    <sheet name="2002 Monthly Recovery " sheetId="2" r:id="rId2"/>
    <sheet name="2002 Summary" sheetId="3" r:id="rId3"/>
    <sheet name="2003 Monthly Recovery " sheetId="4" r:id="rId4"/>
    <sheet name="2003 Summary" sheetId="5" r:id="rId5"/>
    <sheet name="2004 Jan-Mar Recovery " sheetId="6" r:id="rId6"/>
    <sheet name="2004 Apr-Dec Reovery " sheetId="7" r:id="rId7"/>
    <sheet name="2004 Mar-Dec Fixed Variable Cal" sheetId="8" r:id="rId8"/>
    <sheet name="2004 Jan-Dec Summary" sheetId="9" r:id="rId9"/>
    <sheet name="2005 Jan-Mar Recovery" sheetId="10" r:id="rId10"/>
    <sheet name="2005 Mar-Dec Recovery" sheetId="11" r:id="rId11"/>
    <sheet name="2005 Mar-Dec Fixed Variable Cal" sheetId="12" r:id="rId12"/>
    <sheet name="2005 Jan-Dec Summary" sheetId="13" r:id="rId13"/>
    <sheet name="2006 Monthy Recovery" sheetId="14" r:id="rId14"/>
    <sheet name="2006 Jan-Dec Summary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2">'2002 Summary'!#REF!</definedName>
    <definedName name="_xlnm.Print_Area" localSheetId="4">'2003 Summary'!#REF!</definedName>
    <definedName name="_xlnm.Print_Area" localSheetId="5">'2004 Jan-Mar Recovery '!$A$1:$K$92</definedName>
    <definedName name="_xlnm.Print_Area" localSheetId="0">'Continuity Sch 2001 to 2012'!$B$1:$M$217</definedName>
  </definedNames>
  <calcPr fullCalcOnLoad="1"/>
</workbook>
</file>

<file path=xl/sharedStrings.xml><?xml version="1.0" encoding="utf-8"?>
<sst xmlns="http://schemas.openxmlformats.org/spreadsheetml/2006/main" count="1508" uniqueCount="188">
  <si>
    <t>CLASS</t>
  </si>
  <si>
    <t>MTHLY FIXED</t>
  </si>
  <si>
    <t>VARIABLE</t>
  </si>
  <si>
    <t>TOTAL FIXED</t>
  </si>
  <si>
    <t>PILS %AGE</t>
  </si>
  <si>
    <t>MONTH</t>
  </si>
  <si>
    <t xml:space="preserve">ENERGY </t>
  </si>
  <si>
    <t>FIXED CHG</t>
  </si>
  <si>
    <t>VARIABLE CHG</t>
  </si>
  <si>
    <t>TOTAL</t>
  </si>
  <si>
    <t>CHARGE ADDER</t>
  </si>
  <si>
    <t>RATE ADDER</t>
  </si>
  <si>
    <t>CHARGE</t>
  </si>
  <si>
    <t>OF FIXED CHG</t>
  </si>
  <si>
    <t>ENERGY BILLED</t>
  </si>
  <si>
    <t>BILLED KWH</t>
  </si>
  <si>
    <t>RECOVERY</t>
  </si>
  <si>
    <t>Residential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</si>
  <si>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</si>
  <si>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</si>
  <si>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</si>
  <si>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</si>
  <si>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</si>
  <si>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</si>
  <si>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</si>
  <si>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</si>
  <si>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</si>
  <si>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</si>
  <si>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GS &lt; 50kw</t>
  </si>
  <si>
    <t>BILLED KW</t>
  </si>
  <si>
    <t>GS &gt; 50kw</t>
  </si>
  <si>
    <t>SENTINEL</t>
  </si>
  <si>
    <t>LIGHTS</t>
  </si>
  <si>
    <t>STREET</t>
  </si>
  <si>
    <t>LIGHTING</t>
  </si>
  <si>
    <t>Total Recovery in 2002</t>
  </si>
  <si>
    <t>PILS</t>
  </si>
  <si>
    <t>Entitlement</t>
  </si>
  <si>
    <t xml:space="preserve">JANUARY </t>
  </si>
  <si>
    <t>FEBRUARY</t>
  </si>
  <si>
    <t>JANUARY</t>
  </si>
  <si>
    <t>2003 Total Recovery</t>
  </si>
  <si>
    <t>JAN TO DEC 2004</t>
  </si>
  <si>
    <t>MONTHLY STATS</t>
  </si>
  <si>
    <t>RESIDENTIAL</t>
  </si>
  <si>
    <t>GS &lt; 50 KWH</t>
  </si>
  <si>
    <t>GS &gt; 50 KW</t>
  </si>
  <si>
    <t xml:space="preserve">SENTINENTAL </t>
  </si>
  <si>
    <t>STREET LIGHTS</t>
  </si>
  <si>
    <t>AGGREGATE</t>
  </si>
  <si>
    <t>TOTALS</t>
  </si>
  <si>
    <t>PAGE 2 OF 2</t>
  </si>
  <si>
    <t>PAGE 1 OF 2</t>
  </si>
  <si>
    <t>PILS VARIANCE ACCOUNT ANALYSIS</t>
  </si>
  <si>
    <t>2001 PILS $58,797 plus 2002 PILS $257376</t>
  </si>
  <si>
    <t>JAN TO MAR 2004</t>
  </si>
  <si>
    <t>Regulatory Assets &amp; 2004 PILS Interest Improvement Model</t>
  </si>
  <si>
    <t>Inputs</t>
  </si>
  <si>
    <t>March 1, 2002 Final Rates</t>
  </si>
  <si>
    <t>March 1, 2004 Starting Rates</t>
  </si>
  <si>
    <t>RSVA Adder</t>
  </si>
  <si>
    <t>Other Reg. Asset Adder</t>
  </si>
  <si>
    <t>2004 PILS Adder</t>
  </si>
  <si>
    <t>Variable Adjustment</t>
  </si>
  <si>
    <t>March 1, 2004 Final Rates</t>
  </si>
  <si>
    <t>2002 RAM Tab 16</t>
  </si>
  <si>
    <t>2004 RAM Tab 2</t>
  </si>
  <si>
    <t>2004 RAM Tab 3</t>
  </si>
  <si>
    <t>2004 RAM Tab 5</t>
  </si>
  <si>
    <t>2004 RAM Tab 7</t>
  </si>
  <si>
    <t>2004 RAM Tab 9</t>
  </si>
  <si>
    <t>2004 RAM Tab 10</t>
  </si>
  <si>
    <t>Fixed</t>
  </si>
  <si>
    <t>Variable</t>
  </si>
  <si>
    <t>GS &lt; 50 kW</t>
  </si>
  <si>
    <t>GS &gt; 50 kW (Non-TOU)</t>
  </si>
  <si>
    <t>GS &gt; 50 kW (TOU)</t>
  </si>
  <si>
    <t>Intermediate Use</t>
  </si>
  <si>
    <t>Large Use</t>
  </si>
  <si>
    <t>Street Lights</t>
  </si>
  <si>
    <t>Sentinel Lights</t>
  </si>
  <si>
    <t>Unmetered Loads</t>
  </si>
  <si>
    <t>Allocation Percentage Calculation</t>
  </si>
  <si>
    <t>Other Adder</t>
  </si>
  <si>
    <t>PILS Adder</t>
  </si>
  <si>
    <t>Total</t>
  </si>
  <si>
    <t>RSVA %</t>
  </si>
  <si>
    <t>Other %</t>
  </si>
  <si>
    <t>PILS %</t>
  </si>
  <si>
    <t>Fixed Rate Variances (Between March 1, 2004 Starting Fixed Charges)</t>
  </si>
  <si>
    <t>Reconciliation</t>
  </si>
  <si>
    <t>RSVA Portion</t>
  </si>
  <si>
    <t>Other Portion</t>
  </si>
  <si>
    <t>PILS Portion</t>
  </si>
  <si>
    <t>Distribution Revenue</t>
  </si>
  <si>
    <t>RSVA\Other\PILS</t>
  </si>
  <si>
    <t>With Adders</t>
  </si>
  <si>
    <t>Variance from Final</t>
  </si>
  <si>
    <t>Variable Rate Variance (Sheet 9 of 2004 RAM Model)</t>
  </si>
  <si>
    <t>Total Variable Rate Adders</t>
  </si>
  <si>
    <t>RSVA</t>
  </si>
  <si>
    <t>RSVA Adjustment</t>
  </si>
  <si>
    <t>Other</t>
  </si>
  <si>
    <t>Other Adjustment</t>
  </si>
  <si>
    <t>PILS Adjustment</t>
  </si>
  <si>
    <t>Final Rate Adders Dollars</t>
  </si>
  <si>
    <t>Other Reg. Assets</t>
  </si>
  <si>
    <t>PILS 2004</t>
  </si>
  <si>
    <t>Final Rate Adders Percentage</t>
  </si>
  <si>
    <t>OF VAR CHG</t>
  </si>
  <si>
    <t>TOTAL VARIABLE</t>
  </si>
  <si>
    <t>ENERGY BILLIED</t>
  </si>
  <si>
    <t>JAN TO MAR 2005</t>
  </si>
  <si>
    <t>2005 RAM Adjustments</t>
  </si>
  <si>
    <t>Sheet 1</t>
  </si>
  <si>
    <t>Sheet 2</t>
  </si>
  <si>
    <t>Sheet 4</t>
  </si>
  <si>
    <t>Sheet 7</t>
  </si>
  <si>
    <t>Sheet 8</t>
  </si>
  <si>
    <t>Sheet 10</t>
  </si>
  <si>
    <t>Sheet 11</t>
  </si>
  <si>
    <t>2002 Base Rates</t>
  </si>
  <si>
    <t xml:space="preserve">1/3 MARR  (C&amp;DM) </t>
  </si>
  <si>
    <t>PILs</t>
  </si>
  <si>
    <t>RSVAs</t>
  </si>
  <si>
    <t>Non RSVAs</t>
  </si>
  <si>
    <t>Rate Riders</t>
  </si>
  <si>
    <t>2005 Rates</t>
  </si>
  <si>
    <t>Residential Class</t>
  </si>
  <si>
    <t>General Service &lt; 50 KW Class</t>
  </si>
  <si>
    <t>General Service &gt; 50 KW Non-Time of Use</t>
  </si>
  <si>
    <t>General Service &gt; 50 KW Time of Use</t>
  </si>
  <si>
    <t>Large Class User</t>
  </si>
  <si>
    <t>Street Lighting</t>
  </si>
  <si>
    <t>Variable Charge Percentage Allocation</t>
  </si>
  <si>
    <t>Fixed Charge Percentage Allocation</t>
  </si>
  <si>
    <t>JAN TO DEC 2005</t>
  </si>
  <si>
    <t>JAN TO DEC 2006</t>
  </si>
  <si>
    <t>JAN TO DEC 2003</t>
  </si>
  <si>
    <t>MAR TO DEC 2002</t>
  </si>
  <si>
    <t>Year</t>
  </si>
  <si>
    <t>Oct-Dec 2001</t>
  </si>
  <si>
    <t>PILS (neg = credit)</t>
  </si>
  <si>
    <t>Interest Improvement (neg=payable)</t>
  </si>
  <si>
    <t>Approved  PILS</t>
  </si>
  <si>
    <t>SIMPILS</t>
  </si>
  <si>
    <t>Variance</t>
  </si>
  <si>
    <t>Cumulative</t>
  </si>
  <si>
    <t>Approved</t>
  </si>
  <si>
    <t>Monthly</t>
  </si>
  <si>
    <t>Revenues</t>
  </si>
  <si>
    <t>True-Up</t>
  </si>
  <si>
    <t>Interest Rate</t>
  </si>
  <si>
    <t>October</t>
  </si>
  <si>
    <t>November</t>
  </si>
  <si>
    <t>December</t>
  </si>
  <si>
    <t>Jan-Dec 2002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</si>
  <si>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</si>
  <si>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</si>
  <si>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</si>
  <si>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</si>
  <si>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</si>
  <si>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</si>
  <si>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</si>
  <si>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</si>
  <si>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</si>
  <si>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Jan-Dec 2003</t>
  </si>
  <si>
    <t>Jan-Dec 2004</t>
  </si>
  <si>
    <t>Jan-Dec 2005</t>
  </si>
  <si>
    <t>Jan-Dec 2006</t>
  </si>
  <si>
    <t>Jan-Dec 2007</t>
  </si>
  <si>
    <t>Jan-Dec 2008</t>
  </si>
  <si>
    <t>Jan-Dec 2009</t>
  </si>
  <si>
    <t>Jan-Dec 2010</t>
  </si>
  <si>
    <t>Jan-Dec 2011</t>
  </si>
  <si>
    <t>Jan-Dec 2012</t>
  </si>
  <si>
    <t>diff</t>
  </si>
  <si>
    <t>2005 PILS  $243906</t>
  </si>
  <si>
    <t>2001 PILS $58,797 plus 2002 PILS $257376 equals</t>
  </si>
  <si>
    <t>Per Month</t>
  </si>
  <si>
    <t>2002 PILS $257376 per year</t>
  </si>
  <si>
    <t>or per month</t>
  </si>
  <si>
    <t>from March to Dec 2004</t>
  </si>
  <si>
    <t>Jan &amp; Feb 2004</t>
  </si>
  <si>
    <t>2005 PILS $243,906</t>
  </si>
  <si>
    <t>effective March 1, 2005</t>
  </si>
  <si>
    <t>APR TO DEC 2004</t>
  </si>
  <si>
    <t>APR TO DEC 2005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</si>
</sst>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00000_-;\-&quot;$&quot;* #,##0.000000_-;_-&quot;$&quot;* &quot;-&quot;??????_-;_-@_-"/>
    <numFmt numFmtId="173" formatCode="&quot;$&quot;#,##0.00"/>
    <numFmt numFmtId="174" formatCode="[$$-C09]#,##0.00"/>
    <numFmt numFmtId="175" formatCode="[$$-C09]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&quot;$&quot;* #,##0.0_-;\-&quot;$&quot;* #,##0.0_-;_-&quot;$&quot;* &quot;-&quot;??_-;_-@_-"/>
    <numFmt numFmtId="181" formatCode="_-&quot;$&quot;* #,##0.000_-;\-&quot;$&quot;* #,##0.000_-;_-&quot;$&quot;* &quot;-&quot;??_-;_-@_-"/>
    <numFmt numFmtId="182" formatCode="_-&quot;$&quot;* #,##0.0000_-;\-&quot;$&quot;* #,##0.0000_-;_-&quot;$&quot;* &quot;-&quot;??_-;_-@_-"/>
    <numFmt numFmtId="183" formatCode="_-&quot;$&quot;* #,##0_-;\-&quot;$&quot;* #,##0_-;_-&quot;$&quot;* &quot;-&quot;??_-;_-@_-"/>
    <numFmt numFmtId="184" formatCode="_(* #,##0_);_(* \(#,##0\);_(* &quot;-&quot;??_);_(@_)"/>
    <numFmt numFmtId="185" formatCode="#,##0;[Red]\(#,##0\)"/>
    <numFmt numFmtId="186" formatCode="#,##0.00;[Red]\(#,##0.00\)"/>
    <numFmt numFmtId="187" formatCode="#,##0.0000;[Red]\(#,##0.0000\)"/>
    <numFmt numFmtId="188" formatCode="0.0000"/>
    <numFmt numFmtId="189" formatCode="0.00_);\(0.00\)"/>
    <numFmt numFmtId="190" formatCode="#,##0.0000;\(#,##0.00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Accounting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double"/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70" fontId="2" fillId="0" borderId="0" xfId="47" applyFont="1" applyAlignment="1">
      <alignment/>
    </xf>
    <xf numFmtId="10" fontId="5" fillId="0" borderId="0" xfId="0" applyNumberFormat="1" applyFont="1" applyAlignment="1">
      <alignment/>
    </xf>
    <xf numFmtId="168" fontId="2" fillId="0" borderId="0" xfId="48" applyFont="1" applyAlignment="1">
      <alignment/>
    </xf>
    <xf numFmtId="171" fontId="2" fillId="0" borderId="0" xfId="42" applyFont="1" applyAlignment="1">
      <alignment/>
    </xf>
    <xf numFmtId="17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0" fontId="5" fillId="0" borderId="0" xfId="47" applyFont="1" applyAlignment="1">
      <alignment horizontal="center"/>
    </xf>
    <xf numFmtId="173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8" fontId="5" fillId="0" borderId="0" xfId="48" applyFont="1" applyAlignment="1">
      <alignment horizontal="center"/>
    </xf>
    <xf numFmtId="171" fontId="5" fillId="0" borderId="0" xfId="42" applyFont="1" applyAlignment="1">
      <alignment horizontal="center"/>
    </xf>
    <xf numFmtId="173" fontId="2" fillId="0" borderId="0" xfId="0" applyNumberFormat="1" applyFont="1" applyAlignment="1">
      <alignment horizontal="right"/>
    </xf>
    <xf numFmtId="170" fontId="5" fillId="0" borderId="0" xfId="47" applyFont="1" applyAlignment="1">
      <alignment/>
    </xf>
    <xf numFmtId="173" fontId="5" fillId="0" borderId="0" xfId="0" applyNumberFormat="1" applyFont="1" applyAlignment="1">
      <alignment/>
    </xf>
    <xf numFmtId="168" fontId="5" fillId="0" borderId="0" xfId="48" applyFont="1" applyAlignment="1">
      <alignment/>
    </xf>
    <xf numFmtId="171" fontId="5" fillId="0" borderId="0" xfId="42" applyFont="1" applyAlignment="1">
      <alignment/>
    </xf>
    <xf numFmtId="3" fontId="2" fillId="0" borderId="0" xfId="42" applyNumberFormat="1" applyFont="1" applyAlignment="1">
      <alignment/>
    </xf>
    <xf numFmtId="3" fontId="5" fillId="0" borderId="0" xfId="42" applyNumberFormat="1" applyFont="1" applyAlignment="1">
      <alignment/>
    </xf>
    <xf numFmtId="173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0" fontId="2" fillId="0" borderId="0" xfId="47" applyFont="1" applyFill="1" applyAlignment="1">
      <alignment/>
    </xf>
    <xf numFmtId="173" fontId="2" fillId="0" borderId="0" xfId="0" applyNumberFormat="1" applyFont="1" applyFill="1" applyAlignment="1">
      <alignment horizontal="right"/>
    </xf>
    <xf numFmtId="168" fontId="2" fillId="0" borderId="0" xfId="48" applyFont="1" applyFill="1" applyAlignment="1">
      <alignment/>
    </xf>
    <xf numFmtId="3" fontId="2" fillId="0" borderId="0" xfId="42" applyNumberFormat="1" applyFont="1" applyFill="1" applyAlignment="1">
      <alignment/>
    </xf>
    <xf numFmtId="171" fontId="2" fillId="0" borderId="0" xfId="42" applyFont="1" applyFill="1" applyAlignment="1">
      <alignment/>
    </xf>
    <xf numFmtId="173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170" fontId="5" fillId="0" borderId="0" xfId="47" applyFont="1" applyFill="1" applyAlignment="1">
      <alignment/>
    </xf>
    <xf numFmtId="173" fontId="5" fillId="0" borderId="0" xfId="0" applyNumberFormat="1" applyFont="1" applyFill="1" applyAlignment="1">
      <alignment/>
    </xf>
    <xf numFmtId="168" fontId="5" fillId="0" borderId="0" xfId="48" applyFont="1" applyFill="1" applyAlignment="1">
      <alignment/>
    </xf>
    <xf numFmtId="3" fontId="5" fillId="0" borderId="0" xfId="42" applyNumberFormat="1" applyFont="1" applyFill="1" applyAlignment="1">
      <alignment/>
    </xf>
    <xf numFmtId="170" fontId="2" fillId="0" borderId="0" xfId="47" applyFont="1" applyFill="1" applyBorder="1" applyAlignment="1">
      <alignment/>
    </xf>
    <xf numFmtId="182" fontId="2" fillId="0" borderId="0" xfId="47" applyNumberFormat="1" applyFont="1" applyAlignment="1">
      <alignment/>
    </xf>
    <xf numFmtId="182" fontId="2" fillId="0" borderId="0" xfId="47" applyNumberFormat="1" applyFont="1" applyFill="1" applyAlignment="1">
      <alignment/>
    </xf>
    <xf numFmtId="44" fontId="2" fillId="0" borderId="0" xfId="48" applyNumberFormat="1" applyFont="1" applyAlignment="1">
      <alignment/>
    </xf>
    <xf numFmtId="4" fontId="2" fillId="0" borderId="0" xfId="42" applyNumberFormat="1" applyFont="1" applyAlignment="1">
      <alignment/>
    </xf>
    <xf numFmtId="44" fontId="5" fillId="0" borderId="0" xfId="48" applyNumberFormat="1" applyFont="1" applyAlignment="1">
      <alignment horizontal="center"/>
    </xf>
    <xf numFmtId="4" fontId="5" fillId="0" borderId="0" xfId="42" applyNumberFormat="1" applyFont="1" applyAlignment="1">
      <alignment horizontal="center"/>
    </xf>
    <xf numFmtId="44" fontId="2" fillId="0" borderId="0" xfId="48" applyNumberFormat="1" applyFont="1" applyFill="1" applyAlignment="1">
      <alignment/>
    </xf>
    <xf numFmtId="44" fontId="5" fillId="0" borderId="0" xfId="48" applyNumberFormat="1" applyFont="1" applyAlignment="1">
      <alignment/>
    </xf>
    <xf numFmtId="44" fontId="2" fillId="0" borderId="0" xfId="0" applyNumberFormat="1" applyFont="1" applyAlignment="1">
      <alignment/>
    </xf>
    <xf numFmtId="4" fontId="2" fillId="0" borderId="0" xfId="42" applyNumberFormat="1" applyFont="1" applyFill="1" applyAlignment="1">
      <alignment/>
    </xf>
    <xf numFmtId="44" fontId="5" fillId="0" borderId="0" xfId="48" applyNumberFormat="1" applyFont="1" applyFill="1" applyAlignment="1">
      <alignment/>
    </xf>
    <xf numFmtId="4" fontId="5" fillId="0" borderId="0" xfId="42" applyNumberFormat="1" applyFont="1" applyFill="1" applyAlignment="1">
      <alignment/>
    </xf>
    <xf numFmtId="44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44" fontId="2" fillId="0" borderId="10" xfId="0" applyNumberFormat="1" applyFont="1" applyBorder="1" applyAlignment="1">
      <alignment/>
    </xf>
    <xf numFmtId="44" fontId="7" fillId="0" borderId="0" xfId="48" applyNumberFormat="1" applyFont="1" applyAlignment="1">
      <alignment/>
    </xf>
    <xf numFmtId="44" fontId="7" fillId="0" borderId="0" xfId="0" applyNumberFormat="1" applyFont="1" applyAlignment="1">
      <alignment/>
    </xf>
    <xf numFmtId="170" fontId="47" fillId="0" borderId="0" xfId="47" applyFont="1" applyAlignment="1">
      <alignment/>
    </xf>
    <xf numFmtId="0" fontId="1" fillId="0" borderId="0" xfId="61" applyFont="1" applyAlignment="1">
      <alignment horizontal="center"/>
      <protection/>
    </xf>
    <xf numFmtId="0" fontId="0" fillId="0" borderId="0" xfId="61" applyAlignment="1">
      <alignment horizontal="center"/>
      <protection/>
    </xf>
    <xf numFmtId="44" fontId="2" fillId="0" borderId="10" xfId="48" applyNumberFormat="1" applyFont="1" applyBorder="1" applyAlignment="1">
      <alignment/>
    </xf>
    <xf numFmtId="0" fontId="0" fillId="0" borderId="0" xfId="61">
      <alignment/>
      <protection/>
    </xf>
    <xf numFmtId="188" fontId="0" fillId="0" borderId="0" xfId="61" applyNumberFormat="1">
      <alignment/>
      <protection/>
    </xf>
    <xf numFmtId="43" fontId="0" fillId="0" borderId="0" xfId="45" applyFont="1" applyAlignment="1">
      <alignment/>
    </xf>
    <xf numFmtId="10" fontId="0" fillId="0" borderId="0" xfId="67" applyNumberFormat="1" applyFont="1" applyAlignment="1">
      <alignment/>
    </xf>
    <xf numFmtId="0" fontId="6" fillId="0" borderId="0" xfId="61" applyFont="1">
      <alignment/>
      <protection/>
    </xf>
    <xf numFmtId="44" fontId="48" fillId="0" borderId="0" xfId="49" applyFont="1" applyAlignment="1">
      <alignment horizontal="center"/>
    </xf>
    <xf numFmtId="0" fontId="49" fillId="0" borderId="0" xfId="62" applyFont="1">
      <alignment/>
      <protection/>
    </xf>
    <xf numFmtId="44" fontId="48" fillId="0" borderId="0" xfId="49" applyFont="1" applyAlignment="1">
      <alignment/>
    </xf>
    <xf numFmtId="9" fontId="48" fillId="0" borderId="0" xfId="68" applyFont="1" applyAlignment="1">
      <alignment/>
    </xf>
    <xf numFmtId="44" fontId="50" fillId="0" borderId="0" xfId="49" applyFont="1" applyAlignment="1">
      <alignment horizontal="center"/>
    </xf>
    <xf numFmtId="44" fontId="50" fillId="0" borderId="0" xfId="49" applyFont="1" applyAlignment="1">
      <alignment/>
    </xf>
    <xf numFmtId="10" fontId="50" fillId="0" borderId="0" xfId="68" applyNumberFormat="1" applyFont="1" applyAlignment="1">
      <alignment/>
    </xf>
    <xf numFmtId="44" fontId="50" fillId="0" borderId="10" xfId="49" applyFont="1" applyBorder="1" applyAlignment="1">
      <alignment horizontal="center"/>
    </xf>
    <xf numFmtId="44" fontId="50" fillId="0" borderId="10" xfId="49" applyFont="1" applyBorder="1" applyAlignment="1">
      <alignment/>
    </xf>
    <xf numFmtId="44" fontId="50" fillId="0" borderId="0" xfId="49" applyFont="1" applyBorder="1" applyAlignment="1">
      <alignment/>
    </xf>
    <xf numFmtId="10" fontId="50" fillId="0" borderId="10" xfId="68" applyNumberFormat="1" applyFont="1" applyBorder="1" applyAlignment="1">
      <alignment/>
    </xf>
    <xf numFmtId="9" fontId="50" fillId="0" borderId="0" xfId="68" applyFont="1" applyAlignment="1">
      <alignment horizontal="center"/>
    </xf>
    <xf numFmtId="0" fontId="50" fillId="0" borderId="0" xfId="62" applyFont="1" applyFill="1">
      <alignment/>
      <protection/>
    </xf>
    <xf numFmtId="44" fontId="50" fillId="0" borderId="0" xfId="49" applyFont="1" applyFill="1" applyAlignment="1">
      <alignment horizontal="center"/>
    </xf>
    <xf numFmtId="44" fontId="50" fillId="0" borderId="10" xfId="49" applyFont="1" applyFill="1" applyBorder="1" applyAlignment="1">
      <alignment horizontal="center"/>
    </xf>
    <xf numFmtId="10" fontId="50" fillId="0" borderId="0" xfId="68" applyNumberFormat="1" applyFont="1" applyBorder="1" applyAlignment="1">
      <alignment/>
    </xf>
    <xf numFmtId="0" fontId="2" fillId="0" borderId="0" xfId="0" applyFont="1" applyBorder="1" applyAlignment="1">
      <alignment/>
    </xf>
    <xf numFmtId="0" fontId="51" fillId="0" borderId="0" xfId="0" applyFont="1" applyAlignment="1">
      <alignment/>
    </xf>
    <xf numFmtId="44" fontId="51" fillId="0" borderId="0" xfId="49" applyFont="1" applyAlignment="1">
      <alignment horizontal="center"/>
    </xf>
    <xf numFmtId="44" fontId="51" fillId="0" borderId="0" xfId="49" applyFont="1" applyAlignment="1">
      <alignment/>
    </xf>
    <xf numFmtId="9" fontId="51" fillId="0" borderId="0" xfId="68" applyFont="1" applyAlignment="1">
      <alignment/>
    </xf>
    <xf numFmtId="0" fontId="48" fillId="0" borderId="0" xfId="0" applyFont="1" applyAlignment="1">
      <alignment/>
    </xf>
    <xf numFmtId="9" fontId="50" fillId="0" borderId="0" xfId="68" applyFont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70" fontId="2" fillId="0" borderId="10" xfId="47" applyFont="1" applyBorder="1" applyAlignment="1">
      <alignment/>
    </xf>
    <xf numFmtId="7" fontId="2" fillId="0" borderId="10" xfId="47" applyNumberFormat="1" applyFont="1" applyBorder="1" applyAlignment="1">
      <alignment/>
    </xf>
    <xf numFmtId="44" fontId="48" fillId="0" borderId="0" xfId="49" applyFont="1" applyAlignment="1">
      <alignment horizontal="center"/>
    </xf>
    <xf numFmtId="44" fontId="48" fillId="0" borderId="0" xfId="49" applyFont="1" applyAlignment="1">
      <alignment/>
    </xf>
    <xf numFmtId="0" fontId="1" fillId="0" borderId="0" xfId="61" applyFont="1" applyAlignment="1">
      <alignment horizontal="center"/>
      <protection/>
    </xf>
    <xf numFmtId="0" fontId="1" fillId="0" borderId="0" xfId="61" applyFont="1" applyAlignment="1">
      <alignment horizontal="center" wrapText="1"/>
      <protection/>
    </xf>
    <xf numFmtId="0" fontId="0" fillId="0" borderId="0" xfId="61" applyAlignment="1">
      <alignment horizontal="center"/>
      <protection/>
    </xf>
    <xf numFmtId="10" fontId="5" fillId="33" borderId="0" xfId="0" applyNumberFormat="1" applyFont="1" applyFill="1" applyAlignment="1">
      <alignment horizontal="center"/>
    </xf>
    <xf numFmtId="10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10" fontId="5" fillId="0" borderId="0" xfId="0" applyNumberFormat="1" applyFont="1" applyBorder="1" applyAlignment="1">
      <alignment/>
    </xf>
    <xf numFmtId="10" fontId="5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5" fillId="0" borderId="0" xfId="0" applyFont="1" applyAlignment="1">
      <alignment vertical="top"/>
    </xf>
    <xf numFmtId="43" fontId="0" fillId="0" borderId="0" xfId="45" applyFont="1" applyFill="1" applyAlignment="1">
      <alignment/>
    </xf>
    <xf numFmtId="0" fontId="0" fillId="0" borderId="0" xfId="61" applyFill="1">
      <alignment/>
      <protection/>
    </xf>
    <xf numFmtId="188" fontId="0" fillId="0" borderId="0" xfId="61" applyNumberFormat="1" applyFill="1">
      <alignment/>
      <protection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186" fontId="2" fillId="0" borderId="27" xfId="0" applyNumberFormat="1" applyFont="1" applyFill="1" applyBorder="1" applyAlignment="1">
      <alignment/>
    </xf>
    <xf numFmtId="187" fontId="2" fillId="0" borderId="28" xfId="0" applyNumberFormat="1" applyFont="1" applyFill="1" applyBorder="1" applyAlignment="1">
      <alignment/>
    </xf>
    <xf numFmtId="186" fontId="2" fillId="0" borderId="29" xfId="0" applyNumberFormat="1" applyFont="1" applyFill="1" applyBorder="1" applyAlignment="1">
      <alignment/>
    </xf>
    <xf numFmtId="187" fontId="2" fillId="0" borderId="30" xfId="0" applyNumberFormat="1" applyFont="1" applyFill="1" applyBorder="1" applyAlignment="1">
      <alignment/>
    </xf>
    <xf numFmtId="187" fontId="2" fillId="0" borderId="31" xfId="0" applyNumberFormat="1" applyFont="1" applyFill="1" applyBorder="1" applyAlignment="1">
      <alignment/>
    </xf>
    <xf numFmtId="187" fontId="2" fillId="0" borderId="32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186" fontId="2" fillId="0" borderId="34" xfId="0" applyNumberFormat="1" applyFont="1" applyFill="1" applyBorder="1" applyAlignment="1">
      <alignment/>
    </xf>
    <xf numFmtId="187" fontId="2" fillId="0" borderId="35" xfId="0" applyNumberFormat="1" applyFont="1" applyFill="1" applyBorder="1" applyAlignment="1">
      <alignment/>
    </xf>
    <xf numFmtId="186" fontId="2" fillId="0" borderId="36" xfId="0" applyNumberFormat="1" applyFont="1" applyFill="1" applyBorder="1" applyAlignment="1">
      <alignment/>
    </xf>
    <xf numFmtId="187" fontId="2" fillId="0" borderId="37" xfId="0" applyNumberFormat="1" applyFont="1" applyFill="1" applyBorder="1" applyAlignment="1">
      <alignment/>
    </xf>
    <xf numFmtId="187" fontId="2" fillId="0" borderId="38" xfId="0" applyNumberFormat="1" applyFont="1" applyFill="1" applyBorder="1" applyAlignment="1">
      <alignment/>
    </xf>
    <xf numFmtId="187" fontId="2" fillId="0" borderId="39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186" fontId="2" fillId="0" borderId="41" xfId="0" applyNumberFormat="1" applyFont="1" applyFill="1" applyBorder="1" applyAlignment="1">
      <alignment/>
    </xf>
    <xf numFmtId="187" fontId="2" fillId="0" borderId="42" xfId="0" applyNumberFormat="1" applyFont="1" applyFill="1" applyBorder="1" applyAlignment="1">
      <alignment/>
    </xf>
    <xf numFmtId="186" fontId="2" fillId="0" borderId="43" xfId="0" applyNumberFormat="1" applyFont="1" applyFill="1" applyBorder="1" applyAlignment="1">
      <alignment/>
    </xf>
    <xf numFmtId="187" fontId="2" fillId="0" borderId="44" xfId="0" applyNumberFormat="1" applyFont="1" applyFill="1" applyBorder="1" applyAlignment="1">
      <alignment/>
    </xf>
    <xf numFmtId="187" fontId="2" fillId="0" borderId="45" xfId="0" applyNumberFormat="1" applyFont="1" applyFill="1" applyBorder="1" applyAlignment="1">
      <alignment/>
    </xf>
    <xf numFmtId="187" fontId="2" fillId="0" borderId="46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7" fontId="5" fillId="0" borderId="0" xfId="0" applyNumberFormat="1" applyFont="1" applyFill="1" applyBorder="1" applyAlignment="1">
      <alignment horizontal="center"/>
    </xf>
    <xf numFmtId="187" fontId="2" fillId="0" borderId="0" xfId="0" applyNumberFormat="1" applyFont="1" applyAlignment="1">
      <alignment/>
    </xf>
    <xf numFmtId="10" fontId="2" fillId="0" borderId="0" xfId="66" applyNumberFormat="1" applyFont="1" applyFill="1" applyBorder="1" applyAlignment="1">
      <alignment/>
    </xf>
    <xf numFmtId="187" fontId="2" fillId="0" borderId="0" xfId="0" applyNumberFormat="1" applyFont="1" applyFill="1" applyAlignment="1">
      <alignment/>
    </xf>
    <xf numFmtId="187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186" fontId="2" fillId="0" borderId="0" xfId="0" applyNumberFormat="1" applyFont="1" applyAlignment="1">
      <alignment/>
    </xf>
    <xf numFmtId="187" fontId="5" fillId="0" borderId="0" xfId="0" applyNumberFormat="1" applyFont="1" applyFill="1" applyAlignment="1">
      <alignment horizontal="center"/>
    </xf>
    <xf numFmtId="187" fontId="5" fillId="0" borderId="0" xfId="0" applyNumberFormat="1" applyFont="1" applyFill="1" applyAlignment="1">
      <alignment horizontal="center"/>
    </xf>
    <xf numFmtId="190" fontId="2" fillId="0" borderId="0" xfId="0" applyNumberFormat="1" applyFont="1" applyAlignment="1">
      <alignment/>
    </xf>
    <xf numFmtId="190" fontId="2" fillId="0" borderId="0" xfId="0" applyNumberFormat="1" applyFont="1" applyFill="1" applyAlignment="1">
      <alignment/>
    </xf>
    <xf numFmtId="190" fontId="5" fillId="0" borderId="0" xfId="0" applyNumberFormat="1" applyFont="1" applyAlignment="1">
      <alignment horizontal="center"/>
    </xf>
    <xf numFmtId="186" fontId="2" fillId="0" borderId="0" xfId="44" applyNumberFormat="1" applyFont="1" applyAlignment="1">
      <alignment/>
    </xf>
    <xf numFmtId="187" fontId="2" fillId="0" borderId="0" xfId="44" applyNumberFormat="1" applyFont="1" applyAlignment="1">
      <alignment/>
    </xf>
    <xf numFmtId="10" fontId="2" fillId="0" borderId="0" xfId="66" applyNumberFormat="1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Percent 3" xfId="67"/>
    <cellStyle name="Percent 4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OEB%20filing%20models\2005\Copy%20of%20Midland_SIMPIL_2005_PILs_Model_201108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OEB%20filing%20models\2001\Midland_SIMPIL%202001%20Oct%20to%20Dec_201109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OEB%20filing%20models\2002\Midland_SIMPIL_2002_PILs_Model_201109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OEB%20filing%20models\2003\Midland_SIMPIL_2003_PILs_Model_201109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OEB%20filing%20models\2004\Midland_SIMPIL_2004_PILs_Model_201108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7">
        <row r="15">
          <cell r="M15">
            <v>14795.69230769231</v>
          </cell>
        </row>
        <row r="17">
          <cell r="M17">
            <v>79319.74493269231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PILs 1562 Calculation"/>
    </sheetNames>
    <sheetDataSet>
      <sheetData sheetId="7">
        <row r="16">
          <cell r="E16">
            <v>11717.350736677292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  <sheetName val="Consolidated Apr&amp;DecYE"/>
    </sheetNames>
    <sheetDataSet>
      <sheetData sheetId="7">
        <row r="15">
          <cell r="G15">
            <v>-1416.89056</v>
          </cell>
        </row>
        <row r="17">
          <cell r="G17">
            <v>34441.05255523357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7">
        <row r="15">
          <cell r="I15">
            <v>-41357.88992248062</v>
          </cell>
        </row>
        <row r="17">
          <cell r="I17">
            <v>18540.618300620987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7">
        <row r="15">
          <cell r="K15">
            <v>559.1747692307694</v>
          </cell>
        </row>
        <row r="17">
          <cell r="K17">
            <v>13247.629297108373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Q224"/>
  <sheetViews>
    <sheetView workbookViewId="0" topLeftCell="B1">
      <selection activeCell="D22" sqref="D22"/>
    </sheetView>
  </sheetViews>
  <sheetFormatPr defaultColWidth="9.140625" defaultRowHeight="12.75"/>
  <cols>
    <col min="1" max="2" width="9.140625" style="3" customWidth="1"/>
    <col min="3" max="3" width="12.57421875" style="3" customWidth="1"/>
    <col min="4" max="4" width="12.28125" style="3" bestFit="1" customWidth="1"/>
    <col min="5" max="6" width="11.8515625" style="3" bestFit="1" customWidth="1"/>
    <col min="7" max="7" width="12.421875" style="3" bestFit="1" customWidth="1"/>
    <col min="8" max="8" width="3.421875" style="3" customWidth="1"/>
    <col min="9" max="9" width="9.140625" style="3" customWidth="1"/>
    <col min="10" max="10" width="11.28125" style="3" bestFit="1" customWidth="1"/>
    <col min="11" max="11" width="12.421875" style="3" bestFit="1" customWidth="1"/>
    <col min="12" max="12" width="3.140625" style="3" customWidth="1"/>
    <col min="13" max="13" width="12.28125" style="3" bestFit="1" customWidth="1"/>
    <col min="14" max="16384" width="9.140625" style="3" customWidth="1"/>
  </cols>
  <sheetData>
    <row r="2" spans="2:13" ht="11.25">
      <c r="B2" s="90" t="s">
        <v>140</v>
      </c>
      <c r="C2" s="69" t="s">
        <v>141</v>
      </c>
      <c r="D2" s="74"/>
      <c r="E2" s="74"/>
      <c r="F2" s="74"/>
      <c r="G2" s="74"/>
      <c r="H2" s="74"/>
      <c r="I2" s="91"/>
      <c r="J2" s="74"/>
      <c r="K2" s="74"/>
      <c r="L2" s="74"/>
      <c r="M2" s="74"/>
    </row>
    <row r="3" spans="2:13" ht="11.25">
      <c r="B3" s="92"/>
      <c r="C3" s="98" t="s">
        <v>142</v>
      </c>
      <c r="D3" s="99"/>
      <c r="E3" s="99"/>
      <c r="F3" s="99"/>
      <c r="G3" s="99"/>
      <c r="H3" s="74"/>
      <c r="I3" s="99" t="s">
        <v>143</v>
      </c>
      <c r="J3" s="99"/>
      <c r="K3" s="99"/>
      <c r="L3" s="74"/>
      <c r="M3" s="69" t="s">
        <v>85</v>
      </c>
    </row>
    <row r="4" spans="2:13" ht="11.25">
      <c r="B4" s="92"/>
      <c r="C4" s="69" t="s">
        <v>144</v>
      </c>
      <c r="D4" s="69" t="s">
        <v>36</v>
      </c>
      <c r="E4" s="71" t="s">
        <v>145</v>
      </c>
      <c r="F4" s="71" t="s">
        <v>146</v>
      </c>
      <c r="G4" s="71" t="s">
        <v>147</v>
      </c>
      <c r="H4" s="71"/>
      <c r="I4" s="72" t="s">
        <v>148</v>
      </c>
      <c r="J4" s="71" t="s">
        <v>149</v>
      </c>
      <c r="K4" s="71" t="s">
        <v>147</v>
      </c>
      <c r="L4" s="74"/>
      <c r="M4" s="69" t="s">
        <v>146</v>
      </c>
    </row>
    <row r="5" spans="2:13" ht="11.25">
      <c r="B5" s="92"/>
      <c r="C5" s="69" t="s">
        <v>37</v>
      </c>
      <c r="D5" s="69" t="s">
        <v>150</v>
      </c>
      <c r="E5" s="71" t="s">
        <v>151</v>
      </c>
      <c r="F5" s="71"/>
      <c r="G5" s="71"/>
      <c r="H5" s="71"/>
      <c r="I5" s="72" t="s">
        <v>152</v>
      </c>
      <c r="J5" s="71"/>
      <c r="K5" s="71"/>
      <c r="L5" s="74"/>
      <c r="M5" s="69"/>
    </row>
    <row r="6" spans="2:13" ht="11.25">
      <c r="B6" s="90" t="s">
        <v>153</v>
      </c>
      <c r="C6" s="73">
        <f>58797/3</f>
        <v>19599</v>
      </c>
      <c r="D6" s="74">
        <v>0</v>
      </c>
      <c r="E6" s="74"/>
      <c r="F6" s="74">
        <f>C6-D6</f>
        <v>19599</v>
      </c>
      <c r="G6" s="74">
        <f>F6</f>
        <v>19599</v>
      </c>
      <c r="H6" s="74"/>
      <c r="I6" s="75">
        <v>0.0725</v>
      </c>
      <c r="J6" s="74">
        <v>0</v>
      </c>
      <c r="K6" s="74">
        <v>0</v>
      </c>
      <c r="L6" s="74"/>
      <c r="M6" s="74">
        <f>K6+G6</f>
        <v>19599</v>
      </c>
    </row>
    <row r="7" spans="2:13" ht="11.25">
      <c r="B7" s="90" t="s">
        <v>154</v>
      </c>
      <c r="C7" s="73">
        <f>58797/3</f>
        <v>19599</v>
      </c>
      <c r="D7" s="74">
        <v>0</v>
      </c>
      <c r="E7" s="74"/>
      <c r="F7" s="74">
        <f>C7-D7</f>
        <v>19599</v>
      </c>
      <c r="G7" s="74">
        <f>G6+C7</f>
        <v>39198</v>
      </c>
      <c r="H7" s="74"/>
      <c r="I7" s="75">
        <v>0.0725</v>
      </c>
      <c r="J7" s="74">
        <f>G6*I7/12</f>
        <v>118.410625</v>
      </c>
      <c r="K7" s="74">
        <f>K6+J7</f>
        <v>118.410625</v>
      </c>
      <c r="L7" s="74"/>
      <c r="M7" s="74">
        <f>K7+G7</f>
        <v>39316.410625</v>
      </c>
    </row>
    <row r="8" spans="2:13" ht="11.25">
      <c r="B8" s="93" t="s">
        <v>155</v>
      </c>
      <c r="C8" s="76">
        <f>58797/3</f>
        <v>19599</v>
      </c>
      <c r="D8" s="77">
        <v>0</v>
      </c>
      <c r="E8" s="77"/>
      <c r="F8" s="77">
        <f>C8-D8+E8</f>
        <v>19599</v>
      </c>
      <c r="G8" s="77">
        <f>G7+F8</f>
        <v>58797</v>
      </c>
      <c r="H8" s="78"/>
      <c r="I8" s="79">
        <v>0.0725</v>
      </c>
      <c r="J8" s="77">
        <f>G7*I8/12</f>
        <v>236.82125</v>
      </c>
      <c r="K8" s="77">
        <f>K7+J8</f>
        <v>355.231875</v>
      </c>
      <c r="L8" s="78"/>
      <c r="M8" s="77">
        <f>K8+G8</f>
        <v>59152.231875</v>
      </c>
    </row>
    <row r="9" spans="2:13" ht="11.25">
      <c r="B9" s="90" t="s">
        <v>85</v>
      </c>
      <c r="C9" s="73">
        <f>SUM(C6:C8)</f>
        <v>58797</v>
      </c>
      <c r="D9" s="73">
        <f aca="true" t="shared" si="0" ref="D9:J9">SUM(D6:D8)</f>
        <v>0</v>
      </c>
      <c r="E9" s="73">
        <f>SUM(E6:E8)</f>
        <v>0</v>
      </c>
      <c r="F9" s="73">
        <f t="shared" si="0"/>
        <v>58797</v>
      </c>
      <c r="G9" s="73"/>
      <c r="H9" s="73"/>
      <c r="I9" s="80"/>
      <c r="J9" s="73">
        <f t="shared" si="0"/>
        <v>355.231875</v>
      </c>
      <c r="K9" s="73"/>
      <c r="L9" s="73"/>
      <c r="M9" s="73"/>
    </row>
    <row r="10" spans="2:13" ht="11.25">
      <c r="B10" s="90"/>
      <c r="C10" s="73"/>
      <c r="D10" s="74"/>
      <c r="E10" s="74"/>
      <c r="F10" s="74"/>
      <c r="G10" s="74"/>
      <c r="H10" s="74"/>
      <c r="I10" s="91"/>
      <c r="J10" s="74"/>
      <c r="K10" s="74"/>
      <c r="L10" s="74"/>
      <c r="M10" s="74"/>
    </row>
    <row r="11" spans="2:13" ht="11.25">
      <c r="B11" s="92"/>
      <c r="C11" s="73"/>
      <c r="D11" s="74"/>
      <c r="E11" s="74"/>
      <c r="F11" s="74"/>
      <c r="G11" s="74"/>
      <c r="H11" s="74"/>
      <c r="I11" s="91"/>
      <c r="J11" s="74"/>
      <c r="K11" s="74"/>
      <c r="L11" s="74"/>
      <c r="M11" s="74"/>
    </row>
    <row r="12" spans="2:13" ht="11.25">
      <c r="B12" s="90" t="s">
        <v>140</v>
      </c>
      <c r="C12" s="69" t="s">
        <v>156</v>
      </c>
      <c r="D12" s="74"/>
      <c r="E12" s="74"/>
      <c r="F12" s="74"/>
      <c r="G12" s="74"/>
      <c r="H12" s="74"/>
      <c r="I12" s="91"/>
      <c r="J12" s="74"/>
      <c r="K12" s="74"/>
      <c r="L12" s="74"/>
      <c r="M12" s="74"/>
    </row>
    <row r="13" spans="2:13" ht="11.25">
      <c r="B13" s="92"/>
      <c r="C13" s="98" t="s">
        <v>142</v>
      </c>
      <c r="D13" s="99"/>
      <c r="E13" s="99"/>
      <c r="F13" s="99"/>
      <c r="G13" s="99"/>
      <c r="H13" s="74"/>
      <c r="I13" s="99" t="s">
        <v>143</v>
      </c>
      <c r="J13" s="99"/>
      <c r="K13" s="99"/>
      <c r="L13" s="74"/>
      <c r="M13" s="69" t="s">
        <v>85</v>
      </c>
    </row>
    <row r="14" spans="2:13" ht="11.25">
      <c r="B14" s="92"/>
      <c r="C14" s="69" t="s">
        <v>144</v>
      </c>
      <c r="D14" s="69" t="s">
        <v>36</v>
      </c>
      <c r="E14" s="71" t="s">
        <v>145</v>
      </c>
      <c r="F14" s="71" t="s">
        <v>146</v>
      </c>
      <c r="G14" s="71" t="s">
        <v>147</v>
      </c>
      <c r="H14" s="71"/>
      <c r="I14" s="72" t="s">
        <v>148</v>
      </c>
      <c r="J14" s="71" t="s">
        <v>149</v>
      </c>
      <c r="K14" s="71" t="s">
        <v>147</v>
      </c>
      <c r="L14" s="74"/>
      <c r="M14" s="69" t="s">
        <v>146</v>
      </c>
    </row>
    <row r="15" spans="2:13" ht="11.25">
      <c r="B15" s="92"/>
      <c r="C15" s="69" t="s">
        <v>37</v>
      </c>
      <c r="D15" s="69" t="s">
        <v>150</v>
      </c>
      <c r="E15" s="71" t="s">
        <v>151</v>
      </c>
      <c r="F15" s="71"/>
      <c r="G15" s="71"/>
      <c r="H15" s="71"/>
      <c r="I15" s="72" t="s">
        <v>152</v>
      </c>
      <c r="J15" s="71"/>
      <c r="K15" s="71"/>
      <c r="L15" s="74"/>
      <c r="M15" s="69"/>
    </row>
    <row r="16" spans="2:13" ht="11.25">
      <c r="B16" s="90" t="s">
        <v>157</v>
      </c>
      <c r="C16" s="73">
        <f>257376/12</f>
        <v>21448</v>
      </c>
      <c r="D16" s="74"/>
      <c r="E16" s="74"/>
      <c r="F16" s="78">
        <f>C16-D16+E16</f>
        <v>21448</v>
      </c>
      <c r="G16" s="74">
        <f>G8+F16</f>
        <v>80245</v>
      </c>
      <c r="H16" s="74"/>
      <c r="I16" s="75">
        <v>0.0725</v>
      </c>
      <c r="J16" s="74">
        <f>I16*F9/12</f>
        <v>355.23187499999995</v>
      </c>
      <c r="K16" s="74">
        <f>K8+J16</f>
        <v>710.4637499999999</v>
      </c>
      <c r="L16" s="74"/>
      <c r="M16" s="74">
        <f>K16+G16</f>
        <v>80955.46375</v>
      </c>
    </row>
    <row r="17" spans="2:13" ht="11.25">
      <c r="B17" s="90" t="s">
        <v>158</v>
      </c>
      <c r="C17" s="73">
        <f aca="true" t="shared" si="1" ref="C17:C27">257376/12</f>
        <v>21448</v>
      </c>
      <c r="D17" s="74"/>
      <c r="E17" s="74"/>
      <c r="F17" s="78">
        <f aca="true" t="shared" si="2" ref="F17:F27">C17-D17+E17</f>
        <v>21448</v>
      </c>
      <c r="G17" s="74">
        <f>G16+F17</f>
        <v>101693</v>
      </c>
      <c r="H17" s="74"/>
      <c r="I17" s="75">
        <v>0.0725</v>
      </c>
      <c r="J17" s="74">
        <f>G16*I17/12</f>
        <v>484.81354166666665</v>
      </c>
      <c r="K17" s="74">
        <f>K16+J17</f>
        <v>1195.2772916666665</v>
      </c>
      <c r="L17" s="74"/>
      <c r="M17" s="74">
        <f aca="true" t="shared" si="3" ref="M17:M27">K17+G17</f>
        <v>102888.27729166667</v>
      </c>
    </row>
    <row r="18" spans="2:13" ht="11.25">
      <c r="B18" s="90" t="s">
        <v>159</v>
      </c>
      <c r="C18" s="73">
        <f t="shared" si="1"/>
        <v>21448</v>
      </c>
      <c r="D18" s="74"/>
      <c r="E18" s="74"/>
      <c r="F18" s="78">
        <f t="shared" si="2"/>
        <v>21448</v>
      </c>
      <c r="G18" s="74">
        <f aca="true" t="shared" si="4" ref="G18:G26">G17+F18</f>
        <v>123141</v>
      </c>
      <c r="H18" s="74"/>
      <c r="I18" s="75">
        <v>0.0725</v>
      </c>
      <c r="J18" s="74">
        <f aca="true" t="shared" si="5" ref="J18:J27">G17*I18/12</f>
        <v>614.3952083333332</v>
      </c>
      <c r="K18" s="74">
        <f aca="true" t="shared" si="6" ref="K18:K27">K17+J18</f>
        <v>1809.6724999999997</v>
      </c>
      <c r="L18" s="74"/>
      <c r="M18" s="74">
        <f t="shared" si="3"/>
        <v>124950.6725</v>
      </c>
    </row>
    <row r="19" spans="2:13" ht="11.25">
      <c r="B19" s="90" t="s">
        <v>160</v>
      </c>
      <c r="C19" s="73">
        <f t="shared" si="1"/>
        <v>21448</v>
      </c>
      <c r="D19" s="74">
        <f>'2002 Summary'!G10</f>
        <v>9115.68523798149</v>
      </c>
      <c r="E19" s="74"/>
      <c r="F19" s="78">
        <f t="shared" si="2"/>
        <v>12332.31476201851</v>
      </c>
      <c r="G19" s="74">
        <f t="shared" si="4"/>
        <v>135473.3147620185</v>
      </c>
      <c r="H19" s="74"/>
      <c r="I19" s="75">
        <v>0.0725</v>
      </c>
      <c r="J19" s="74">
        <f t="shared" si="5"/>
        <v>743.976875</v>
      </c>
      <c r="K19" s="74">
        <f t="shared" si="6"/>
        <v>2553.6493749999995</v>
      </c>
      <c r="L19" s="74"/>
      <c r="M19" s="74">
        <f t="shared" si="3"/>
        <v>138026.9641370185</v>
      </c>
    </row>
    <row r="20" spans="2:13" ht="11.25">
      <c r="B20" s="90" t="s">
        <v>161</v>
      </c>
      <c r="C20" s="73">
        <f t="shared" si="1"/>
        <v>21448</v>
      </c>
      <c r="D20" s="74">
        <f>'2002 Summary'!G11</f>
        <v>24900.116464967374</v>
      </c>
      <c r="E20" s="74"/>
      <c r="F20" s="78">
        <f t="shared" si="2"/>
        <v>-3452.1164649673738</v>
      </c>
      <c r="G20" s="74">
        <f t="shared" si="4"/>
        <v>132021.19829705113</v>
      </c>
      <c r="H20" s="74"/>
      <c r="I20" s="75">
        <v>0.0725</v>
      </c>
      <c r="J20" s="74">
        <f t="shared" si="5"/>
        <v>818.4846100205285</v>
      </c>
      <c r="K20" s="74">
        <f t="shared" si="6"/>
        <v>3372.133985020528</v>
      </c>
      <c r="L20" s="74"/>
      <c r="M20" s="74">
        <f t="shared" si="3"/>
        <v>135393.33228207167</v>
      </c>
    </row>
    <row r="21" spans="2:13" ht="11.25">
      <c r="B21" s="90" t="s">
        <v>162</v>
      </c>
      <c r="C21" s="73">
        <f t="shared" si="1"/>
        <v>21448</v>
      </c>
      <c r="D21" s="74">
        <f>'2002 Summary'!G12</f>
        <v>17136.512907072673</v>
      </c>
      <c r="F21" s="78">
        <f t="shared" si="2"/>
        <v>4311.4870929273275</v>
      </c>
      <c r="G21" s="74">
        <f t="shared" si="4"/>
        <v>136332.68538997846</v>
      </c>
      <c r="H21" s="74"/>
      <c r="I21" s="75">
        <v>0.0725</v>
      </c>
      <c r="J21" s="74">
        <f t="shared" si="5"/>
        <v>797.6280730446838</v>
      </c>
      <c r="K21" s="74">
        <f t="shared" si="6"/>
        <v>4169.762058065212</v>
      </c>
      <c r="L21" s="74"/>
      <c r="M21" s="74">
        <f t="shared" si="3"/>
        <v>140502.44744804368</v>
      </c>
    </row>
    <row r="22" spans="2:13" ht="11.25">
      <c r="B22" s="90" t="s">
        <v>163</v>
      </c>
      <c r="C22" s="73">
        <f t="shared" si="1"/>
        <v>21448</v>
      </c>
      <c r="D22" s="74">
        <f>'2002 Summary'!G13</f>
        <v>27879.383356443417</v>
      </c>
      <c r="E22" s="74">
        <f>'[2]PILs 1562 Calculation'!$E$16</f>
        <v>11717.350736677292</v>
      </c>
      <c r="F22" s="78">
        <f t="shared" si="2"/>
        <v>5285.967380233875</v>
      </c>
      <c r="G22" s="74">
        <f t="shared" si="4"/>
        <v>141618.65277021233</v>
      </c>
      <c r="H22" s="74"/>
      <c r="I22" s="75">
        <v>0.0725</v>
      </c>
      <c r="J22" s="74">
        <f t="shared" si="5"/>
        <v>823.6766408977865</v>
      </c>
      <c r="K22" s="74">
        <f t="shared" si="6"/>
        <v>4993.438698962998</v>
      </c>
      <c r="L22" s="74"/>
      <c r="M22" s="74">
        <f t="shared" si="3"/>
        <v>146612.09146917533</v>
      </c>
    </row>
    <row r="23" spans="2:13" ht="11.25">
      <c r="B23" s="90" t="s">
        <v>164</v>
      </c>
      <c r="C23" s="73">
        <f t="shared" si="1"/>
        <v>21448</v>
      </c>
      <c r="D23" s="74">
        <f>'2002 Summary'!G14</f>
        <v>15701.53115051756</v>
      </c>
      <c r="E23" s="74"/>
      <c r="F23" s="78">
        <f t="shared" si="2"/>
        <v>5746.46884948244</v>
      </c>
      <c r="G23" s="74">
        <f t="shared" si="4"/>
        <v>147365.12161969478</v>
      </c>
      <c r="H23" s="74"/>
      <c r="I23" s="75">
        <v>0.0725</v>
      </c>
      <c r="J23" s="74">
        <f t="shared" si="5"/>
        <v>855.6126938200327</v>
      </c>
      <c r="K23" s="74">
        <f t="shared" si="6"/>
        <v>5849.051392783031</v>
      </c>
      <c r="L23" s="74"/>
      <c r="M23" s="74">
        <f t="shared" si="3"/>
        <v>153214.1730124778</v>
      </c>
    </row>
    <row r="24" spans="2:13" ht="11.25">
      <c r="B24" s="90" t="s">
        <v>165</v>
      </c>
      <c r="C24" s="73">
        <f t="shared" si="1"/>
        <v>21448</v>
      </c>
      <c r="D24" s="74">
        <f>'2002 Summary'!G15</f>
        <v>48882.23856715649</v>
      </c>
      <c r="E24" s="74"/>
      <c r="F24" s="78">
        <f t="shared" si="2"/>
        <v>-27434.23856715649</v>
      </c>
      <c r="G24" s="74">
        <f t="shared" si="4"/>
        <v>119930.8830525383</v>
      </c>
      <c r="H24" s="74"/>
      <c r="I24" s="75">
        <v>0.0725</v>
      </c>
      <c r="J24" s="74">
        <f>G23*I24/12</f>
        <v>890.3309431189892</v>
      </c>
      <c r="K24" s="74">
        <f t="shared" si="6"/>
        <v>6739.38233590202</v>
      </c>
      <c r="L24" s="74"/>
      <c r="M24" s="74">
        <f t="shared" si="3"/>
        <v>126670.26538844031</v>
      </c>
    </row>
    <row r="25" spans="2:13" ht="11.25">
      <c r="B25" s="90" t="s">
        <v>153</v>
      </c>
      <c r="C25" s="73">
        <f t="shared" si="1"/>
        <v>21448</v>
      </c>
      <c r="D25" s="74">
        <f>'2002 Summary'!G16</f>
        <v>22284.322565737057</v>
      </c>
      <c r="E25" s="74"/>
      <c r="F25" s="78">
        <f t="shared" si="2"/>
        <v>-836.3225657370567</v>
      </c>
      <c r="G25" s="74">
        <f t="shared" si="4"/>
        <v>119094.56048680123</v>
      </c>
      <c r="H25" s="74"/>
      <c r="I25" s="75">
        <v>0.0725</v>
      </c>
      <c r="J25" s="74">
        <f>G24*I25/12</f>
        <v>724.5824184424188</v>
      </c>
      <c r="K25" s="74">
        <f t="shared" si="6"/>
        <v>7463.964754344439</v>
      </c>
      <c r="L25" s="74"/>
      <c r="M25" s="74">
        <f t="shared" si="3"/>
        <v>126558.52524114567</v>
      </c>
    </row>
    <row r="26" spans="2:13" ht="11.25">
      <c r="B26" s="90" t="s">
        <v>154</v>
      </c>
      <c r="C26" s="73">
        <f t="shared" si="1"/>
        <v>21448</v>
      </c>
      <c r="D26" s="74">
        <f>'2002 Summary'!G17</f>
        <v>28840.805904956433</v>
      </c>
      <c r="E26" s="74"/>
      <c r="F26" s="78">
        <f t="shared" si="2"/>
        <v>-7392.805904956433</v>
      </c>
      <c r="G26" s="74">
        <f t="shared" si="4"/>
        <v>111701.7545818448</v>
      </c>
      <c r="H26" s="74"/>
      <c r="I26" s="75">
        <v>0.0725</v>
      </c>
      <c r="J26" s="74">
        <f>G25*I26/12</f>
        <v>719.529636274424</v>
      </c>
      <c r="K26" s="74">
        <f t="shared" si="6"/>
        <v>8183.494390618863</v>
      </c>
      <c r="L26" s="74"/>
      <c r="M26" s="74">
        <f t="shared" si="3"/>
        <v>119885.24897246365</v>
      </c>
    </row>
    <row r="27" spans="2:13" ht="11.25">
      <c r="B27" s="93" t="s">
        <v>155</v>
      </c>
      <c r="C27" s="76">
        <f t="shared" si="1"/>
        <v>21448</v>
      </c>
      <c r="D27" s="77">
        <f>'2002 Summary'!G18</f>
        <v>23596.367315630025</v>
      </c>
      <c r="E27" s="96"/>
      <c r="F27" s="77">
        <f t="shared" si="2"/>
        <v>-2148.3673156300247</v>
      </c>
      <c r="G27" s="77">
        <f>G26+F27</f>
        <v>109553.38726621478</v>
      </c>
      <c r="H27" s="78"/>
      <c r="I27" s="79">
        <v>0.0725</v>
      </c>
      <c r="J27" s="77">
        <f t="shared" si="5"/>
        <v>674.8647672653123</v>
      </c>
      <c r="K27" s="77">
        <f t="shared" si="6"/>
        <v>8858.359157884175</v>
      </c>
      <c r="L27" s="78"/>
      <c r="M27" s="77">
        <f t="shared" si="3"/>
        <v>118411.74642409895</v>
      </c>
    </row>
    <row r="28" spans="2:13" ht="11.25">
      <c r="B28" s="90" t="s">
        <v>85</v>
      </c>
      <c r="C28" s="73">
        <f>SUM(C16:C27)</f>
        <v>257376</v>
      </c>
      <c r="D28" s="73">
        <f>SUM(D16:D27)</f>
        <v>218336.96347046254</v>
      </c>
      <c r="E28" s="73">
        <f>SUM(E16:E27)</f>
        <v>11717.350736677292</v>
      </c>
      <c r="F28" s="73">
        <f>SUM(F16:F27)</f>
        <v>50756.38726621478</v>
      </c>
      <c r="G28" s="73"/>
      <c r="H28" s="73"/>
      <c r="I28" s="80"/>
      <c r="J28" s="73">
        <f>SUM(J16:J27)</f>
        <v>8503.127282884176</v>
      </c>
      <c r="K28" s="73"/>
      <c r="L28" s="73"/>
      <c r="M28" s="73"/>
    </row>
    <row r="29" spans="2:13" ht="11.25">
      <c r="B29" s="92"/>
      <c r="C29" s="73"/>
      <c r="D29" s="74"/>
      <c r="E29" s="74"/>
      <c r="F29" s="74"/>
      <c r="G29" s="74"/>
      <c r="H29" s="74"/>
      <c r="I29" s="91"/>
      <c r="J29" s="74"/>
      <c r="K29" s="74"/>
      <c r="L29" s="74"/>
      <c r="M29" s="74"/>
    </row>
    <row r="30" spans="2:13" ht="11.25">
      <c r="B30" s="92"/>
      <c r="C30" s="73"/>
      <c r="D30" s="74"/>
      <c r="E30" s="74"/>
      <c r="F30" s="74"/>
      <c r="G30" s="74"/>
      <c r="H30" s="74"/>
      <c r="I30" s="91"/>
      <c r="J30" s="74"/>
      <c r="K30" s="74"/>
      <c r="L30" s="74"/>
      <c r="M30" s="74"/>
    </row>
    <row r="31" spans="2:13" ht="11.25">
      <c r="B31" s="90" t="s">
        <v>140</v>
      </c>
      <c r="C31" s="69" t="s">
        <v>166</v>
      </c>
      <c r="D31" s="74"/>
      <c r="E31" s="74"/>
      <c r="F31" s="74"/>
      <c r="G31" s="74"/>
      <c r="H31" s="74"/>
      <c r="I31" s="91"/>
      <c r="J31" s="74"/>
      <c r="K31" s="74"/>
      <c r="L31" s="74"/>
      <c r="M31" s="74"/>
    </row>
    <row r="32" spans="2:13" ht="11.25">
      <c r="B32" s="92"/>
      <c r="C32" s="98" t="s">
        <v>142</v>
      </c>
      <c r="D32" s="99"/>
      <c r="E32" s="99"/>
      <c r="F32" s="99"/>
      <c r="G32" s="99"/>
      <c r="H32" s="74"/>
      <c r="I32" s="99" t="s">
        <v>143</v>
      </c>
      <c r="J32" s="99"/>
      <c r="K32" s="99"/>
      <c r="L32" s="74"/>
      <c r="M32" s="69" t="s">
        <v>85</v>
      </c>
    </row>
    <row r="33" spans="2:13" ht="11.25">
      <c r="B33" s="92"/>
      <c r="C33" s="69" t="s">
        <v>144</v>
      </c>
      <c r="D33" s="69" t="s">
        <v>36</v>
      </c>
      <c r="E33" s="71" t="s">
        <v>145</v>
      </c>
      <c r="F33" s="71" t="s">
        <v>146</v>
      </c>
      <c r="G33" s="71" t="s">
        <v>147</v>
      </c>
      <c r="H33" s="71"/>
      <c r="I33" s="72" t="s">
        <v>148</v>
      </c>
      <c r="J33" s="71" t="s">
        <v>149</v>
      </c>
      <c r="K33" s="71" t="s">
        <v>147</v>
      </c>
      <c r="L33" s="74"/>
      <c r="M33" s="69" t="s">
        <v>146</v>
      </c>
    </row>
    <row r="34" spans="2:13" ht="11.25">
      <c r="B34" s="92"/>
      <c r="C34" s="69" t="s">
        <v>37</v>
      </c>
      <c r="D34" s="69" t="s">
        <v>150</v>
      </c>
      <c r="E34" s="71" t="s">
        <v>151</v>
      </c>
      <c r="F34" s="71"/>
      <c r="G34" s="71"/>
      <c r="H34" s="71"/>
      <c r="I34" s="72" t="s">
        <v>152</v>
      </c>
      <c r="J34" s="71"/>
      <c r="K34" s="71"/>
      <c r="L34" s="74"/>
      <c r="M34" s="69"/>
    </row>
    <row r="35" spans="2:13" ht="11.25">
      <c r="B35" s="90" t="s">
        <v>157</v>
      </c>
      <c r="C35" s="73">
        <f>(257376+58797)/12</f>
        <v>26347.75</v>
      </c>
      <c r="D35" s="74">
        <f>'2003 Summary'!G7</f>
        <v>27303.909369672114</v>
      </c>
      <c r="E35" s="74"/>
      <c r="F35" s="78">
        <f>C35-D35+E35</f>
        <v>-956.1593696721138</v>
      </c>
      <c r="G35" s="74">
        <f>G27+F35</f>
        <v>108597.22789654267</v>
      </c>
      <c r="H35" s="74"/>
      <c r="I35" s="75">
        <v>0.0725</v>
      </c>
      <c r="J35" s="74">
        <f>G27*I35/12</f>
        <v>661.8850480667143</v>
      </c>
      <c r="K35" s="74">
        <f>K27+J35</f>
        <v>9520.24420595089</v>
      </c>
      <c r="L35" s="74"/>
      <c r="M35" s="74">
        <f>K35+G35</f>
        <v>118117.47210249356</v>
      </c>
    </row>
    <row r="36" spans="2:13" ht="11.25">
      <c r="B36" s="90" t="s">
        <v>158</v>
      </c>
      <c r="C36" s="73">
        <f aca="true" t="shared" si="7" ref="C36:C46">(257376+58797)/12</f>
        <v>26347.75</v>
      </c>
      <c r="D36" s="74">
        <f>'2003 Summary'!G8</f>
        <v>34207.14307707221</v>
      </c>
      <c r="E36" s="74"/>
      <c r="F36" s="78">
        <f aca="true" t="shared" si="8" ref="F36:F46">C36-D36+E36</f>
        <v>-7859.393077072207</v>
      </c>
      <c r="G36" s="74">
        <f>G35+F36</f>
        <v>100737.83481947046</v>
      </c>
      <c r="H36" s="74"/>
      <c r="I36" s="75">
        <v>0.0725</v>
      </c>
      <c r="J36" s="74">
        <f>G35*I36/12</f>
        <v>656.1082518749453</v>
      </c>
      <c r="K36" s="74">
        <f>K35+J36</f>
        <v>10176.352457825835</v>
      </c>
      <c r="L36" s="74"/>
      <c r="M36" s="74">
        <f aca="true" t="shared" si="9" ref="M36:M46">K36+G36</f>
        <v>110914.1872772963</v>
      </c>
    </row>
    <row r="37" spans="2:13" ht="11.25">
      <c r="B37" s="90" t="s">
        <v>159</v>
      </c>
      <c r="C37" s="73">
        <f t="shared" si="7"/>
        <v>26347.75</v>
      </c>
      <c r="D37" s="74">
        <f>'2003 Summary'!G9</f>
        <v>31611.18634801536</v>
      </c>
      <c r="E37" s="74"/>
      <c r="F37" s="78">
        <f t="shared" si="8"/>
        <v>-5263.436348015359</v>
      </c>
      <c r="G37" s="74">
        <f aca="true" t="shared" si="10" ref="G37:G46">G36+F37</f>
        <v>95474.3984714551</v>
      </c>
      <c r="H37" s="74"/>
      <c r="I37" s="75">
        <v>0.0725</v>
      </c>
      <c r="J37" s="74">
        <f aca="true" t="shared" si="11" ref="J37:J46">G36*I37/12</f>
        <v>608.6244187009673</v>
      </c>
      <c r="K37" s="74">
        <f aca="true" t="shared" si="12" ref="K37:K46">K36+J37</f>
        <v>10784.976876526802</v>
      </c>
      <c r="L37" s="74"/>
      <c r="M37" s="74">
        <f t="shared" si="9"/>
        <v>106259.3753479819</v>
      </c>
    </row>
    <row r="38" spans="2:13" ht="11.25">
      <c r="B38" s="90" t="s">
        <v>160</v>
      </c>
      <c r="C38" s="73">
        <f t="shared" si="7"/>
        <v>26347.75</v>
      </c>
      <c r="D38" s="74">
        <f>'2003 Summary'!G10</f>
        <v>29819.34641553698</v>
      </c>
      <c r="E38" s="74"/>
      <c r="F38" s="78">
        <f t="shared" si="8"/>
        <v>-3471.59641553698</v>
      </c>
      <c r="G38" s="74">
        <f t="shared" si="10"/>
        <v>92002.80205591812</v>
      </c>
      <c r="H38" s="74"/>
      <c r="I38" s="75">
        <v>0.0725</v>
      </c>
      <c r="J38" s="74">
        <f t="shared" si="11"/>
        <v>576.8244907650412</v>
      </c>
      <c r="K38" s="74">
        <f t="shared" si="12"/>
        <v>11361.801367291842</v>
      </c>
      <c r="L38" s="74"/>
      <c r="M38" s="74">
        <f t="shared" si="9"/>
        <v>103364.60342320996</v>
      </c>
    </row>
    <row r="39" spans="2:13" ht="11.25">
      <c r="B39" s="90" t="s">
        <v>161</v>
      </c>
      <c r="C39" s="73">
        <f t="shared" si="7"/>
        <v>26347.75</v>
      </c>
      <c r="D39" s="74">
        <f>'2003 Summary'!G11</f>
        <v>28605.57436074942</v>
      </c>
      <c r="E39" s="74"/>
      <c r="F39" s="78">
        <f t="shared" si="8"/>
        <v>-2257.8243607494187</v>
      </c>
      <c r="G39" s="74">
        <f t="shared" si="10"/>
        <v>89744.9776951687</v>
      </c>
      <c r="H39" s="74"/>
      <c r="I39" s="75">
        <v>0.0725</v>
      </c>
      <c r="J39" s="74">
        <f t="shared" si="11"/>
        <v>555.8502624211719</v>
      </c>
      <c r="K39" s="74">
        <f t="shared" si="12"/>
        <v>11917.651629713015</v>
      </c>
      <c r="L39" s="74"/>
      <c r="M39" s="74">
        <f t="shared" si="9"/>
        <v>101662.62932488171</v>
      </c>
    </row>
    <row r="40" spans="2:13" ht="11.25">
      <c r="B40" s="90" t="s">
        <v>162</v>
      </c>
      <c r="C40" s="73">
        <f t="shared" si="7"/>
        <v>26347.75</v>
      </c>
      <c r="D40" s="74">
        <f>'2003 Summary'!G12</f>
        <v>23236.80635598586</v>
      </c>
      <c r="E40" s="74"/>
      <c r="F40" s="78">
        <f t="shared" si="8"/>
        <v>3110.94364401414</v>
      </c>
      <c r="G40" s="74">
        <f t="shared" si="10"/>
        <v>92855.92133918284</v>
      </c>
      <c r="H40" s="74"/>
      <c r="I40" s="75">
        <v>0.0725</v>
      </c>
      <c r="J40" s="74">
        <f t="shared" si="11"/>
        <v>542.2092402416441</v>
      </c>
      <c r="K40" s="74">
        <f t="shared" si="12"/>
        <v>12459.860869954658</v>
      </c>
      <c r="L40" s="74"/>
      <c r="M40" s="74">
        <f t="shared" si="9"/>
        <v>105315.7822091375</v>
      </c>
    </row>
    <row r="41" spans="2:13" ht="11.25">
      <c r="B41" s="90" t="s">
        <v>163</v>
      </c>
      <c r="C41" s="73">
        <f t="shared" si="7"/>
        <v>26347.75</v>
      </c>
      <c r="D41" s="74">
        <f>'2003 Summary'!G13</f>
        <v>26891.519227713896</v>
      </c>
      <c r="E41" s="78">
        <f>'[3]PILs 1562 Calculation'!$G$15+'[3]PILs 1562 Calculation'!$G$17</f>
        <v>33024.16199523357</v>
      </c>
      <c r="F41" s="78">
        <f t="shared" si="8"/>
        <v>32480.392767519672</v>
      </c>
      <c r="G41" s="74">
        <f t="shared" si="10"/>
        <v>125336.31410670251</v>
      </c>
      <c r="H41" s="74"/>
      <c r="I41" s="75">
        <v>0.0725</v>
      </c>
      <c r="J41" s="74">
        <f t="shared" si="11"/>
        <v>561.004524757563</v>
      </c>
      <c r="K41" s="74">
        <f t="shared" si="12"/>
        <v>13020.865394712222</v>
      </c>
      <c r="L41" s="74"/>
      <c r="M41" s="74">
        <f t="shared" si="9"/>
        <v>138357.17950141474</v>
      </c>
    </row>
    <row r="42" spans="2:13" ht="11.25">
      <c r="B42" s="90" t="s">
        <v>164</v>
      </c>
      <c r="C42" s="73">
        <f t="shared" si="7"/>
        <v>26347.75</v>
      </c>
      <c r="D42" s="74">
        <f>'2003 Summary'!G14</f>
        <v>21317.798357600437</v>
      </c>
      <c r="E42" s="74"/>
      <c r="F42" s="78">
        <f t="shared" si="8"/>
        <v>5029.951642399563</v>
      </c>
      <c r="G42" s="74">
        <f t="shared" si="10"/>
        <v>130366.26574910208</v>
      </c>
      <c r="H42" s="74"/>
      <c r="I42" s="75">
        <v>0.0725</v>
      </c>
      <c r="J42" s="74">
        <f t="shared" si="11"/>
        <v>757.2402310613276</v>
      </c>
      <c r="K42" s="74">
        <f t="shared" si="12"/>
        <v>13778.105625773549</v>
      </c>
      <c r="L42" s="74"/>
      <c r="M42" s="74">
        <f t="shared" si="9"/>
        <v>144144.37137487563</v>
      </c>
    </row>
    <row r="43" spans="2:13" ht="11.25">
      <c r="B43" s="90" t="s">
        <v>165</v>
      </c>
      <c r="C43" s="73">
        <f t="shared" si="7"/>
        <v>26347.75</v>
      </c>
      <c r="D43" s="74">
        <f>'2003 Summary'!G15</f>
        <v>28332.355073330422</v>
      </c>
      <c r="E43" s="74"/>
      <c r="F43" s="78">
        <f t="shared" si="8"/>
        <v>-1984.6050733304219</v>
      </c>
      <c r="G43" s="74">
        <f t="shared" si="10"/>
        <v>128381.66067577165</v>
      </c>
      <c r="H43" s="74"/>
      <c r="I43" s="75">
        <v>0.0725</v>
      </c>
      <c r="J43" s="74">
        <f t="shared" si="11"/>
        <v>787.6295222341583</v>
      </c>
      <c r="K43" s="74">
        <f t="shared" si="12"/>
        <v>14565.735148007707</v>
      </c>
      <c r="L43" s="74"/>
      <c r="M43" s="74">
        <f t="shared" si="9"/>
        <v>142947.39582377937</v>
      </c>
    </row>
    <row r="44" spans="2:13" ht="11.25">
      <c r="B44" s="90" t="s">
        <v>153</v>
      </c>
      <c r="C44" s="73">
        <f t="shared" si="7"/>
        <v>26347.75</v>
      </c>
      <c r="D44" s="74">
        <f>'2003 Summary'!G16</f>
        <v>21647.67750310295</v>
      </c>
      <c r="E44" s="74"/>
      <c r="F44" s="78">
        <f t="shared" si="8"/>
        <v>4700.07249689705</v>
      </c>
      <c r="G44" s="74">
        <f t="shared" si="10"/>
        <v>133081.7331726687</v>
      </c>
      <c r="H44" s="74"/>
      <c r="I44" s="75">
        <v>0.0725</v>
      </c>
      <c r="J44" s="74">
        <f t="shared" si="11"/>
        <v>775.6391999161204</v>
      </c>
      <c r="K44" s="74">
        <f t="shared" si="12"/>
        <v>15341.374347923827</v>
      </c>
      <c r="L44" s="74"/>
      <c r="M44" s="74">
        <f t="shared" si="9"/>
        <v>148423.10752059252</v>
      </c>
    </row>
    <row r="45" spans="2:13" ht="11.25">
      <c r="B45" s="90" t="s">
        <v>154</v>
      </c>
      <c r="C45" s="73">
        <f t="shared" si="7"/>
        <v>26347.75</v>
      </c>
      <c r="D45" s="74">
        <f>'2003 Summary'!G17</f>
        <v>26296.967086278168</v>
      </c>
      <c r="E45" s="74"/>
      <c r="F45" s="78">
        <f t="shared" si="8"/>
        <v>50.7829137218323</v>
      </c>
      <c r="G45" s="74">
        <f t="shared" si="10"/>
        <v>133132.51608639053</v>
      </c>
      <c r="H45" s="74"/>
      <c r="I45" s="75">
        <v>0.0725</v>
      </c>
      <c r="J45" s="74">
        <f t="shared" si="11"/>
        <v>804.03547125154</v>
      </c>
      <c r="K45" s="74">
        <f t="shared" si="12"/>
        <v>16145.409819175367</v>
      </c>
      <c r="L45" s="74"/>
      <c r="M45" s="74">
        <f t="shared" si="9"/>
        <v>149277.9259055659</v>
      </c>
    </row>
    <row r="46" spans="2:13" ht="11.25">
      <c r="B46" s="93" t="s">
        <v>155</v>
      </c>
      <c r="C46" s="76">
        <f t="shared" si="7"/>
        <v>26347.75</v>
      </c>
      <c r="D46" s="77">
        <f>'2003 Summary'!G18</f>
        <v>26575.929220617098</v>
      </c>
      <c r="E46" s="96"/>
      <c r="F46" s="77">
        <f t="shared" si="8"/>
        <v>-228.1792206170976</v>
      </c>
      <c r="G46" s="77">
        <f t="shared" si="10"/>
        <v>132904.33686577342</v>
      </c>
      <c r="H46" s="78"/>
      <c r="I46" s="79">
        <v>0.0725</v>
      </c>
      <c r="J46" s="77">
        <f t="shared" si="11"/>
        <v>804.3422846886093</v>
      </c>
      <c r="K46" s="77">
        <f t="shared" si="12"/>
        <v>16949.752103863975</v>
      </c>
      <c r="L46" s="78"/>
      <c r="M46" s="77">
        <f t="shared" si="9"/>
        <v>149854.0889696374</v>
      </c>
    </row>
    <row r="47" spans="2:13" ht="11.25">
      <c r="B47" s="90" t="s">
        <v>85</v>
      </c>
      <c r="C47" s="73">
        <f>SUM(C35:C46)</f>
        <v>316173</v>
      </c>
      <c r="D47" s="73">
        <f>SUM(D35:D46)</f>
        <v>325846.21239567496</v>
      </c>
      <c r="E47" s="73">
        <f>SUM(E35:E46)</f>
        <v>33024.16199523357</v>
      </c>
      <c r="F47" s="73">
        <f>SUM(F35:F46)</f>
        <v>23350.94959955866</v>
      </c>
      <c r="G47" s="73"/>
      <c r="H47" s="73"/>
      <c r="I47" s="80"/>
      <c r="J47" s="73">
        <f>SUM(J35:J46)</f>
        <v>8091.392945979804</v>
      </c>
      <c r="K47" s="73"/>
      <c r="L47" s="73"/>
      <c r="M47" s="73"/>
    </row>
    <row r="48" spans="2:13" ht="11.25">
      <c r="B48" s="92"/>
      <c r="C48" s="73"/>
      <c r="D48" s="74"/>
      <c r="E48" s="74"/>
      <c r="F48" s="74"/>
      <c r="G48" s="74"/>
      <c r="H48" s="74"/>
      <c r="I48" s="91"/>
      <c r="J48" s="74"/>
      <c r="K48" s="74"/>
      <c r="L48" s="74"/>
      <c r="M48" s="74"/>
    </row>
    <row r="49" spans="2:13" ht="11.25">
      <c r="B49" s="92"/>
      <c r="C49" s="73"/>
      <c r="D49" s="74"/>
      <c r="E49" s="74"/>
      <c r="F49" s="74"/>
      <c r="G49" s="74"/>
      <c r="H49" s="74"/>
      <c r="I49" s="91"/>
      <c r="J49" s="74"/>
      <c r="K49" s="74"/>
      <c r="L49" s="74"/>
      <c r="M49" s="74"/>
    </row>
    <row r="50" spans="2:13" ht="11.25">
      <c r="B50" s="92"/>
      <c r="C50" s="73"/>
      <c r="D50" s="74"/>
      <c r="E50" s="74"/>
      <c r="F50" s="74"/>
      <c r="G50" s="74"/>
      <c r="H50" s="74"/>
      <c r="I50" s="91"/>
      <c r="J50" s="74"/>
      <c r="K50" s="74"/>
      <c r="L50" s="74"/>
      <c r="M50" s="74"/>
    </row>
    <row r="51" spans="2:13" ht="11.25">
      <c r="B51" s="90" t="s">
        <v>140</v>
      </c>
      <c r="C51" s="69" t="s">
        <v>167</v>
      </c>
      <c r="D51" s="74"/>
      <c r="E51" s="74"/>
      <c r="F51" s="74"/>
      <c r="G51" s="74"/>
      <c r="H51" s="74"/>
      <c r="I51" s="91"/>
      <c r="J51" s="74"/>
      <c r="K51" s="74"/>
      <c r="L51" s="74"/>
      <c r="M51" s="74"/>
    </row>
    <row r="52" spans="2:13" ht="11.25">
      <c r="B52" s="92"/>
      <c r="C52" s="98" t="s">
        <v>142</v>
      </c>
      <c r="D52" s="99"/>
      <c r="E52" s="99"/>
      <c r="F52" s="99"/>
      <c r="G52" s="99"/>
      <c r="H52" s="74"/>
      <c r="I52" s="99" t="s">
        <v>143</v>
      </c>
      <c r="J52" s="99"/>
      <c r="K52" s="99"/>
      <c r="L52" s="74"/>
      <c r="M52" s="69" t="s">
        <v>85</v>
      </c>
    </row>
    <row r="53" spans="2:13" ht="11.25">
      <c r="B53" s="92"/>
      <c r="C53" s="69" t="s">
        <v>144</v>
      </c>
      <c r="D53" s="69" t="s">
        <v>36</v>
      </c>
      <c r="E53" s="71" t="s">
        <v>145</v>
      </c>
      <c r="F53" s="71" t="s">
        <v>146</v>
      </c>
      <c r="G53" s="71" t="s">
        <v>147</v>
      </c>
      <c r="H53" s="71"/>
      <c r="I53" s="72" t="s">
        <v>148</v>
      </c>
      <c r="J53" s="71" t="s">
        <v>149</v>
      </c>
      <c r="K53" s="71" t="s">
        <v>147</v>
      </c>
      <c r="L53" s="74"/>
      <c r="M53" s="69" t="s">
        <v>146</v>
      </c>
    </row>
    <row r="54" spans="2:13" ht="11.25">
      <c r="B54" s="92"/>
      <c r="C54" s="69" t="s">
        <v>37</v>
      </c>
      <c r="D54" s="69" t="s">
        <v>150</v>
      </c>
      <c r="E54" s="71" t="s">
        <v>151</v>
      </c>
      <c r="F54" s="71"/>
      <c r="G54" s="71"/>
      <c r="H54" s="71"/>
      <c r="I54" s="72" t="s">
        <v>152</v>
      </c>
      <c r="J54" s="71"/>
      <c r="K54" s="71"/>
      <c r="L54" s="74"/>
      <c r="M54" s="69"/>
    </row>
    <row r="55" spans="2:13" ht="11.25">
      <c r="B55" s="90" t="s">
        <v>157</v>
      </c>
      <c r="C55" s="73">
        <f>C45</f>
        <v>26347.75</v>
      </c>
      <c r="D55" s="74">
        <f>'2004 Jan-Dec Summary'!G7</f>
        <v>28262.033847819413</v>
      </c>
      <c r="E55" s="74"/>
      <c r="F55" s="78">
        <f>C55-D55+E55</f>
        <v>-1914.2838478194135</v>
      </c>
      <c r="G55" s="74">
        <f>G46+F55</f>
        <v>130990.05301795401</v>
      </c>
      <c r="H55" s="74"/>
      <c r="I55" s="75">
        <v>0.0725</v>
      </c>
      <c r="J55" s="74">
        <f>G46*I55/12</f>
        <v>802.9637018973812</v>
      </c>
      <c r="K55" s="74">
        <f>K46+J55</f>
        <v>17752.715805761356</v>
      </c>
      <c r="L55" s="74"/>
      <c r="M55" s="74">
        <f>K55+G55</f>
        <v>148742.76882371536</v>
      </c>
    </row>
    <row r="56" spans="2:13" ht="11.25">
      <c r="B56" s="90" t="s">
        <v>158</v>
      </c>
      <c r="C56" s="73">
        <f>C46</f>
        <v>26347.75</v>
      </c>
      <c r="D56" s="74">
        <f>'2004 Jan-Dec Summary'!G8</f>
        <v>30337.913825317846</v>
      </c>
      <c r="E56" s="74"/>
      <c r="F56" s="78">
        <f aca="true" t="shared" si="13" ref="F56:F66">C56-D56+E56</f>
        <v>-3990.163825317846</v>
      </c>
      <c r="G56" s="74">
        <f>G55+F56</f>
        <v>126999.88919263615</v>
      </c>
      <c r="H56" s="74"/>
      <c r="I56" s="75">
        <v>0.0725</v>
      </c>
      <c r="J56" s="74">
        <f>G55*I56/12</f>
        <v>791.3982369834721</v>
      </c>
      <c r="K56" s="74">
        <f>K55+J56</f>
        <v>18544.114042744826</v>
      </c>
      <c r="L56" s="74"/>
      <c r="M56" s="74">
        <f aca="true" t="shared" si="14" ref="M56:M66">K56+G56</f>
        <v>145544.00323538098</v>
      </c>
    </row>
    <row r="57" spans="2:13" ht="11.25">
      <c r="B57" s="90" t="s">
        <v>159</v>
      </c>
      <c r="C57" s="73">
        <f>+C56</f>
        <v>26347.75</v>
      </c>
      <c r="D57" s="74">
        <f>'2004 Jan-Dec Summary'!G9</f>
        <v>28503.040605633494</v>
      </c>
      <c r="E57" s="74"/>
      <c r="F57" s="78">
        <f t="shared" si="13"/>
        <v>-2155.290605633494</v>
      </c>
      <c r="G57" s="74">
        <f aca="true" t="shared" si="15" ref="G57:G66">G56+F57</f>
        <v>124844.59858700266</v>
      </c>
      <c r="H57" s="74"/>
      <c r="I57" s="75">
        <v>0.0725</v>
      </c>
      <c r="J57" s="74">
        <f aca="true" t="shared" si="16" ref="J57:J66">G56*I57/12</f>
        <v>767.29099720551</v>
      </c>
      <c r="K57" s="74">
        <f aca="true" t="shared" si="17" ref="K57:K66">K56+J57</f>
        <v>19311.405039950336</v>
      </c>
      <c r="L57" s="74"/>
      <c r="M57" s="74">
        <f t="shared" si="14"/>
        <v>144156.003626953</v>
      </c>
    </row>
    <row r="58" spans="2:13" ht="11.25">
      <c r="B58" s="90" t="s">
        <v>160</v>
      </c>
      <c r="C58" s="73">
        <f aca="true" t="shared" si="18" ref="C58:C66">$C$24</f>
        <v>21448</v>
      </c>
      <c r="D58" s="74">
        <f>'2004 Jan-Dec Summary'!G10</f>
        <v>25957.544534780376</v>
      </c>
      <c r="E58" s="74"/>
      <c r="F58" s="78">
        <f t="shared" si="13"/>
        <v>-4509.544534780376</v>
      </c>
      <c r="G58" s="74">
        <f t="shared" si="15"/>
        <v>120335.05405222229</v>
      </c>
      <c r="H58" s="74"/>
      <c r="I58" s="75">
        <v>0.0725</v>
      </c>
      <c r="J58" s="74">
        <f t="shared" si="16"/>
        <v>754.2694497964744</v>
      </c>
      <c r="K58" s="74">
        <f t="shared" si="17"/>
        <v>20065.67448974681</v>
      </c>
      <c r="L58" s="74"/>
      <c r="M58" s="74">
        <f t="shared" si="14"/>
        <v>140400.7285419691</v>
      </c>
    </row>
    <row r="59" spans="2:13" ht="11.25">
      <c r="B59" s="90" t="s">
        <v>161</v>
      </c>
      <c r="C59" s="73">
        <f t="shared" si="18"/>
        <v>21448</v>
      </c>
      <c r="D59" s="74">
        <f>'2004 Jan-Dec Summary'!G11</f>
        <v>25070.932755181282</v>
      </c>
      <c r="E59" s="74"/>
      <c r="F59" s="78">
        <f t="shared" si="13"/>
        <v>-3622.932755181282</v>
      </c>
      <c r="G59" s="74">
        <f t="shared" si="15"/>
        <v>116712.12129704101</v>
      </c>
      <c r="H59" s="74"/>
      <c r="I59" s="75">
        <v>0.0725</v>
      </c>
      <c r="J59" s="74">
        <f t="shared" si="16"/>
        <v>727.0242848988429</v>
      </c>
      <c r="K59" s="74">
        <f t="shared" si="17"/>
        <v>20792.69877464565</v>
      </c>
      <c r="L59" s="74"/>
      <c r="M59" s="74">
        <f t="shared" si="14"/>
        <v>137504.82007168667</v>
      </c>
    </row>
    <row r="60" spans="2:13" ht="11.25">
      <c r="B60" s="90" t="s">
        <v>162</v>
      </c>
      <c r="C60" s="73">
        <f t="shared" si="18"/>
        <v>21448</v>
      </c>
      <c r="D60" s="74">
        <f>'2004 Jan-Dec Summary'!G12</f>
        <v>24817.539250678783</v>
      </c>
      <c r="E60" s="74"/>
      <c r="F60" s="78">
        <f t="shared" si="13"/>
        <v>-3369.539250678783</v>
      </c>
      <c r="G60" s="74">
        <f t="shared" si="15"/>
        <v>113342.58204636222</v>
      </c>
      <c r="H60" s="74"/>
      <c r="I60" s="75">
        <v>0.0725</v>
      </c>
      <c r="J60" s="74">
        <f t="shared" si="16"/>
        <v>705.1357328362893</v>
      </c>
      <c r="K60" s="74">
        <f t="shared" si="17"/>
        <v>21497.83450748194</v>
      </c>
      <c r="L60" s="74"/>
      <c r="M60" s="74">
        <f t="shared" si="14"/>
        <v>134840.41655384417</v>
      </c>
    </row>
    <row r="61" spans="2:13" ht="11.25">
      <c r="B61" s="90" t="s">
        <v>163</v>
      </c>
      <c r="C61" s="73">
        <f t="shared" si="18"/>
        <v>21448</v>
      </c>
      <c r="D61" s="74">
        <f>'2004 Jan-Dec Summary'!G13</f>
        <v>25271.82213658932</v>
      </c>
      <c r="E61" s="78">
        <f>'[4]PILs 1562 Calculation'!$I$15+'[4]PILs 1562 Calculation'!$I$17</f>
        <v>-22817.271621859636</v>
      </c>
      <c r="F61" s="78">
        <f t="shared" si="13"/>
        <v>-26641.093758448955</v>
      </c>
      <c r="G61" s="74">
        <f t="shared" si="15"/>
        <v>86701.48828791326</v>
      </c>
      <c r="H61" s="74"/>
      <c r="I61" s="75">
        <v>0.0725</v>
      </c>
      <c r="J61" s="74">
        <f t="shared" si="16"/>
        <v>684.7780998634383</v>
      </c>
      <c r="K61" s="74">
        <f t="shared" si="17"/>
        <v>22182.612607345378</v>
      </c>
      <c r="L61" s="74"/>
      <c r="M61" s="74">
        <f t="shared" si="14"/>
        <v>108884.10089525864</v>
      </c>
    </row>
    <row r="62" spans="2:13" ht="11.25">
      <c r="B62" s="90" t="s">
        <v>164</v>
      </c>
      <c r="C62" s="73">
        <f t="shared" si="18"/>
        <v>21448</v>
      </c>
      <c r="D62" s="74">
        <f>'2004 Jan-Dec Summary'!G14</f>
        <v>25387.89951373852</v>
      </c>
      <c r="E62" s="74"/>
      <c r="F62" s="78">
        <f t="shared" si="13"/>
        <v>-3939.899513738521</v>
      </c>
      <c r="G62" s="74">
        <f t="shared" si="15"/>
        <v>82761.58877417474</v>
      </c>
      <c r="H62" s="74"/>
      <c r="I62" s="75">
        <v>0.0725</v>
      </c>
      <c r="J62" s="74">
        <f t="shared" si="16"/>
        <v>523.821491739476</v>
      </c>
      <c r="K62" s="74">
        <f t="shared" si="17"/>
        <v>22706.434099084854</v>
      </c>
      <c r="L62" s="74"/>
      <c r="M62" s="74">
        <f t="shared" si="14"/>
        <v>105468.0228732596</v>
      </c>
    </row>
    <row r="63" spans="2:13" ht="11.25">
      <c r="B63" s="90" t="s">
        <v>165</v>
      </c>
      <c r="C63" s="73">
        <f t="shared" si="18"/>
        <v>21448</v>
      </c>
      <c r="D63" s="74">
        <f>'2004 Jan-Dec Summary'!G15</f>
        <v>23729.72077697465</v>
      </c>
      <c r="E63" s="74"/>
      <c r="F63" s="78">
        <f t="shared" si="13"/>
        <v>-2281.720776974649</v>
      </c>
      <c r="G63" s="74">
        <f t="shared" si="15"/>
        <v>80479.8679972001</v>
      </c>
      <c r="H63" s="74"/>
      <c r="I63" s="75">
        <v>0.0725</v>
      </c>
      <c r="J63" s="74">
        <f t="shared" si="16"/>
        <v>500.01793217730574</v>
      </c>
      <c r="K63" s="74">
        <f t="shared" si="17"/>
        <v>23206.45203126216</v>
      </c>
      <c r="L63" s="74"/>
      <c r="M63" s="74">
        <f t="shared" si="14"/>
        <v>103686.32002846226</v>
      </c>
    </row>
    <row r="64" spans="2:13" ht="11.25">
      <c r="B64" s="90" t="s">
        <v>153</v>
      </c>
      <c r="C64" s="73">
        <f t="shared" si="18"/>
        <v>21448</v>
      </c>
      <c r="D64" s="74">
        <f>'2004 Jan-Dec Summary'!G16</f>
        <v>23884.836059361012</v>
      </c>
      <c r="E64" s="74"/>
      <c r="F64" s="78">
        <f t="shared" si="13"/>
        <v>-2436.8360593610123</v>
      </c>
      <c r="G64" s="74">
        <f t="shared" si="15"/>
        <v>78043.03193783909</v>
      </c>
      <c r="H64" s="74"/>
      <c r="I64" s="75">
        <v>0.0725</v>
      </c>
      <c r="J64" s="74">
        <f t="shared" si="16"/>
        <v>486.23253581641717</v>
      </c>
      <c r="K64" s="74">
        <f t="shared" si="17"/>
        <v>23692.684567078577</v>
      </c>
      <c r="L64" s="74"/>
      <c r="M64" s="74">
        <f t="shared" si="14"/>
        <v>101735.71650491765</v>
      </c>
    </row>
    <row r="65" spans="2:13" ht="11.25">
      <c r="B65" s="90" t="s">
        <v>154</v>
      </c>
      <c r="C65" s="73">
        <f t="shared" si="18"/>
        <v>21448</v>
      </c>
      <c r="D65" s="74">
        <f>'2004 Jan-Dec Summary'!G17</f>
        <v>24379.861982662813</v>
      </c>
      <c r="E65" s="74"/>
      <c r="F65" s="78">
        <f t="shared" si="13"/>
        <v>-2931.861982662813</v>
      </c>
      <c r="G65" s="74">
        <f t="shared" si="15"/>
        <v>75111.16995517627</v>
      </c>
      <c r="H65" s="74"/>
      <c r="I65" s="75">
        <v>0.0725</v>
      </c>
      <c r="J65" s="74">
        <f t="shared" si="16"/>
        <v>471.5099846244445</v>
      </c>
      <c r="K65" s="74">
        <f t="shared" si="17"/>
        <v>24164.19455170302</v>
      </c>
      <c r="L65" s="74"/>
      <c r="M65" s="74">
        <f t="shared" si="14"/>
        <v>99275.3645068793</v>
      </c>
    </row>
    <row r="66" spans="2:13" ht="11.25">
      <c r="B66" s="93" t="s">
        <v>155</v>
      </c>
      <c r="C66" s="76">
        <f t="shared" si="18"/>
        <v>21448</v>
      </c>
      <c r="D66" s="77">
        <f>'2004 Jan-Dec Summary'!G18</f>
        <v>23926.821755950114</v>
      </c>
      <c r="E66" s="97"/>
      <c r="F66" s="77">
        <f t="shared" si="13"/>
        <v>-2478.8217559501136</v>
      </c>
      <c r="G66" s="77">
        <f t="shared" si="15"/>
        <v>72632.34819922617</v>
      </c>
      <c r="H66" s="78"/>
      <c r="I66" s="79">
        <v>0.0725</v>
      </c>
      <c r="J66" s="77">
        <f t="shared" si="16"/>
        <v>453.7966518125233</v>
      </c>
      <c r="K66" s="77">
        <f t="shared" si="17"/>
        <v>24617.991203515547</v>
      </c>
      <c r="L66" s="78"/>
      <c r="M66" s="77">
        <f t="shared" si="14"/>
        <v>97250.33940274171</v>
      </c>
    </row>
    <row r="67" spans="2:13" ht="11.25">
      <c r="B67" s="90" t="s">
        <v>85</v>
      </c>
      <c r="C67" s="73">
        <f>SUM(C55:C66)</f>
        <v>272075.25</v>
      </c>
      <c r="D67" s="73">
        <f>SUM(D55:D66)</f>
        <v>309529.96704468766</v>
      </c>
      <c r="E67" s="73">
        <f>SUM(E55:E66)</f>
        <v>-22817.271621859636</v>
      </c>
      <c r="F67" s="73">
        <f>SUM(F55:F66)</f>
        <v>-60271.98866654725</v>
      </c>
      <c r="G67" s="73"/>
      <c r="H67" s="73"/>
      <c r="I67" s="80"/>
      <c r="J67" s="73">
        <f>SUM(J55:J66)</f>
        <v>7668.239099651575</v>
      </c>
      <c r="K67" s="73"/>
      <c r="L67" s="73"/>
      <c r="M67" s="73"/>
    </row>
    <row r="68" spans="2:13" ht="11.25">
      <c r="B68" s="92"/>
      <c r="C68" s="73"/>
      <c r="D68" s="74"/>
      <c r="E68" s="74"/>
      <c r="F68" s="74"/>
      <c r="G68" s="74"/>
      <c r="H68" s="74"/>
      <c r="I68" s="91"/>
      <c r="J68" s="74"/>
      <c r="K68" s="74"/>
      <c r="L68" s="74"/>
      <c r="M68" s="74"/>
    </row>
    <row r="69" spans="2:13" ht="11.25">
      <c r="B69" s="92"/>
      <c r="C69" s="73"/>
      <c r="D69" s="74"/>
      <c r="E69" s="74"/>
      <c r="F69" s="74"/>
      <c r="G69" s="74"/>
      <c r="H69" s="74"/>
      <c r="I69" s="91"/>
      <c r="J69" s="74"/>
      <c r="K69" s="74"/>
      <c r="L69" s="74"/>
      <c r="M69" s="74"/>
    </row>
    <row r="70" spans="2:13" ht="11.25">
      <c r="B70" s="92"/>
      <c r="C70" s="73"/>
      <c r="D70" s="74"/>
      <c r="E70" s="74"/>
      <c r="F70" s="74"/>
      <c r="G70" s="74"/>
      <c r="H70" s="74"/>
      <c r="I70" s="91"/>
      <c r="J70" s="74"/>
      <c r="K70" s="74"/>
      <c r="L70" s="74"/>
      <c r="M70" s="74"/>
    </row>
    <row r="71" spans="2:13" ht="11.25">
      <c r="B71" s="90" t="s">
        <v>140</v>
      </c>
      <c r="C71" s="69" t="s">
        <v>168</v>
      </c>
      <c r="D71" s="74"/>
      <c r="E71" s="74"/>
      <c r="F71" s="74"/>
      <c r="G71" s="74"/>
      <c r="H71" s="74"/>
      <c r="I71" s="91"/>
      <c r="J71" s="74"/>
      <c r="K71" s="74"/>
      <c r="L71" s="74"/>
      <c r="M71" s="74"/>
    </row>
    <row r="72" spans="2:13" ht="11.25">
      <c r="B72" s="92"/>
      <c r="C72" s="98" t="s">
        <v>142</v>
      </c>
      <c r="D72" s="99"/>
      <c r="E72" s="99"/>
      <c r="F72" s="99"/>
      <c r="G72" s="99"/>
      <c r="H72" s="74"/>
      <c r="I72" s="99" t="s">
        <v>143</v>
      </c>
      <c r="J72" s="99"/>
      <c r="K72" s="99"/>
      <c r="L72" s="74"/>
      <c r="M72" s="69" t="s">
        <v>85</v>
      </c>
    </row>
    <row r="73" spans="2:13" ht="11.25">
      <c r="B73" s="92"/>
      <c r="C73" s="69" t="s">
        <v>144</v>
      </c>
      <c r="D73" s="69" t="s">
        <v>36</v>
      </c>
      <c r="E73" s="71" t="s">
        <v>145</v>
      </c>
      <c r="F73" s="71" t="s">
        <v>146</v>
      </c>
      <c r="G73" s="71" t="s">
        <v>147</v>
      </c>
      <c r="H73" s="71"/>
      <c r="I73" s="72" t="s">
        <v>148</v>
      </c>
      <c r="J73" s="71" t="s">
        <v>149</v>
      </c>
      <c r="K73" s="71" t="s">
        <v>147</v>
      </c>
      <c r="L73" s="74"/>
      <c r="M73" s="69" t="s">
        <v>146</v>
      </c>
    </row>
    <row r="74" spans="2:13" ht="11.25">
      <c r="B74" s="92"/>
      <c r="C74" s="69" t="s">
        <v>37</v>
      </c>
      <c r="D74" s="69" t="s">
        <v>150</v>
      </c>
      <c r="E74" s="71" t="s">
        <v>151</v>
      </c>
      <c r="F74" s="71"/>
      <c r="G74" s="71"/>
      <c r="H74" s="71"/>
      <c r="I74" s="72" t="s">
        <v>152</v>
      </c>
      <c r="J74" s="71"/>
      <c r="K74" s="71"/>
      <c r="L74" s="74"/>
      <c r="M74" s="69"/>
    </row>
    <row r="75" spans="2:13" ht="11.25">
      <c r="B75" s="90" t="s">
        <v>157</v>
      </c>
      <c r="C75" s="73">
        <f>$C$28/12</f>
        <v>21448</v>
      </c>
      <c r="D75" s="74">
        <f>'2005 Jan-Dec Summary'!G7</f>
        <v>26801.833156242126</v>
      </c>
      <c r="E75" s="74"/>
      <c r="F75" s="78">
        <f aca="true" t="shared" si="19" ref="F75:F86">C75-D75+E75</f>
        <v>-5353.833156242126</v>
      </c>
      <c r="G75" s="74">
        <f>G66+F75</f>
        <v>67278.51504298404</v>
      </c>
      <c r="H75" s="74"/>
      <c r="I75" s="75">
        <v>0.0725</v>
      </c>
      <c r="J75" s="74">
        <f>I75*F67/12</f>
        <v>-364.1432648603896</v>
      </c>
      <c r="K75" s="74">
        <f>K66+J75</f>
        <v>24253.847938655155</v>
      </c>
      <c r="L75" s="74"/>
      <c r="M75" s="74">
        <f>K75+G75</f>
        <v>91532.36298163919</v>
      </c>
    </row>
    <row r="76" spans="2:13" ht="11.25">
      <c r="B76" s="90" t="s">
        <v>158</v>
      </c>
      <c r="C76" s="73">
        <f>$C$28/12</f>
        <v>21448</v>
      </c>
      <c r="D76" s="74">
        <f>'2005 Jan-Dec Summary'!G8</f>
        <v>27703.775315101793</v>
      </c>
      <c r="E76" s="74"/>
      <c r="F76" s="78">
        <f t="shared" si="19"/>
        <v>-6255.775315101793</v>
      </c>
      <c r="G76" s="74">
        <f>G75+F76</f>
        <v>61022.73972788225</v>
      </c>
      <c r="H76" s="74"/>
      <c r="I76" s="75">
        <v>0.0725</v>
      </c>
      <c r="J76" s="74">
        <f>G75*I76/12</f>
        <v>406.4743617180286</v>
      </c>
      <c r="K76" s="74">
        <f>K75+J76</f>
        <v>24660.322300373184</v>
      </c>
      <c r="L76" s="74"/>
      <c r="M76" s="74">
        <f aca="true" t="shared" si="20" ref="M76:M86">K76+G76</f>
        <v>85683.06202825543</v>
      </c>
    </row>
    <row r="77" spans="1:13" ht="11.25">
      <c r="A77" s="70"/>
      <c r="B77" s="90" t="s">
        <v>159</v>
      </c>
      <c r="C77" s="73">
        <f>$C$28/12</f>
        <v>21448</v>
      </c>
      <c r="D77" s="74">
        <f>'2005 Jan-Dec Summary'!G9</f>
        <v>27629.21810279053</v>
      </c>
      <c r="E77" s="74"/>
      <c r="F77" s="78">
        <f t="shared" si="19"/>
        <v>-6181.218102790532</v>
      </c>
      <c r="G77" s="74">
        <f aca="true" t="shared" si="21" ref="G77:G86">G76+F77</f>
        <v>54841.521625091715</v>
      </c>
      <c r="H77" s="74"/>
      <c r="I77" s="75">
        <v>0.0725</v>
      </c>
      <c r="J77" s="74">
        <f aca="true" t="shared" si="22" ref="J77:J86">G76*I77/12</f>
        <v>368.67905252262193</v>
      </c>
      <c r="K77" s="74">
        <f aca="true" t="shared" si="23" ref="K77:K86">K76+J77</f>
        <v>25029.001352895804</v>
      </c>
      <c r="L77" s="74"/>
      <c r="M77" s="74">
        <f t="shared" si="20"/>
        <v>79870.52297798752</v>
      </c>
    </row>
    <row r="78" spans="1:13" ht="11.25">
      <c r="A78" s="81"/>
      <c r="B78" s="94" t="s">
        <v>160</v>
      </c>
      <c r="C78" s="82">
        <f>243906/12</f>
        <v>20325.5</v>
      </c>
      <c r="D78" s="74">
        <f>'2005 Jan-Dec Summary'!G10</f>
        <v>26397.535540458666</v>
      </c>
      <c r="E78" s="74"/>
      <c r="F78" s="78">
        <f t="shared" si="19"/>
        <v>-6072.035540458666</v>
      </c>
      <c r="G78" s="74">
        <f t="shared" si="21"/>
        <v>48769.48608463305</v>
      </c>
      <c r="H78" s="74"/>
      <c r="I78" s="75">
        <v>0.0725</v>
      </c>
      <c r="J78" s="74">
        <f t="shared" si="22"/>
        <v>331.33419315159574</v>
      </c>
      <c r="K78" s="74">
        <f t="shared" si="23"/>
        <v>25360.3355460474</v>
      </c>
      <c r="L78" s="74"/>
      <c r="M78" s="74">
        <f t="shared" si="20"/>
        <v>74129.82163068045</v>
      </c>
    </row>
    <row r="79" spans="1:13" ht="11.25">
      <c r="A79" s="81"/>
      <c r="B79" s="94" t="s">
        <v>161</v>
      </c>
      <c r="C79" s="82">
        <f aca="true" t="shared" si="24" ref="C79:C86">243906/12</f>
        <v>20325.5</v>
      </c>
      <c r="D79" s="74">
        <f>'2005 Jan-Dec Summary'!G11</f>
        <v>20132.07054024993</v>
      </c>
      <c r="E79" s="74"/>
      <c r="F79" s="78">
        <f t="shared" si="19"/>
        <v>193.42945975007024</v>
      </c>
      <c r="G79" s="74">
        <f t="shared" si="21"/>
        <v>48962.91554438312</v>
      </c>
      <c r="H79" s="74"/>
      <c r="I79" s="75">
        <v>0.0725</v>
      </c>
      <c r="J79" s="74">
        <f t="shared" si="22"/>
        <v>294.6489784279913</v>
      </c>
      <c r="K79" s="74">
        <f t="shared" si="23"/>
        <v>25654.984524475392</v>
      </c>
      <c r="L79" s="74"/>
      <c r="M79" s="74">
        <f t="shared" si="20"/>
        <v>74617.90006885851</v>
      </c>
    </row>
    <row r="80" spans="1:13" ht="11.25">
      <c r="A80" s="81"/>
      <c r="B80" s="94" t="s">
        <v>162</v>
      </c>
      <c r="C80" s="82">
        <f t="shared" si="24"/>
        <v>20325.5</v>
      </c>
      <c r="D80" s="74">
        <f>'2005 Jan-Dec Summary'!G12</f>
        <v>18862.239792166027</v>
      </c>
      <c r="E80" s="74"/>
      <c r="F80" s="78">
        <f t="shared" si="19"/>
        <v>1463.2602078339733</v>
      </c>
      <c r="G80" s="74">
        <f t="shared" si="21"/>
        <v>50426.175752217096</v>
      </c>
      <c r="H80" s="74"/>
      <c r="I80" s="75">
        <v>0.0725</v>
      </c>
      <c r="J80" s="74">
        <f t="shared" si="22"/>
        <v>295.8176147473146</v>
      </c>
      <c r="K80" s="74">
        <f t="shared" si="23"/>
        <v>25950.802139222706</v>
      </c>
      <c r="L80" s="74"/>
      <c r="M80" s="74">
        <f t="shared" si="20"/>
        <v>76376.9778914398</v>
      </c>
    </row>
    <row r="81" spans="1:13" ht="11.25">
      <c r="A81" s="81"/>
      <c r="B81" s="94" t="s">
        <v>163</v>
      </c>
      <c r="C81" s="82">
        <f t="shared" si="24"/>
        <v>20325.5</v>
      </c>
      <c r="D81" s="74">
        <f>'2005 Jan-Dec Summary'!G13</f>
        <v>19426.273079018774</v>
      </c>
      <c r="E81" s="78">
        <f>'[5]PILs 1562 Calculation'!$K$15+'[5]PILs 1562 Calculation'!$K$17</f>
        <v>13806.804066339142</v>
      </c>
      <c r="F81" s="78">
        <f t="shared" si="19"/>
        <v>14706.030987320368</v>
      </c>
      <c r="G81" s="74">
        <f t="shared" si="21"/>
        <v>65132.20673953746</v>
      </c>
      <c r="H81" s="74"/>
      <c r="I81" s="75">
        <v>0.0725</v>
      </c>
      <c r="J81" s="74">
        <f t="shared" si="22"/>
        <v>304.6581451696449</v>
      </c>
      <c r="K81" s="74">
        <f t="shared" si="23"/>
        <v>26255.46028439235</v>
      </c>
      <c r="L81" s="74"/>
      <c r="M81" s="74">
        <f t="shared" si="20"/>
        <v>91387.66702392981</v>
      </c>
    </row>
    <row r="82" spans="1:13" ht="11.25">
      <c r="A82" s="81"/>
      <c r="B82" s="94" t="s">
        <v>164</v>
      </c>
      <c r="C82" s="82">
        <f t="shared" si="24"/>
        <v>20325.5</v>
      </c>
      <c r="D82" s="74">
        <f>'2005 Jan-Dec Summary'!G14</f>
        <v>22792.969197282357</v>
      </c>
      <c r="E82" s="74"/>
      <c r="F82" s="78">
        <f t="shared" si="19"/>
        <v>-2467.4691972823566</v>
      </c>
      <c r="G82" s="74">
        <f t="shared" si="21"/>
        <v>62664.737542255105</v>
      </c>
      <c r="H82" s="74"/>
      <c r="I82" s="75">
        <v>0.0725</v>
      </c>
      <c r="J82" s="74">
        <f t="shared" si="22"/>
        <v>393.5070823847055</v>
      </c>
      <c r="K82" s="74">
        <f t="shared" si="23"/>
        <v>26648.967366777055</v>
      </c>
      <c r="L82" s="74"/>
      <c r="M82" s="74">
        <f t="shared" si="20"/>
        <v>89313.70490903215</v>
      </c>
    </row>
    <row r="83" spans="1:13" ht="11.25">
      <c r="A83" s="81"/>
      <c r="B83" s="94" t="s">
        <v>165</v>
      </c>
      <c r="C83" s="82">
        <f t="shared" si="24"/>
        <v>20325.5</v>
      </c>
      <c r="D83" s="74">
        <f>'2005 Jan-Dec Summary'!G15</f>
        <v>21184.469532119667</v>
      </c>
      <c r="E83" s="74"/>
      <c r="F83" s="78">
        <f t="shared" si="19"/>
        <v>-858.9695321196668</v>
      </c>
      <c r="G83" s="74">
        <f t="shared" si="21"/>
        <v>61805.768010135434</v>
      </c>
      <c r="H83" s="74"/>
      <c r="I83" s="75">
        <v>0.0725</v>
      </c>
      <c r="J83" s="74">
        <f t="shared" si="22"/>
        <v>378.59945598445785</v>
      </c>
      <c r="K83" s="74">
        <f t="shared" si="23"/>
        <v>27027.566822761513</v>
      </c>
      <c r="L83" s="74"/>
      <c r="M83" s="74">
        <f t="shared" si="20"/>
        <v>88833.33483289694</v>
      </c>
    </row>
    <row r="84" spans="1:13" ht="11.25">
      <c r="A84" s="81"/>
      <c r="B84" s="94" t="s">
        <v>153</v>
      </c>
      <c r="C84" s="82">
        <f t="shared" si="24"/>
        <v>20325.5</v>
      </c>
      <c r="D84" s="74">
        <f>'2005 Jan-Dec Summary'!G16</f>
        <v>19135.355100567263</v>
      </c>
      <c r="E84" s="74"/>
      <c r="F84" s="78">
        <f t="shared" si="19"/>
        <v>1190.1448994327366</v>
      </c>
      <c r="G84" s="74">
        <f t="shared" si="21"/>
        <v>62995.91290956817</v>
      </c>
      <c r="H84" s="74"/>
      <c r="I84" s="75">
        <v>0.0725</v>
      </c>
      <c r="J84" s="74">
        <f t="shared" si="22"/>
        <v>373.4098483945682</v>
      </c>
      <c r="K84" s="74">
        <f t="shared" si="23"/>
        <v>27400.97667115608</v>
      </c>
      <c r="L84" s="74"/>
      <c r="M84" s="74">
        <f t="shared" si="20"/>
        <v>90396.88958072425</v>
      </c>
    </row>
    <row r="85" spans="1:13" ht="11.25">
      <c r="A85" s="81"/>
      <c r="B85" s="94" t="s">
        <v>154</v>
      </c>
      <c r="C85" s="82">
        <f t="shared" si="24"/>
        <v>20325.5</v>
      </c>
      <c r="D85" s="74">
        <f>'2005 Jan-Dec Summary'!G17</f>
        <v>19736.40900636931</v>
      </c>
      <c r="E85" s="74"/>
      <c r="F85" s="78">
        <f t="shared" si="19"/>
        <v>589.0909936306889</v>
      </c>
      <c r="G85" s="74">
        <f t="shared" si="21"/>
        <v>63585.003903198856</v>
      </c>
      <c r="H85" s="74"/>
      <c r="I85" s="75">
        <v>0.0725</v>
      </c>
      <c r="J85" s="74">
        <f t="shared" si="22"/>
        <v>380.60030716197434</v>
      </c>
      <c r="K85" s="74">
        <f t="shared" si="23"/>
        <v>27781.576978318055</v>
      </c>
      <c r="L85" s="74"/>
      <c r="M85" s="74">
        <f t="shared" si="20"/>
        <v>91366.58088151691</v>
      </c>
    </row>
    <row r="86" spans="1:13" ht="11.25">
      <c r="A86" s="81"/>
      <c r="B86" s="95" t="s">
        <v>155</v>
      </c>
      <c r="C86" s="83">
        <f t="shared" si="24"/>
        <v>20325.5</v>
      </c>
      <c r="D86" s="77">
        <f>'2005 Jan-Dec Summary'!G18</f>
        <v>18691.632752022204</v>
      </c>
      <c r="E86" s="96"/>
      <c r="F86" s="77">
        <f t="shared" si="19"/>
        <v>1633.867247977796</v>
      </c>
      <c r="G86" s="77">
        <f t="shared" si="21"/>
        <v>65218.87115117665</v>
      </c>
      <c r="H86" s="78"/>
      <c r="I86" s="79">
        <v>0.0725</v>
      </c>
      <c r="J86" s="77">
        <f t="shared" si="22"/>
        <v>384.15939858182645</v>
      </c>
      <c r="K86" s="77">
        <f t="shared" si="23"/>
        <v>28165.73637689988</v>
      </c>
      <c r="L86" s="78"/>
      <c r="M86" s="77">
        <f t="shared" si="20"/>
        <v>93384.60752807654</v>
      </c>
    </row>
    <row r="87" spans="1:13" ht="11.25">
      <c r="A87" s="70"/>
      <c r="B87" s="90" t="s">
        <v>85</v>
      </c>
      <c r="C87" s="73">
        <f>SUM(C75:C86)</f>
        <v>247273.5</v>
      </c>
      <c r="D87" s="73">
        <f>SUM(D75:D86)</f>
        <v>268493.7811143886</v>
      </c>
      <c r="E87" s="73">
        <f>SUM(E75:E86)</f>
        <v>13806.804066339142</v>
      </c>
      <c r="F87" s="73">
        <f>SUM(F75:F86)</f>
        <v>-7413.477048049508</v>
      </c>
      <c r="G87" s="73"/>
      <c r="H87" s="73"/>
      <c r="I87" s="80"/>
      <c r="J87" s="73">
        <f>SUM(J75:J86)</f>
        <v>3547.7451733843395</v>
      </c>
      <c r="K87" s="73"/>
      <c r="L87" s="73"/>
      <c r="M87" s="73"/>
    </row>
    <row r="88" spans="1:13" ht="11.25">
      <c r="A88" s="70"/>
      <c r="B88" s="92"/>
      <c r="C88" s="73"/>
      <c r="D88" s="74"/>
      <c r="E88" s="74"/>
      <c r="F88" s="74"/>
      <c r="G88" s="74"/>
      <c r="H88" s="74"/>
      <c r="I88" s="91"/>
      <c r="J88" s="74"/>
      <c r="K88" s="74"/>
      <c r="L88" s="74"/>
      <c r="M88" s="74"/>
    </row>
    <row r="89" spans="1:13" ht="11.25">
      <c r="A89" s="70"/>
      <c r="B89" s="92"/>
      <c r="C89" s="73"/>
      <c r="D89" s="74"/>
      <c r="E89" s="74"/>
      <c r="F89" s="74"/>
      <c r="G89" s="74"/>
      <c r="H89" s="74"/>
      <c r="I89" s="91"/>
      <c r="J89" s="74"/>
      <c r="K89" s="74"/>
      <c r="L89" s="74"/>
      <c r="M89" s="74"/>
    </row>
    <row r="90" spans="1:13" ht="11.25">
      <c r="A90" s="70"/>
      <c r="B90" s="92"/>
      <c r="C90" s="73"/>
      <c r="D90" s="74"/>
      <c r="E90" s="74"/>
      <c r="F90" s="74"/>
      <c r="G90" s="74"/>
      <c r="H90" s="74"/>
      <c r="I90" s="91"/>
      <c r="J90" s="74"/>
      <c r="K90" s="74"/>
      <c r="L90" s="74"/>
      <c r="M90" s="74"/>
    </row>
    <row r="91" spans="1:13" ht="11.25">
      <c r="A91" s="70"/>
      <c r="B91" s="90" t="s">
        <v>140</v>
      </c>
      <c r="C91" s="69" t="s">
        <v>169</v>
      </c>
      <c r="D91" s="74"/>
      <c r="E91" s="74"/>
      <c r="F91" s="74"/>
      <c r="G91" s="74"/>
      <c r="H91" s="74"/>
      <c r="I91" s="91"/>
      <c r="J91" s="74"/>
      <c r="K91" s="74"/>
      <c r="L91" s="74"/>
      <c r="M91" s="74"/>
    </row>
    <row r="92" spans="1:13" ht="11.25">
      <c r="A92" s="70"/>
      <c r="B92" s="92"/>
      <c r="C92" s="98" t="s">
        <v>142</v>
      </c>
      <c r="D92" s="99"/>
      <c r="E92" s="99"/>
      <c r="F92" s="99"/>
      <c r="G92" s="99"/>
      <c r="H92" s="74"/>
      <c r="I92" s="99" t="s">
        <v>143</v>
      </c>
      <c r="J92" s="99"/>
      <c r="K92" s="99"/>
      <c r="L92" s="74"/>
      <c r="M92" s="69" t="s">
        <v>85</v>
      </c>
    </row>
    <row r="93" spans="2:13" ht="11.25">
      <c r="B93" s="92"/>
      <c r="C93" s="69" t="s">
        <v>144</v>
      </c>
      <c r="D93" s="69" t="s">
        <v>36</v>
      </c>
      <c r="E93" s="71" t="s">
        <v>145</v>
      </c>
      <c r="F93" s="71" t="s">
        <v>146</v>
      </c>
      <c r="G93" s="71" t="s">
        <v>147</v>
      </c>
      <c r="H93" s="71"/>
      <c r="I93" s="72" t="s">
        <v>148</v>
      </c>
      <c r="J93" s="71" t="s">
        <v>149</v>
      </c>
      <c r="K93" s="71" t="s">
        <v>147</v>
      </c>
      <c r="L93" s="74"/>
      <c r="M93" s="69" t="s">
        <v>146</v>
      </c>
    </row>
    <row r="94" spans="2:13" ht="11.25">
      <c r="B94" s="92"/>
      <c r="C94" s="69" t="s">
        <v>37</v>
      </c>
      <c r="D94" s="69" t="s">
        <v>150</v>
      </c>
      <c r="E94" s="71" t="s">
        <v>151</v>
      </c>
      <c r="F94" s="71"/>
      <c r="G94" s="71"/>
      <c r="H94" s="71"/>
      <c r="I94" s="72" t="s">
        <v>152</v>
      </c>
      <c r="J94" s="71"/>
      <c r="K94" s="71"/>
      <c r="L94" s="74"/>
      <c r="M94" s="69"/>
    </row>
    <row r="95" spans="2:13" ht="11.25">
      <c r="B95" s="90" t="s">
        <v>157</v>
      </c>
      <c r="C95" s="73">
        <f>243906/12</f>
        <v>20325.5</v>
      </c>
      <c r="D95" s="74">
        <f>'2006 Jan-Dec Summary'!G7</f>
        <v>22414.960957833024</v>
      </c>
      <c r="E95" s="74"/>
      <c r="F95" s="78">
        <f aca="true" t="shared" si="25" ref="F95:F106">C95-D95+E95</f>
        <v>-2089.4609578330237</v>
      </c>
      <c r="G95" s="74">
        <f>G86+F95</f>
        <v>63129.41019334363</v>
      </c>
      <c r="H95" s="74"/>
      <c r="I95" s="75">
        <v>0.0725</v>
      </c>
      <c r="J95" s="74">
        <f>G86*I95/12</f>
        <v>394.03067987169226</v>
      </c>
      <c r="K95" s="74">
        <f>K86+J95</f>
        <v>28559.767056771572</v>
      </c>
      <c r="L95" s="74"/>
      <c r="M95" s="74">
        <f>K95+G95</f>
        <v>91689.1772501152</v>
      </c>
    </row>
    <row r="96" spans="2:13" ht="11.25">
      <c r="B96" s="90" t="s">
        <v>158</v>
      </c>
      <c r="C96" s="73">
        <f>243906/12</f>
        <v>20325.5</v>
      </c>
      <c r="D96" s="74">
        <f>'2006 Jan-Dec Summary'!G8</f>
        <v>24396.190715685876</v>
      </c>
      <c r="E96" s="74"/>
      <c r="F96" s="78">
        <f t="shared" si="25"/>
        <v>-4070.690715685876</v>
      </c>
      <c r="G96" s="74">
        <f>G95+F96</f>
        <v>59058.71947765775</v>
      </c>
      <c r="H96" s="74"/>
      <c r="I96" s="75">
        <v>0.0725</v>
      </c>
      <c r="J96" s="74">
        <f>G95*I96/12</f>
        <v>381.4068532514511</v>
      </c>
      <c r="K96" s="74">
        <f>K95+J96</f>
        <v>28941.173910023022</v>
      </c>
      <c r="L96" s="74"/>
      <c r="M96" s="74">
        <f aca="true" t="shared" si="26" ref="M96:M106">K96+G96</f>
        <v>87999.89338768077</v>
      </c>
    </row>
    <row r="97" spans="2:13" ht="11.25">
      <c r="B97" s="90" t="s">
        <v>159</v>
      </c>
      <c r="C97" s="73">
        <f>243906/12</f>
        <v>20325.5</v>
      </c>
      <c r="D97" s="74">
        <f>'2006 Jan-Dec Summary'!G9</f>
        <v>23124.746668045114</v>
      </c>
      <c r="E97" s="74"/>
      <c r="F97" s="78">
        <f t="shared" si="25"/>
        <v>-2799.2466680451143</v>
      </c>
      <c r="G97" s="74">
        <f aca="true" t="shared" si="27" ref="G97:G106">G96+F97</f>
        <v>56259.472809612635</v>
      </c>
      <c r="H97" s="74"/>
      <c r="I97" s="75">
        <v>0.0725</v>
      </c>
      <c r="J97" s="74">
        <f aca="true" t="shared" si="28" ref="J97:J106">G96*I97/12</f>
        <v>356.8130968441822</v>
      </c>
      <c r="K97" s="74">
        <f aca="true" t="shared" si="29" ref="K97:K106">K96+J97</f>
        <v>29297.987006867206</v>
      </c>
      <c r="L97" s="74"/>
      <c r="M97" s="74">
        <f t="shared" si="26"/>
        <v>85557.45981647984</v>
      </c>
    </row>
    <row r="98" spans="2:13" ht="11.25">
      <c r="B98" s="90" t="s">
        <v>160</v>
      </c>
      <c r="C98" s="73">
        <f>243906/12</f>
        <v>20325.5</v>
      </c>
      <c r="D98" s="74">
        <f>'2006 Jan-Dec Summary'!G10</f>
        <v>20646.019531172988</v>
      </c>
      <c r="E98" s="74"/>
      <c r="F98" s="78">
        <f t="shared" si="25"/>
        <v>-320.5195311729876</v>
      </c>
      <c r="G98" s="74">
        <f t="shared" si="27"/>
        <v>55938.95327843964</v>
      </c>
      <c r="H98" s="74"/>
      <c r="I98" s="75">
        <v>0.0725</v>
      </c>
      <c r="J98" s="74">
        <f t="shared" si="28"/>
        <v>339.9009815580763</v>
      </c>
      <c r="K98" s="74">
        <f t="shared" si="29"/>
        <v>29637.887988425282</v>
      </c>
      <c r="L98" s="74"/>
      <c r="M98" s="74">
        <f t="shared" si="26"/>
        <v>85576.84126686493</v>
      </c>
    </row>
    <row r="99" spans="2:13" ht="11.25">
      <c r="B99" s="90" t="s">
        <v>161</v>
      </c>
      <c r="C99" s="73">
        <v>0</v>
      </c>
      <c r="D99" s="74">
        <f>'2006 Jan-Dec Summary'!G11</f>
        <v>21576.73615202975</v>
      </c>
      <c r="E99" s="74"/>
      <c r="F99" s="78">
        <f t="shared" si="25"/>
        <v>-21576.73615202975</v>
      </c>
      <c r="G99" s="74">
        <f t="shared" si="27"/>
        <v>34362.217126409894</v>
      </c>
      <c r="H99" s="74"/>
      <c r="I99" s="75">
        <v>0.0414</v>
      </c>
      <c r="J99" s="74">
        <f t="shared" si="28"/>
        <v>192.98938881061676</v>
      </c>
      <c r="K99" s="74">
        <f t="shared" si="29"/>
        <v>29830.877377235898</v>
      </c>
      <c r="L99" s="74"/>
      <c r="M99" s="74">
        <f t="shared" si="26"/>
        <v>64193.09450364579</v>
      </c>
    </row>
    <row r="100" spans="2:13" ht="11.25">
      <c r="B100" s="90" t="s">
        <v>162</v>
      </c>
      <c r="C100" s="73">
        <v>0</v>
      </c>
      <c r="D100" s="74">
        <f>'2006 Jan-Dec Summary'!G12</f>
        <v>3261.5232337400316</v>
      </c>
      <c r="E100" s="74"/>
      <c r="F100" s="78">
        <f t="shared" si="25"/>
        <v>-3261.5232337400316</v>
      </c>
      <c r="G100" s="74">
        <f t="shared" si="27"/>
        <v>31100.693892669864</v>
      </c>
      <c r="H100" s="74"/>
      <c r="I100" s="75">
        <v>0.0414</v>
      </c>
      <c r="J100" s="74">
        <f t="shared" si="28"/>
        <v>118.54964908611413</v>
      </c>
      <c r="K100" s="74">
        <f t="shared" si="29"/>
        <v>29949.427026322013</v>
      </c>
      <c r="L100" s="74"/>
      <c r="M100" s="74">
        <f t="shared" si="26"/>
        <v>61050.12091899187</v>
      </c>
    </row>
    <row r="101" spans="2:13" ht="11.25">
      <c r="B101" s="90" t="s">
        <v>163</v>
      </c>
      <c r="C101" s="73">
        <v>0</v>
      </c>
      <c r="D101" s="74">
        <f>'2006 Jan-Dec Summary'!G13</f>
        <v>-269.8968008341526</v>
      </c>
      <c r="E101" s="74">
        <f>'[1]PILs 1562 Calculation'!$M$15+'[1]PILs 1562 Calculation'!$M$17</f>
        <v>94115.43724038462</v>
      </c>
      <c r="F101" s="78">
        <f t="shared" si="25"/>
        <v>94385.33404121877</v>
      </c>
      <c r="G101" s="74">
        <f t="shared" si="27"/>
        <v>125486.02793388863</v>
      </c>
      <c r="H101" s="74"/>
      <c r="I101" s="75">
        <v>0.0459</v>
      </c>
      <c r="J101" s="74">
        <f t="shared" si="28"/>
        <v>118.96015413946225</v>
      </c>
      <c r="K101" s="74">
        <f t="shared" si="29"/>
        <v>30068.387180461476</v>
      </c>
      <c r="L101" s="74"/>
      <c r="M101" s="74">
        <f t="shared" si="26"/>
        <v>155554.4151143501</v>
      </c>
    </row>
    <row r="102" spans="2:13" ht="11.25">
      <c r="B102" s="90" t="s">
        <v>164</v>
      </c>
      <c r="C102" s="73">
        <v>0</v>
      </c>
      <c r="D102" s="74">
        <f>'2006 Jan-Dec Summary'!G14</f>
        <v>307.68668329083545</v>
      </c>
      <c r="E102" s="74"/>
      <c r="F102" s="78">
        <f t="shared" si="25"/>
        <v>-307.68668329083545</v>
      </c>
      <c r="G102" s="74">
        <f t="shared" si="27"/>
        <v>125178.34125059779</v>
      </c>
      <c r="H102" s="74"/>
      <c r="I102" s="75">
        <v>0.0459</v>
      </c>
      <c r="J102" s="74">
        <f t="shared" si="28"/>
        <v>479.98405684712407</v>
      </c>
      <c r="K102" s="74">
        <f t="shared" si="29"/>
        <v>30548.3712373086</v>
      </c>
      <c r="L102" s="74"/>
      <c r="M102" s="74">
        <f t="shared" si="26"/>
        <v>155726.7124879064</v>
      </c>
    </row>
    <row r="103" spans="2:13" ht="11.25">
      <c r="B103" s="90" t="s">
        <v>165</v>
      </c>
      <c r="C103" s="73">
        <v>0</v>
      </c>
      <c r="D103" s="74">
        <f>'2006 Jan-Dec Summary'!G15</f>
        <v>0</v>
      </c>
      <c r="E103" s="74"/>
      <c r="F103" s="78">
        <f t="shared" si="25"/>
        <v>0</v>
      </c>
      <c r="G103" s="74">
        <f t="shared" si="27"/>
        <v>125178.34125059779</v>
      </c>
      <c r="H103" s="74"/>
      <c r="I103" s="75">
        <v>0.0459</v>
      </c>
      <c r="J103" s="74">
        <f t="shared" si="28"/>
        <v>478.8071552835366</v>
      </c>
      <c r="K103" s="74">
        <f t="shared" si="29"/>
        <v>31027.178392592134</v>
      </c>
      <c r="L103" s="74"/>
      <c r="M103" s="74">
        <f t="shared" si="26"/>
        <v>156205.5196431899</v>
      </c>
    </row>
    <row r="104" spans="2:13" ht="11.25">
      <c r="B104" s="90" t="s">
        <v>153</v>
      </c>
      <c r="C104" s="73">
        <v>0</v>
      </c>
      <c r="D104" s="74">
        <f>'2006 Jan-Dec Summary'!G16</f>
        <v>0</v>
      </c>
      <c r="E104" s="74"/>
      <c r="F104" s="78">
        <f t="shared" si="25"/>
        <v>0</v>
      </c>
      <c r="G104" s="74">
        <f t="shared" si="27"/>
        <v>125178.34125059779</v>
      </c>
      <c r="H104" s="74"/>
      <c r="I104" s="75">
        <v>0.0459</v>
      </c>
      <c r="J104" s="74">
        <f t="shared" si="28"/>
        <v>478.8071552835366</v>
      </c>
      <c r="K104" s="74">
        <f t="shared" si="29"/>
        <v>31505.98554787567</v>
      </c>
      <c r="L104" s="74"/>
      <c r="M104" s="74">
        <f t="shared" si="26"/>
        <v>156684.32679847346</v>
      </c>
    </row>
    <row r="105" spans="2:13" ht="11.25">
      <c r="B105" s="90" t="s">
        <v>154</v>
      </c>
      <c r="C105" s="73">
        <v>0</v>
      </c>
      <c r="D105" s="74">
        <f>'2006 Jan-Dec Summary'!G17</f>
        <v>0</v>
      </c>
      <c r="E105" s="74"/>
      <c r="F105" s="78">
        <f t="shared" si="25"/>
        <v>0</v>
      </c>
      <c r="G105" s="74">
        <f t="shared" si="27"/>
        <v>125178.34125059779</v>
      </c>
      <c r="H105" s="74"/>
      <c r="I105" s="75">
        <v>0.0459</v>
      </c>
      <c r="J105" s="74">
        <f t="shared" si="28"/>
        <v>478.8071552835366</v>
      </c>
      <c r="K105" s="74">
        <f t="shared" si="29"/>
        <v>31984.792703159204</v>
      </c>
      <c r="L105" s="74"/>
      <c r="M105" s="74">
        <f t="shared" si="26"/>
        <v>157163.133953757</v>
      </c>
    </row>
    <row r="106" spans="2:13" ht="11.25">
      <c r="B106" s="93" t="s">
        <v>155</v>
      </c>
      <c r="C106" s="76">
        <v>0</v>
      </c>
      <c r="D106" s="77">
        <f>'2006 Jan-Dec Summary'!G18</f>
        <v>0</v>
      </c>
      <c r="E106" s="77"/>
      <c r="F106" s="77">
        <f t="shared" si="25"/>
        <v>0</v>
      </c>
      <c r="G106" s="77">
        <f t="shared" si="27"/>
        <v>125178.34125059779</v>
      </c>
      <c r="H106" s="78"/>
      <c r="I106" s="79">
        <v>0.0459</v>
      </c>
      <c r="J106" s="77">
        <f t="shared" si="28"/>
        <v>478.8071552835366</v>
      </c>
      <c r="K106" s="77">
        <f t="shared" si="29"/>
        <v>32463.59985844274</v>
      </c>
      <c r="L106" s="78"/>
      <c r="M106" s="77">
        <f t="shared" si="26"/>
        <v>157641.94110904052</v>
      </c>
    </row>
    <row r="107" spans="2:13" ht="11.25">
      <c r="B107" s="90" t="s">
        <v>85</v>
      </c>
      <c r="C107" s="73">
        <f>SUM(C95:C106)</f>
        <v>81302</v>
      </c>
      <c r="D107" s="73">
        <f>SUM(D95:D106)</f>
        <v>115457.96714096349</v>
      </c>
      <c r="E107" s="73">
        <f>SUM(E95:E106)</f>
        <v>94115.43724038462</v>
      </c>
      <c r="F107" s="73">
        <f>SUM(F95:F106)</f>
        <v>59959.47009942115</v>
      </c>
      <c r="G107" s="73"/>
      <c r="H107" s="73"/>
      <c r="I107" s="80"/>
      <c r="J107" s="73">
        <f>SUM(J95:J106)</f>
        <v>4297.863481542866</v>
      </c>
      <c r="K107" s="73"/>
      <c r="L107" s="73"/>
      <c r="M107" s="73"/>
    </row>
    <row r="108" spans="2:13" ht="11.25">
      <c r="B108" s="92"/>
      <c r="C108" s="73"/>
      <c r="D108" s="74"/>
      <c r="E108" s="74"/>
      <c r="F108" s="74"/>
      <c r="G108" s="74"/>
      <c r="H108" s="74"/>
      <c r="I108" s="91"/>
      <c r="J108" s="74"/>
      <c r="K108" s="74"/>
      <c r="L108" s="74"/>
      <c r="M108" s="74"/>
    </row>
    <row r="109" spans="2:13" ht="11.25">
      <c r="B109" s="92"/>
      <c r="C109" s="73"/>
      <c r="D109" s="74"/>
      <c r="E109" s="74"/>
      <c r="F109" s="74"/>
      <c r="G109" s="74"/>
      <c r="H109" s="74"/>
      <c r="I109" s="91"/>
      <c r="J109" s="74"/>
      <c r="K109" s="74"/>
      <c r="L109" s="74"/>
      <c r="M109" s="74"/>
    </row>
    <row r="110" spans="2:13" ht="11.25">
      <c r="B110" s="90" t="s">
        <v>140</v>
      </c>
      <c r="C110" s="69" t="s">
        <v>170</v>
      </c>
      <c r="D110" s="74"/>
      <c r="E110" s="74"/>
      <c r="F110" s="74"/>
      <c r="G110" s="74"/>
      <c r="H110" s="74"/>
      <c r="I110" s="91"/>
      <c r="J110" s="74"/>
      <c r="K110" s="74"/>
      <c r="L110" s="74"/>
      <c r="M110" s="74"/>
    </row>
    <row r="111" spans="2:13" ht="11.25">
      <c r="B111" s="92"/>
      <c r="C111" s="98" t="s">
        <v>142</v>
      </c>
      <c r="D111" s="99"/>
      <c r="E111" s="99"/>
      <c r="F111" s="99"/>
      <c r="G111" s="99"/>
      <c r="H111" s="74"/>
      <c r="I111" s="99" t="s">
        <v>143</v>
      </c>
      <c r="J111" s="99"/>
      <c r="K111" s="99"/>
      <c r="L111" s="74"/>
      <c r="M111" s="69" t="s">
        <v>85</v>
      </c>
    </row>
    <row r="112" spans="2:13" ht="11.25">
      <c r="B112" s="92"/>
      <c r="C112" s="69" t="s">
        <v>144</v>
      </c>
      <c r="D112" s="69" t="s">
        <v>36</v>
      </c>
      <c r="E112" s="71" t="s">
        <v>145</v>
      </c>
      <c r="F112" s="71" t="s">
        <v>146</v>
      </c>
      <c r="G112" s="71" t="s">
        <v>147</v>
      </c>
      <c r="H112" s="71"/>
      <c r="I112" s="72" t="s">
        <v>148</v>
      </c>
      <c r="J112" s="71" t="s">
        <v>149</v>
      </c>
      <c r="K112" s="71" t="s">
        <v>147</v>
      </c>
      <c r="L112" s="74"/>
      <c r="M112" s="69" t="s">
        <v>146</v>
      </c>
    </row>
    <row r="113" spans="2:13" ht="11.25">
      <c r="B113" s="92"/>
      <c r="C113" s="69" t="s">
        <v>37</v>
      </c>
      <c r="D113" s="69" t="s">
        <v>150</v>
      </c>
      <c r="E113" s="71" t="s">
        <v>151</v>
      </c>
      <c r="F113" s="71"/>
      <c r="G113" s="71"/>
      <c r="H113" s="71"/>
      <c r="I113" s="72" t="s">
        <v>152</v>
      </c>
      <c r="J113" s="71"/>
      <c r="K113" s="71"/>
      <c r="L113" s="74"/>
      <c r="M113" s="69"/>
    </row>
    <row r="114" spans="2:13" ht="11.25">
      <c r="B114" s="90" t="s">
        <v>157</v>
      </c>
      <c r="C114" s="73"/>
      <c r="D114" s="74"/>
      <c r="E114" s="74"/>
      <c r="F114" s="78">
        <f aca="true" t="shared" si="30" ref="F114:F125">C114-D114+E114</f>
        <v>0</v>
      </c>
      <c r="G114" s="74">
        <f>G106+F114</f>
        <v>125178.34125059779</v>
      </c>
      <c r="H114" s="74"/>
      <c r="I114" s="75">
        <v>0.0459</v>
      </c>
      <c r="J114" s="74">
        <f>G106*I114/12</f>
        <v>478.8071552835366</v>
      </c>
      <c r="K114" s="74">
        <f>K106+J114</f>
        <v>32942.407013726275</v>
      </c>
      <c r="L114" s="74"/>
      <c r="M114" s="74">
        <f>K114+G114</f>
        <v>158120.74826432407</v>
      </c>
    </row>
    <row r="115" spans="2:13" ht="11.25">
      <c r="B115" s="90" t="s">
        <v>158</v>
      </c>
      <c r="C115" s="73"/>
      <c r="D115" s="74"/>
      <c r="E115" s="74"/>
      <c r="F115" s="78">
        <f t="shared" si="30"/>
        <v>0</v>
      </c>
      <c r="G115" s="74">
        <f>G114+F115</f>
        <v>125178.34125059779</v>
      </c>
      <c r="H115" s="74"/>
      <c r="I115" s="75">
        <v>0.0459</v>
      </c>
      <c r="J115" s="74">
        <f>G114*I115/12</f>
        <v>478.8071552835366</v>
      </c>
      <c r="K115" s="74">
        <f>K114+J115</f>
        <v>33421.214169009814</v>
      </c>
      <c r="L115" s="74"/>
      <c r="M115" s="74">
        <f aca="true" t="shared" si="31" ref="M115:M125">K115+G115</f>
        <v>158599.5554196076</v>
      </c>
    </row>
    <row r="116" spans="2:13" ht="11.25">
      <c r="B116" s="90" t="s">
        <v>159</v>
      </c>
      <c r="C116" s="73"/>
      <c r="D116" s="74"/>
      <c r="E116" s="74"/>
      <c r="F116" s="78">
        <f t="shared" si="30"/>
        <v>0</v>
      </c>
      <c r="G116" s="74">
        <f aca="true" t="shared" si="32" ref="G116:G125">G115+F116</f>
        <v>125178.34125059779</v>
      </c>
      <c r="H116" s="74"/>
      <c r="I116" s="75">
        <v>0.0459</v>
      </c>
      <c r="J116" s="74">
        <f aca="true" t="shared" si="33" ref="J116:J125">G115*I116/12</f>
        <v>478.8071552835366</v>
      </c>
      <c r="K116" s="74">
        <f>K115+J116</f>
        <v>33900.02132429335</v>
      </c>
      <c r="L116" s="74"/>
      <c r="M116" s="74">
        <f t="shared" si="31"/>
        <v>159078.36257489113</v>
      </c>
    </row>
    <row r="117" spans="2:13" ht="11.25">
      <c r="B117" s="90" t="s">
        <v>160</v>
      </c>
      <c r="C117" s="73"/>
      <c r="D117" s="74"/>
      <c r="E117" s="74"/>
      <c r="F117" s="78">
        <f t="shared" si="30"/>
        <v>0</v>
      </c>
      <c r="G117" s="74">
        <f t="shared" si="32"/>
        <v>125178.34125059779</v>
      </c>
      <c r="H117" s="74"/>
      <c r="I117" s="75">
        <v>0.0459</v>
      </c>
      <c r="J117" s="74">
        <f t="shared" si="33"/>
        <v>478.8071552835366</v>
      </c>
      <c r="K117" s="74">
        <f aca="true" t="shared" si="34" ref="K117:K125">K116+J117</f>
        <v>34378.82847957689</v>
      </c>
      <c r="L117" s="74"/>
      <c r="M117" s="74">
        <f t="shared" si="31"/>
        <v>159557.16973017468</v>
      </c>
    </row>
    <row r="118" spans="2:13" ht="11.25">
      <c r="B118" s="90" t="s">
        <v>161</v>
      </c>
      <c r="C118" s="73"/>
      <c r="D118" s="74"/>
      <c r="E118" s="74"/>
      <c r="F118" s="78">
        <f t="shared" si="30"/>
        <v>0</v>
      </c>
      <c r="G118" s="74">
        <f t="shared" si="32"/>
        <v>125178.34125059779</v>
      </c>
      <c r="H118" s="74"/>
      <c r="I118" s="75">
        <v>0.0459</v>
      </c>
      <c r="J118" s="74">
        <f t="shared" si="33"/>
        <v>478.8071552835366</v>
      </c>
      <c r="K118" s="74">
        <f t="shared" si="34"/>
        <v>34857.63563486043</v>
      </c>
      <c r="L118" s="74"/>
      <c r="M118" s="74">
        <f t="shared" si="31"/>
        <v>160035.97688545822</v>
      </c>
    </row>
    <row r="119" spans="2:13" ht="11.25">
      <c r="B119" s="90" t="s">
        <v>162</v>
      </c>
      <c r="C119" s="73"/>
      <c r="D119" s="74"/>
      <c r="E119" s="74"/>
      <c r="F119" s="78">
        <f t="shared" si="30"/>
        <v>0</v>
      </c>
      <c r="G119" s="74">
        <f t="shared" si="32"/>
        <v>125178.34125059779</v>
      </c>
      <c r="H119" s="74"/>
      <c r="I119" s="75">
        <v>0.0459</v>
      </c>
      <c r="J119" s="74">
        <f t="shared" si="33"/>
        <v>478.8071552835366</v>
      </c>
      <c r="K119" s="74">
        <f t="shared" si="34"/>
        <v>35336.44279014397</v>
      </c>
      <c r="L119" s="74"/>
      <c r="M119" s="74">
        <f t="shared" si="31"/>
        <v>160514.78404074177</v>
      </c>
    </row>
    <row r="120" spans="2:13" ht="11.25">
      <c r="B120" s="90" t="s">
        <v>163</v>
      </c>
      <c r="C120" s="73"/>
      <c r="D120" s="74"/>
      <c r="E120" s="74"/>
      <c r="F120" s="78">
        <f t="shared" si="30"/>
        <v>0</v>
      </c>
      <c r="G120" s="74">
        <f t="shared" si="32"/>
        <v>125178.34125059779</v>
      </c>
      <c r="H120" s="74"/>
      <c r="I120" s="75">
        <v>0.0459</v>
      </c>
      <c r="J120" s="74">
        <f t="shared" si="33"/>
        <v>478.8071552835366</v>
      </c>
      <c r="K120" s="74">
        <f t="shared" si="34"/>
        <v>35815.24994542751</v>
      </c>
      <c r="L120" s="74"/>
      <c r="M120" s="74">
        <f t="shared" si="31"/>
        <v>160993.5911960253</v>
      </c>
    </row>
    <row r="121" spans="2:13" ht="11.25">
      <c r="B121" s="90" t="s">
        <v>164</v>
      </c>
      <c r="C121" s="73"/>
      <c r="D121" s="74"/>
      <c r="E121" s="74"/>
      <c r="F121" s="78">
        <f t="shared" si="30"/>
        <v>0</v>
      </c>
      <c r="G121" s="74">
        <f t="shared" si="32"/>
        <v>125178.34125059779</v>
      </c>
      <c r="H121" s="74"/>
      <c r="I121" s="75">
        <v>0.0459</v>
      </c>
      <c r="J121" s="74">
        <f t="shared" si="33"/>
        <v>478.8071552835366</v>
      </c>
      <c r="K121" s="74">
        <f t="shared" si="34"/>
        <v>36294.05710071105</v>
      </c>
      <c r="L121" s="74"/>
      <c r="M121" s="74">
        <f t="shared" si="31"/>
        <v>161472.39835130883</v>
      </c>
    </row>
    <row r="122" spans="2:13" ht="11.25">
      <c r="B122" s="90" t="s">
        <v>165</v>
      </c>
      <c r="C122" s="73"/>
      <c r="D122" s="74"/>
      <c r="E122" s="74"/>
      <c r="F122" s="78">
        <f t="shared" si="30"/>
        <v>0</v>
      </c>
      <c r="G122" s="74">
        <f t="shared" si="32"/>
        <v>125178.34125059779</v>
      </c>
      <c r="H122" s="74"/>
      <c r="I122" s="75">
        <v>0.0459</v>
      </c>
      <c r="J122" s="74">
        <f t="shared" si="33"/>
        <v>478.8071552835366</v>
      </c>
      <c r="K122" s="74">
        <f t="shared" si="34"/>
        <v>36772.86425599459</v>
      </c>
      <c r="L122" s="74"/>
      <c r="M122" s="74">
        <f t="shared" si="31"/>
        <v>161951.20550659238</v>
      </c>
    </row>
    <row r="123" spans="2:13" ht="11.25">
      <c r="B123" s="90" t="s">
        <v>153</v>
      </c>
      <c r="C123" s="73"/>
      <c r="D123" s="74"/>
      <c r="E123" s="74"/>
      <c r="F123" s="78">
        <f t="shared" si="30"/>
        <v>0</v>
      </c>
      <c r="G123" s="74">
        <f t="shared" si="32"/>
        <v>125178.34125059779</v>
      </c>
      <c r="H123" s="74"/>
      <c r="I123" s="75">
        <v>0.0514</v>
      </c>
      <c r="J123" s="74">
        <f t="shared" si="33"/>
        <v>536.1805616900606</v>
      </c>
      <c r="K123" s="74">
        <f t="shared" si="34"/>
        <v>37309.04481768465</v>
      </c>
      <c r="L123" s="74"/>
      <c r="M123" s="74">
        <f t="shared" si="31"/>
        <v>162487.38606828245</v>
      </c>
    </row>
    <row r="124" spans="2:13" ht="11.25">
      <c r="B124" s="90" t="s">
        <v>154</v>
      </c>
      <c r="C124" s="73"/>
      <c r="D124" s="74"/>
      <c r="E124" s="74"/>
      <c r="F124" s="78">
        <f t="shared" si="30"/>
        <v>0</v>
      </c>
      <c r="G124" s="74">
        <f t="shared" si="32"/>
        <v>125178.34125059779</v>
      </c>
      <c r="H124" s="74"/>
      <c r="I124" s="75">
        <v>0.0514</v>
      </c>
      <c r="J124" s="74">
        <f t="shared" si="33"/>
        <v>536.1805616900606</v>
      </c>
      <c r="K124" s="74">
        <f t="shared" si="34"/>
        <v>37845.22537937471</v>
      </c>
      <c r="L124" s="74"/>
      <c r="M124" s="74">
        <f t="shared" si="31"/>
        <v>163023.56662997248</v>
      </c>
    </row>
    <row r="125" spans="2:13" ht="11.25">
      <c r="B125" s="93" t="s">
        <v>155</v>
      </c>
      <c r="C125" s="76"/>
      <c r="D125" s="77"/>
      <c r="E125" s="77"/>
      <c r="F125" s="77">
        <f t="shared" si="30"/>
        <v>0</v>
      </c>
      <c r="G125" s="77">
        <f t="shared" si="32"/>
        <v>125178.34125059779</v>
      </c>
      <c r="H125" s="78"/>
      <c r="I125" s="79">
        <v>0.0514</v>
      </c>
      <c r="J125" s="77">
        <f t="shared" si="33"/>
        <v>536.1805616900606</v>
      </c>
      <c r="K125" s="77">
        <f t="shared" si="34"/>
        <v>38381.40594106477</v>
      </c>
      <c r="L125" s="78"/>
      <c r="M125" s="77">
        <f t="shared" si="31"/>
        <v>163559.74719166255</v>
      </c>
    </row>
    <row r="126" spans="2:13" ht="11.25">
      <c r="B126" s="90" t="s">
        <v>85</v>
      </c>
      <c r="C126" s="73">
        <f>SUM(C114:C125)</f>
        <v>0</v>
      </c>
      <c r="D126" s="73">
        <f>SUM(D114:D125)</f>
        <v>0</v>
      </c>
      <c r="E126" s="73">
        <f>SUM(E114:E125)</f>
        <v>0</v>
      </c>
      <c r="F126" s="73">
        <f>SUM(F114:F125)</f>
        <v>0</v>
      </c>
      <c r="G126" s="73"/>
      <c r="H126" s="73"/>
      <c r="I126" s="80"/>
      <c r="J126" s="73">
        <f>SUM(J114:J125)</f>
        <v>5917.80608262201</v>
      </c>
      <c r="K126" s="73"/>
      <c r="L126" s="73"/>
      <c r="M126" s="73"/>
    </row>
    <row r="127" spans="2:13" ht="11.25">
      <c r="B127" s="92"/>
      <c r="C127" s="73"/>
      <c r="D127" s="74"/>
      <c r="E127" s="74"/>
      <c r="F127" s="74"/>
      <c r="G127" s="74"/>
      <c r="H127" s="74"/>
      <c r="I127" s="91"/>
      <c r="J127" s="74"/>
      <c r="K127" s="74"/>
      <c r="L127" s="74"/>
      <c r="M127" s="74"/>
    </row>
    <row r="128" spans="2:13" ht="11.25">
      <c r="B128" s="92"/>
      <c r="C128" s="73"/>
      <c r="D128" s="74"/>
      <c r="E128" s="74"/>
      <c r="F128" s="74"/>
      <c r="G128" s="74"/>
      <c r="H128" s="74"/>
      <c r="I128" s="91"/>
      <c r="J128" s="74"/>
      <c r="K128" s="74"/>
      <c r="L128" s="74"/>
      <c r="M128" s="74"/>
    </row>
    <row r="129" spans="2:13" ht="11.25">
      <c r="B129" s="92"/>
      <c r="C129" s="73"/>
      <c r="D129" s="74"/>
      <c r="E129" s="74"/>
      <c r="F129" s="74"/>
      <c r="G129" s="74"/>
      <c r="H129" s="74"/>
      <c r="I129" s="91"/>
      <c r="J129" s="74"/>
      <c r="K129" s="74"/>
      <c r="L129" s="74"/>
      <c r="M129" s="74"/>
    </row>
    <row r="130" spans="2:13" ht="11.25">
      <c r="B130" s="90" t="s">
        <v>140</v>
      </c>
      <c r="C130" s="69" t="s">
        <v>171</v>
      </c>
      <c r="D130" s="74"/>
      <c r="E130" s="74"/>
      <c r="F130" s="74"/>
      <c r="G130" s="74"/>
      <c r="H130" s="74"/>
      <c r="I130" s="91"/>
      <c r="J130" s="74"/>
      <c r="K130" s="74"/>
      <c r="L130" s="74"/>
      <c r="M130" s="74"/>
    </row>
    <row r="131" spans="2:13" ht="11.25">
      <c r="B131" s="92"/>
      <c r="C131" s="98" t="s">
        <v>142</v>
      </c>
      <c r="D131" s="99"/>
      <c r="E131" s="99"/>
      <c r="F131" s="99"/>
      <c r="G131" s="99"/>
      <c r="H131" s="74"/>
      <c r="I131" s="99" t="s">
        <v>143</v>
      </c>
      <c r="J131" s="99"/>
      <c r="K131" s="99"/>
      <c r="L131" s="74"/>
      <c r="M131" s="69" t="s">
        <v>85</v>
      </c>
    </row>
    <row r="132" spans="2:13" ht="11.25">
      <c r="B132" s="92"/>
      <c r="C132" s="69" t="s">
        <v>144</v>
      </c>
      <c r="D132" s="69" t="s">
        <v>36</v>
      </c>
      <c r="E132" s="71" t="s">
        <v>145</v>
      </c>
      <c r="F132" s="71" t="s">
        <v>146</v>
      </c>
      <c r="G132" s="71" t="s">
        <v>147</v>
      </c>
      <c r="H132" s="71"/>
      <c r="I132" s="72" t="s">
        <v>148</v>
      </c>
      <c r="J132" s="71" t="s">
        <v>149</v>
      </c>
      <c r="K132" s="71" t="s">
        <v>147</v>
      </c>
      <c r="L132" s="74"/>
      <c r="M132" s="69" t="s">
        <v>146</v>
      </c>
    </row>
    <row r="133" spans="2:13" ht="11.25">
      <c r="B133" s="92"/>
      <c r="C133" s="69" t="s">
        <v>37</v>
      </c>
      <c r="D133" s="69" t="s">
        <v>150</v>
      </c>
      <c r="E133" s="71" t="s">
        <v>151</v>
      </c>
      <c r="F133" s="71"/>
      <c r="G133" s="71"/>
      <c r="H133" s="71"/>
      <c r="I133" s="72" t="s">
        <v>152</v>
      </c>
      <c r="J133" s="71"/>
      <c r="K133" s="71"/>
      <c r="L133" s="74"/>
      <c r="M133" s="69"/>
    </row>
    <row r="134" spans="2:13" ht="11.25">
      <c r="B134" s="90" t="s">
        <v>157</v>
      </c>
      <c r="C134" s="73"/>
      <c r="D134" s="74"/>
      <c r="E134" s="74"/>
      <c r="F134" s="78">
        <f aca="true" t="shared" si="35" ref="F134:F145">C134-D134+E134</f>
        <v>0</v>
      </c>
      <c r="G134" s="74">
        <f>G125+F134</f>
        <v>125178.34125059779</v>
      </c>
      <c r="H134" s="74"/>
      <c r="I134" s="75">
        <v>0.0514</v>
      </c>
      <c r="J134" s="74">
        <f>G125*I134/12</f>
        <v>536.1805616900606</v>
      </c>
      <c r="K134" s="74">
        <f>K125+J134</f>
        <v>38917.58650275483</v>
      </c>
      <c r="L134" s="74"/>
      <c r="M134" s="74">
        <f>K134+G134</f>
        <v>164095.92775335262</v>
      </c>
    </row>
    <row r="135" spans="2:13" ht="11.25">
      <c r="B135" s="90" t="s">
        <v>158</v>
      </c>
      <c r="C135" s="73"/>
      <c r="D135" s="74"/>
      <c r="E135" s="74"/>
      <c r="F135" s="78">
        <f t="shared" si="35"/>
        <v>0</v>
      </c>
      <c r="G135" s="74">
        <f>G134+F135</f>
        <v>125178.34125059779</v>
      </c>
      <c r="H135" s="74"/>
      <c r="I135" s="75">
        <v>0.0514</v>
      </c>
      <c r="J135" s="74">
        <f>G134*I135/12</f>
        <v>536.1805616900606</v>
      </c>
      <c r="K135" s="74">
        <f>K134+J135</f>
        <v>39453.76706444489</v>
      </c>
      <c r="L135" s="74"/>
      <c r="M135" s="74">
        <f aca="true" t="shared" si="36" ref="M135:M145">K135+G135</f>
        <v>164632.1083150427</v>
      </c>
    </row>
    <row r="136" spans="2:13" ht="11.25">
      <c r="B136" s="90" t="s">
        <v>159</v>
      </c>
      <c r="C136" s="73"/>
      <c r="D136" s="74"/>
      <c r="E136" s="74"/>
      <c r="F136" s="78">
        <f t="shared" si="35"/>
        <v>0</v>
      </c>
      <c r="G136" s="74">
        <f aca="true" t="shared" si="37" ref="G136:G145">G135+F136</f>
        <v>125178.34125059779</v>
      </c>
      <c r="H136" s="74"/>
      <c r="I136" s="75">
        <v>0.0514</v>
      </c>
      <c r="J136" s="74">
        <f aca="true" t="shared" si="38" ref="J136:J145">G135*I136/12</f>
        <v>536.1805616900606</v>
      </c>
      <c r="K136" s="74">
        <f aca="true" t="shared" si="39" ref="K136:K145">K135+J136</f>
        <v>39989.94762613495</v>
      </c>
      <c r="L136" s="74"/>
      <c r="M136" s="74">
        <f t="shared" si="36"/>
        <v>165168.28887673275</v>
      </c>
    </row>
    <row r="137" spans="2:13" ht="11.25">
      <c r="B137" s="90" t="s">
        <v>160</v>
      </c>
      <c r="C137" s="73"/>
      <c r="D137" s="74"/>
      <c r="E137" s="74"/>
      <c r="F137" s="78">
        <f t="shared" si="35"/>
        <v>0</v>
      </c>
      <c r="G137" s="74">
        <f t="shared" si="37"/>
        <v>125178.34125059779</v>
      </c>
      <c r="H137" s="74"/>
      <c r="I137" s="75">
        <v>0.0408</v>
      </c>
      <c r="J137" s="74">
        <f t="shared" si="38"/>
        <v>425.6063602520325</v>
      </c>
      <c r="K137" s="74">
        <f t="shared" si="39"/>
        <v>40415.55398638698</v>
      </c>
      <c r="L137" s="74"/>
      <c r="M137" s="74">
        <f t="shared" si="36"/>
        <v>165593.89523698477</v>
      </c>
    </row>
    <row r="138" spans="2:13" ht="11.25">
      <c r="B138" s="90" t="s">
        <v>161</v>
      </c>
      <c r="C138" s="73"/>
      <c r="D138" s="74"/>
      <c r="E138" s="74"/>
      <c r="F138" s="78">
        <f t="shared" si="35"/>
        <v>0</v>
      </c>
      <c r="G138" s="74">
        <f t="shared" si="37"/>
        <v>125178.34125059779</v>
      </c>
      <c r="H138" s="74"/>
      <c r="I138" s="75">
        <v>0.0408</v>
      </c>
      <c r="J138" s="74">
        <f t="shared" si="38"/>
        <v>425.6063602520325</v>
      </c>
      <c r="K138" s="74">
        <f t="shared" si="39"/>
        <v>40841.16034663901</v>
      </c>
      <c r="L138" s="74"/>
      <c r="M138" s="74">
        <f t="shared" si="36"/>
        <v>166019.50159723678</v>
      </c>
    </row>
    <row r="139" spans="2:13" ht="11.25">
      <c r="B139" s="90" t="s">
        <v>162</v>
      </c>
      <c r="C139" s="73"/>
      <c r="D139" s="74"/>
      <c r="E139" s="74"/>
      <c r="F139" s="78">
        <f t="shared" si="35"/>
        <v>0</v>
      </c>
      <c r="G139" s="74">
        <f t="shared" si="37"/>
        <v>125178.34125059779</v>
      </c>
      <c r="H139" s="74"/>
      <c r="I139" s="75">
        <v>0.0408</v>
      </c>
      <c r="J139" s="74">
        <f t="shared" si="38"/>
        <v>425.6063602520325</v>
      </c>
      <c r="K139" s="74">
        <f t="shared" si="39"/>
        <v>41266.76670689104</v>
      </c>
      <c r="L139" s="74"/>
      <c r="M139" s="74">
        <f t="shared" si="36"/>
        <v>166445.10795748883</v>
      </c>
    </row>
    <row r="140" spans="2:13" ht="11.25">
      <c r="B140" s="90" t="s">
        <v>163</v>
      </c>
      <c r="C140" s="73"/>
      <c r="D140" s="74"/>
      <c r="E140" s="74"/>
      <c r="F140" s="78">
        <f t="shared" si="35"/>
        <v>0</v>
      </c>
      <c r="G140" s="74">
        <f t="shared" si="37"/>
        <v>125178.34125059779</v>
      </c>
      <c r="H140" s="74"/>
      <c r="I140" s="84">
        <v>0.0335</v>
      </c>
      <c r="J140" s="74">
        <f t="shared" si="38"/>
        <v>349.4562026579188</v>
      </c>
      <c r="K140" s="74">
        <f t="shared" si="39"/>
        <v>41616.22290954896</v>
      </c>
      <c r="L140" s="74"/>
      <c r="M140" s="74">
        <f t="shared" si="36"/>
        <v>166794.56416014675</v>
      </c>
    </row>
    <row r="141" spans="2:13" ht="11.25">
      <c r="B141" s="90" t="s">
        <v>164</v>
      </c>
      <c r="C141" s="73"/>
      <c r="D141" s="74"/>
      <c r="E141" s="74"/>
      <c r="F141" s="78">
        <f t="shared" si="35"/>
        <v>0</v>
      </c>
      <c r="G141" s="74">
        <f t="shared" si="37"/>
        <v>125178.34125059779</v>
      </c>
      <c r="H141" s="74"/>
      <c r="I141" s="84">
        <v>0.0335</v>
      </c>
      <c r="J141" s="74">
        <f t="shared" si="38"/>
        <v>349.4562026579188</v>
      </c>
      <c r="K141" s="74">
        <f t="shared" si="39"/>
        <v>41965.67911220688</v>
      </c>
      <c r="L141" s="74"/>
      <c r="M141" s="74">
        <f t="shared" si="36"/>
        <v>167144.02036280467</v>
      </c>
    </row>
    <row r="142" spans="2:13" ht="11.25">
      <c r="B142" s="90" t="s">
        <v>165</v>
      </c>
      <c r="C142" s="73"/>
      <c r="D142" s="74"/>
      <c r="E142" s="74"/>
      <c r="F142" s="78">
        <f t="shared" si="35"/>
        <v>0</v>
      </c>
      <c r="G142" s="74">
        <f t="shared" si="37"/>
        <v>125178.34125059779</v>
      </c>
      <c r="H142" s="74"/>
      <c r="I142" s="84">
        <v>0.0335</v>
      </c>
      <c r="J142" s="74">
        <f t="shared" si="38"/>
        <v>349.4562026579188</v>
      </c>
      <c r="K142" s="74">
        <f t="shared" si="39"/>
        <v>42315.135314864805</v>
      </c>
      <c r="L142" s="74"/>
      <c r="M142" s="74">
        <f t="shared" si="36"/>
        <v>167493.4765654626</v>
      </c>
    </row>
    <row r="143" spans="2:13" ht="11.25">
      <c r="B143" s="90" t="s">
        <v>153</v>
      </c>
      <c r="C143" s="73"/>
      <c r="D143" s="74"/>
      <c r="E143" s="74"/>
      <c r="F143" s="78">
        <f t="shared" si="35"/>
        <v>0</v>
      </c>
      <c r="G143" s="74">
        <f t="shared" si="37"/>
        <v>125178.34125059779</v>
      </c>
      <c r="H143" s="74"/>
      <c r="I143" s="84">
        <v>0.0335</v>
      </c>
      <c r="J143" s="74">
        <f t="shared" si="38"/>
        <v>349.4562026579188</v>
      </c>
      <c r="K143" s="74">
        <f t="shared" si="39"/>
        <v>42664.59151752273</v>
      </c>
      <c r="L143" s="74"/>
      <c r="M143" s="74">
        <f t="shared" si="36"/>
        <v>167842.93276812052</v>
      </c>
    </row>
    <row r="144" spans="2:13" ht="11.25">
      <c r="B144" s="90" t="s">
        <v>154</v>
      </c>
      <c r="C144" s="73"/>
      <c r="D144" s="74"/>
      <c r="E144" s="74"/>
      <c r="F144" s="78">
        <f t="shared" si="35"/>
        <v>0</v>
      </c>
      <c r="G144" s="74">
        <f t="shared" si="37"/>
        <v>125178.34125059779</v>
      </c>
      <c r="H144" s="74"/>
      <c r="I144" s="84">
        <v>0.0335</v>
      </c>
      <c r="J144" s="74">
        <f t="shared" si="38"/>
        <v>349.4562026579188</v>
      </c>
      <c r="K144" s="74">
        <f t="shared" si="39"/>
        <v>43014.04772018065</v>
      </c>
      <c r="L144" s="74"/>
      <c r="M144" s="74">
        <f t="shared" si="36"/>
        <v>168192.38897077844</v>
      </c>
    </row>
    <row r="145" spans="2:13" ht="11.25">
      <c r="B145" s="93" t="s">
        <v>155</v>
      </c>
      <c r="C145" s="76"/>
      <c r="D145" s="77"/>
      <c r="E145" s="77"/>
      <c r="F145" s="77">
        <f t="shared" si="35"/>
        <v>0</v>
      </c>
      <c r="G145" s="77">
        <f t="shared" si="37"/>
        <v>125178.34125059779</v>
      </c>
      <c r="H145" s="78"/>
      <c r="I145" s="79">
        <v>0.0335</v>
      </c>
      <c r="J145" s="77">
        <f t="shared" si="38"/>
        <v>349.4562026579188</v>
      </c>
      <c r="K145" s="77">
        <f t="shared" si="39"/>
        <v>43363.50392283857</v>
      </c>
      <c r="L145" s="78"/>
      <c r="M145" s="77">
        <f t="shared" si="36"/>
        <v>168541.84517343636</v>
      </c>
    </row>
    <row r="146" spans="2:13" ht="11.25">
      <c r="B146" s="90" t="s">
        <v>85</v>
      </c>
      <c r="C146" s="73">
        <f>SUM(C134:C145)</f>
        <v>0</v>
      </c>
      <c r="D146" s="73">
        <f>SUM(D134:D145)</f>
        <v>0</v>
      </c>
      <c r="E146" s="73">
        <f>SUM(E134:E145)</f>
        <v>0</v>
      </c>
      <c r="F146" s="73">
        <f>SUM(F134:F145)</f>
        <v>0</v>
      </c>
      <c r="G146" s="73"/>
      <c r="H146" s="73"/>
      <c r="I146" s="80"/>
      <c r="J146" s="73">
        <f>SUM(J134:J145)</f>
        <v>4982.0979817737925</v>
      </c>
      <c r="K146" s="73"/>
      <c r="L146" s="73"/>
      <c r="M146" s="73"/>
    </row>
    <row r="147" spans="2:13" ht="11.25">
      <c r="B147" s="92"/>
      <c r="C147" s="73"/>
      <c r="D147" s="74"/>
      <c r="E147" s="74"/>
      <c r="F147" s="74"/>
      <c r="G147" s="74"/>
      <c r="H147" s="74"/>
      <c r="I147" s="91"/>
      <c r="J147" s="74"/>
      <c r="K147" s="74"/>
      <c r="L147" s="74"/>
      <c r="M147" s="74"/>
    </row>
    <row r="148" spans="2:13" ht="11.25">
      <c r="B148" s="92"/>
      <c r="C148" s="73"/>
      <c r="D148" s="74"/>
      <c r="E148" s="74"/>
      <c r="F148" s="74"/>
      <c r="G148" s="74"/>
      <c r="H148" s="74"/>
      <c r="I148" s="91"/>
      <c r="J148" s="74"/>
      <c r="K148" s="74"/>
      <c r="L148" s="74"/>
      <c r="M148" s="74"/>
    </row>
    <row r="149" spans="2:13" ht="11.25">
      <c r="B149" s="92"/>
      <c r="C149" s="73"/>
      <c r="D149" s="74"/>
      <c r="E149" s="74"/>
      <c r="F149" s="74"/>
      <c r="G149" s="74"/>
      <c r="H149" s="74"/>
      <c r="I149" s="91"/>
      <c r="J149" s="74"/>
      <c r="K149" s="74"/>
      <c r="L149" s="74"/>
      <c r="M149" s="74"/>
    </row>
    <row r="150" spans="2:13" ht="11.25">
      <c r="B150" s="90" t="s">
        <v>140</v>
      </c>
      <c r="C150" s="69" t="s">
        <v>172</v>
      </c>
      <c r="D150" s="74"/>
      <c r="E150" s="74"/>
      <c r="F150" s="74"/>
      <c r="G150" s="74"/>
      <c r="H150" s="74"/>
      <c r="I150" s="91"/>
      <c r="J150" s="74"/>
      <c r="K150" s="74"/>
      <c r="L150" s="74"/>
      <c r="M150" s="74"/>
    </row>
    <row r="151" spans="2:13" ht="11.25">
      <c r="B151" s="92"/>
      <c r="C151" s="98" t="s">
        <v>142</v>
      </c>
      <c r="D151" s="99"/>
      <c r="E151" s="99"/>
      <c r="F151" s="99"/>
      <c r="G151" s="99"/>
      <c r="H151" s="74"/>
      <c r="I151" s="99" t="s">
        <v>143</v>
      </c>
      <c r="J151" s="99"/>
      <c r="K151" s="99"/>
      <c r="L151" s="74"/>
      <c r="M151" s="69" t="s">
        <v>85</v>
      </c>
    </row>
    <row r="152" spans="2:13" ht="11.25">
      <c r="B152" s="92"/>
      <c r="C152" s="69" t="s">
        <v>144</v>
      </c>
      <c r="D152" s="69" t="s">
        <v>36</v>
      </c>
      <c r="E152" s="71" t="s">
        <v>145</v>
      </c>
      <c r="F152" s="71" t="s">
        <v>146</v>
      </c>
      <c r="G152" s="71" t="s">
        <v>147</v>
      </c>
      <c r="H152" s="71"/>
      <c r="I152" s="72" t="s">
        <v>148</v>
      </c>
      <c r="J152" s="71" t="s">
        <v>149</v>
      </c>
      <c r="K152" s="71" t="s">
        <v>147</v>
      </c>
      <c r="L152" s="74"/>
      <c r="M152" s="69" t="s">
        <v>146</v>
      </c>
    </row>
    <row r="153" spans="2:13" ht="11.25">
      <c r="B153" s="92"/>
      <c r="C153" s="69" t="s">
        <v>37</v>
      </c>
      <c r="D153" s="69" t="s">
        <v>150</v>
      </c>
      <c r="E153" s="71" t="s">
        <v>151</v>
      </c>
      <c r="F153" s="71"/>
      <c r="G153" s="71"/>
      <c r="H153" s="71"/>
      <c r="I153" s="72" t="s">
        <v>152</v>
      </c>
      <c r="J153" s="71"/>
      <c r="K153" s="71"/>
      <c r="L153" s="74"/>
      <c r="M153" s="69"/>
    </row>
    <row r="154" spans="2:13" ht="11.25">
      <c r="B154" s="90" t="s">
        <v>157</v>
      </c>
      <c r="C154" s="73"/>
      <c r="D154" s="74"/>
      <c r="E154" s="74"/>
      <c r="F154" s="78">
        <f aca="true" t="shared" si="40" ref="F154:F165">C154-D154+E154</f>
        <v>0</v>
      </c>
      <c r="G154" s="74">
        <f>G145+F154</f>
        <v>125178.34125059779</v>
      </c>
      <c r="H154" s="74"/>
      <c r="I154" s="75">
        <v>0.0245</v>
      </c>
      <c r="J154" s="74">
        <f>G145*I154/12</f>
        <v>255.5724467199705</v>
      </c>
      <c r="K154" s="74">
        <f>K145+J154</f>
        <v>43619.07636955854</v>
      </c>
      <c r="L154" s="74"/>
      <c r="M154" s="74">
        <f>K154+G154</f>
        <v>168797.41762015634</v>
      </c>
    </row>
    <row r="155" spans="2:13" ht="11.25">
      <c r="B155" s="90" t="s">
        <v>158</v>
      </c>
      <c r="C155" s="73"/>
      <c r="D155" s="74"/>
      <c r="E155" s="74"/>
      <c r="F155" s="78">
        <f t="shared" si="40"/>
        <v>0</v>
      </c>
      <c r="G155" s="74">
        <f>G154+F155</f>
        <v>125178.34125059779</v>
      </c>
      <c r="H155" s="74"/>
      <c r="I155" s="75">
        <v>0.0245</v>
      </c>
      <c r="J155" s="74">
        <f>G154*I155/12</f>
        <v>255.5724467199705</v>
      </c>
      <c r="K155" s="74">
        <f>K154+J155</f>
        <v>43874.64881627851</v>
      </c>
      <c r="L155" s="74"/>
      <c r="M155" s="74">
        <f aca="true" t="shared" si="41" ref="M155:M165">K155+G155</f>
        <v>169052.9900668763</v>
      </c>
    </row>
    <row r="156" spans="2:13" ht="11.25">
      <c r="B156" s="90" t="s">
        <v>159</v>
      </c>
      <c r="C156" s="73"/>
      <c r="D156" s="74"/>
      <c r="E156" s="74"/>
      <c r="F156" s="78">
        <f t="shared" si="40"/>
        <v>0</v>
      </c>
      <c r="G156" s="74">
        <f aca="true" t="shared" si="42" ref="G156:G165">G155+F156</f>
        <v>125178.34125059779</v>
      </c>
      <c r="H156" s="74"/>
      <c r="I156" s="75">
        <v>0.0245</v>
      </c>
      <c r="J156" s="74">
        <f aca="true" t="shared" si="43" ref="J156:J165">G155*I156/12</f>
        <v>255.5724467199705</v>
      </c>
      <c r="K156" s="74">
        <f aca="true" t="shared" si="44" ref="K156:K165">K155+J156</f>
        <v>44130.22126299848</v>
      </c>
      <c r="L156" s="74"/>
      <c r="M156" s="74">
        <f t="shared" si="41"/>
        <v>169308.56251359626</v>
      </c>
    </row>
    <row r="157" spans="2:13" ht="11.25">
      <c r="B157" s="90" t="s">
        <v>160</v>
      </c>
      <c r="C157" s="73"/>
      <c r="D157" s="74"/>
      <c r="E157" s="74"/>
      <c r="F157" s="78">
        <f t="shared" si="40"/>
        <v>0</v>
      </c>
      <c r="G157" s="74">
        <f t="shared" si="42"/>
        <v>125178.34125059779</v>
      </c>
      <c r="H157" s="74"/>
      <c r="I157" s="75">
        <v>0.01</v>
      </c>
      <c r="J157" s="74">
        <f t="shared" si="43"/>
        <v>104.31528437549815</v>
      </c>
      <c r="K157" s="74">
        <f t="shared" si="44"/>
        <v>44234.53654737398</v>
      </c>
      <c r="L157" s="74"/>
      <c r="M157" s="74">
        <f t="shared" si="41"/>
        <v>169412.87779797177</v>
      </c>
    </row>
    <row r="158" spans="2:13" ht="11.25">
      <c r="B158" s="90" t="s">
        <v>161</v>
      </c>
      <c r="C158" s="73"/>
      <c r="D158" s="74"/>
      <c r="E158" s="74"/>
      <c r="F158" s="78">
        <f t="shared" si="40"/>
        <v>0</v>
      </c>
      <c r="G158" s="74">
        <f t="shared" si="42"/>
        <v>125178.34125059779</v>
      </c>
      <c r="H158" s="74"/>
      <c r="I158" s="75">
        <v>0.01</v>
      </c>
      <c r="J158" s="74">
        <f t="shared" si="43"/>
        <v>104.31528437549815</v>
      </c>
      <c r="K158" s="74">
        <f t="shared" si="44"/>
        <v>44338.85183174948</v>
      </c>
      <c r="L158" s="74"/>
      <c r="M158" s="74">
        <f t="shared" si="41"/>
        <v>169517.19308234728</v>
      </c>
    </row>
    <row r="159" spans="2:13" ht="11.25">
      <c r="B159" s="90" t="s">
        <v>162</v>
      </c>
      <c r="C159" s="73"/>
      <c r="D159" s="74"/>
      <c r="E159" s="74"/>
      <c r="F159" s="78">
        <f t="shared" si="40"/>
        <v>0</v>
      </c>
      <c r="G159" s="74">
        <f t="shared" si="42"/>
        <v>125178.34125059779</v>
      </c>
      <c r="H159" s="74"/>
      <c r="I159" s="75">
        <v>0.01</v>
      </c>
      <c r="J159" s="74">
        <f t="shared" si="43"/>
        <v>104.31528437549815</v>
      </c>
      <c r="K159" s="74">
        <f t="shared" si="44"/>
        <v>44443.16711612498</v>
      </c>
      <c r="L159" s="74"/>
      <c r="M159" s="74">
        <f t="shared" si="41"/>
        <v>169621.5083667228</v>
      </c>
    </row>
    <row r="160" spans="2:13" ht="11.25">
      <c r="B160" s="90" t="s">
        <v>163</v>
      </c>
      <c r="C160" s="73"/>
      <c r="D160" s="74"/>
      <c r="E160" s="74"/>
      <c r="F160" s="78">
        <f t="shared" si="40"/>
        <v>0</v>
      </c>
      <c r="G160" s="74">
        <f t="shared" si="42"/>
        <v>125178.34125059779</v>
      </c>
      <c r="H160" s="74"/>
      <c r="I160" s="75">
        <v>0.0055</v>
      </c>
      <c r="J160" s="74">
        <f t="shared" si="43"/>
        <v>57.37340640652399</v>
      </c>
      <c r="K160" s="74">
        <f t="shared" si="44"/>
        <v>44500.540522531504</v>
      </c>
      <c r="L160" s="74"/>
      <c r="M160" s="74">
        <f t="shared" si="41"/>
        <v>169678.88177312928</v>
      </c>
    </row>
    <row r="161" spans="2:13" ht="11.25">
      <c r="B161" s="90" t="s">
        <v>164</v>
      </c>
      <c r="C161" s="73"/>
      <c r="D161" s="74"/>
      <c r="E161" s="74"/>
      <c r="F161" s="78">
        <f t="shared" si="40"/>
        <v>0</v>
      </c>
      <c r="G161" s="74">
        <f t="shared" si="42"/>
        <v>125178.34125059779</v>
      </c>
      <c r="H161" s="74"/>
      <c r="I161" s="75">
        <v>0.0055</v>
      </c>
      <c r="J161" s="74">
        <f t="shared" si="43"/>
        <v>57.37340640652399</v>
      </c>
      <c r="K161" s="74">
        <f t="shared" si="44"/>
        <v>44557.913928938025</v>
      </c>
      <c r="L161" s="74"/>
      <c r="M161" s="74">
        <f t="shared" si="41"/>
        <v>169736.25517953583</v>
      </c>
    </row>
    <row r="162" spans="2:13" ht="11.25">
      <c r="B162" s="90" t="s">
        <v>165</v>
      </c>
      <c r="C162" s="73"/>
      <c r="D162" s="74"/>
      <c r="E162" s="74"/>
      <c r="F162" s="78">
        <f t="shared" si="40"/>
        <v>0</v>
      </c>
      <c r="G162" s="74">
        <f t="shared" si="42"/>
        <v>125178.34125059779</v>
      </c>
      <c r="H162" s="74"/>
      <c r="I162" s="75">
        <v>0.0055</v>
      </c>
      <c r="J162" s="74">
        <f t="shared" si="43"/>
        <v>57.37340640652399</v>
      </c>
      <c r="K162" s="74">
        <f t="shared" si="44"/>
        <v>44615.28733534455</v>
      </c>
      <c r="L162" s="74"/>
      <c r="M162" s="74">
        <f t="shared" si="41"/>
        <v>169793.62858594232</v>
      </c>
    </row>
    <row r="163" spans="2:13" ht="11.25">
      <c r="B163" s="90" t="s">
        <v>153</v>
      </c>
      <c r="C163" s="73"/>
      <c r="D163" s="74"/>
      <c r="E163" s="74"/>
      <c r="F163" s="78">
        <f t="shared" si="40"/>
        <v>0</v>
      </c>
      <c r="G163" s="74">
        <f t="shared" si="42"/>
        <v>125178.34125059779</v>
      </c>
      <c r="H163" s="74"/>
      <c r="I163" s="75">
        <v>0.0055</v>
      </c>
      <c r="J163" s="74">
        <f t="shared" si="43"/>
        <v>57.37340640652399</v>
      </c>
      <c r="K163" s="74">
        <f t="shared" si="44"/>
        <v>44672.66074175107</v>
      </c>
      <c r="L163" s="74"/>
      <c r="M163" s="74">
        <f t="shared" si="41"/>
        <v>169851.00199234887</v>
      </c>
    </row>
    <row r="164" spans="2:13" ht="11.25">
      <c r="B164" s="90" t="s">
        <v>154</v>
      </c>
      <c r="C164" s="73"/>
      <c r="D164" s="74"/>
      <c r="E164" s="74"/>
      <c r="F164" s="78">
        <f t="shared" si="40"/>
        <v>0</v>
      </c>
      <c r="G164" s="74">
        <f t="shared" si="42"/>
        <v>125178.34125059779</v>
      </c>
      <c r="H164" s="74"/>
      <c r="I164" s="75">
        <v>0.0055</v>
      </c>
      <c r="J164" s="74">
        <f t="shared" si="43"/>
        <v>57.37340640652399</v>
      </c>
      <c r="K164" s="74">
        <f t="shared" si="44"/>
        <v>44730.03414815759</v>
      </c>
      <c r="L164" s="74"/>
      <c r="M164" s="74">
        <f t="shared" si="41"/>
        <v>169908.37539875536</v>
      </c>
    </row>
    <row r="165" spans="2:13" ht="11.25">
      <c r="B165" s="93" t="s">
        <v>155</v>
      </c>
      <c r="C165" s="76"/>
      <c r="D165" s="77"/>
      <c r="E165" s="77"/>
      <c r="F165" s="77">
        <f t="shared" si="40"/>
        <v>0</v>
      </c>
      <c r="G165" s="77">
        <f t="shared" si="42"/>
        <v>125178.34125059779</v>
      </c>
      <c r="H165" s="78"/>
      <c r="I165" s="79">
        <v>0.0055</v>
      </c>
      <c r="J165" s="77">
        <f t="shared" si="43"/>
        <v>57.37340640652399</v>
      </c>
      <c r="K165" s="77">
        <f t="shared" si="44"/>
        <v>44787.40755456411</v>
      </c>
      <c r="L165" s="78"/>
      <c r="M165" s="77">
        <f t="shared" si="41"/>
        <v>169965.74880516191</v>
      </c>
    </row>
    <row r="166" spans="2:13" ht="11.25">
      <c r="B166" s="90" t="s">
        <v>85</v>
      </c>
      <c r="C166" s="73">
        <f>SUM(C154:C165)</f>
        <v>0</v>
      </c>
      <c r="D166" s="73">
        <f>SUM(D154:D165)</f>
        <v>0</v>
      </c>
      <c r="E166" s="73">
        <f>SUM(E154:E165)</f>
        <v>0</v>
      </c>
      <c r="F166" s="73">
        <f>SUM(F154:F165)</f>
        <v>0</v>
      </c>
      <c r="G166" s="73"/>
      <c r="H166" s="73"/>
      <c r="I166" s="80"/>
      <c r="J166" s="73">
        <f>SUM(J154:J165)</f>
        <v>1423.9036317255502</v>
      </c>
      <c r="K166" s="73"/>
      <c r="L166" s="73"/>
      <c r="M166" s="73"/>
    </row>
    <row r="167" spans="2:13" ht="11.25">
      <c r="B167" s="92"/>
      <c r="C167" s="73"/>
      <c r="D167" s="74"/>
      <c r="E167" s="74"/>
      <c r="F167" s="74"/>
      <c r="G167" s="74"/>
      <c r="H167" s="74"/>
      <c r="I167" s="91"/>
      <c r="J167" s="74"/>
      <c r="K167" s="74"/>
      <c r="L167" s="74"/>
      <c r="M167" s="74"/>
    </row>
    <row r="168" spans="2:13" ht="11.25">
      <c r="B168" s="92"/>
      <c r="C168" s="73"/>
      <c r="D168" s="74"/>
      <c r="E168" s="74"/>
      <c r="F168" s="74"/>
      <c r="G168" s="74"/>
      <c r="H168" s="74"/>
      <c r="I168" s="91"/>
      <c r="J168" s="74"/>
      <c r="K168" s="74"/>
      <c r="L168" s="74"/>
      <c r="M168" s="74"/>
    </row>
    <row r="169" spans="2:13" ht="11.25">
      <c r="B169" s="90" t="s">
        <v>140</v>
      </c>
      <c r="C169" s="69" t="s">
        <v>173</v>
      </c>
      <c r="D169" s="74"/>
      <c r="E169" s="74"/>
      <c r="F169" s="74"/>
      <c r="G169" s="74"/>
      <c r="H169" s="74"/>
      <c r="I169" s="91"/>
      <c r="J169" s="74"/>
      <c r="K169" s="74"/>
      <c r="L169" s="74"/>
      <c r="M169" s="74"/>
    </row>
    <row r="170" spans="2:13" ht="11.25">
      <c r="B170" s="92"/>
      <c r="C170" s="98" t="s">
        <v>142</v>
      </c>
      <c r="D170" s="99"/>
      <c r="E170" s="99"/>
      <c r="F170" s="99"/>
      <c r="G170" s="99"/>
      <c r="H170" s="74"/>
      <c r="I170" s="99" t="s">
        <v>143</v>
      </c>
      <c r="J170" s="99"/>
      <c r="K170" s="99"/>
      <c r="L170" s="74"/>
      <c r="M170" s="69" t="s">
        <v>85</v>
      </c>
    </row>
    <row r="171" spans="2:13" ht="11.25">
      <c r="B171" s="92"/>
      <c r="C171" s="69" t="s">
        <v>144</v>
      </c>
      <c r="D171" s="69" t="s">
        <v>36</v>
      </c>
      <c r="E171" s="71" t="s">
        <v>145</v>
      </c>
      <c r="F171" s="71" t="s">
        <v>146</v>
      </c>
      <c r="G171" s="71" t="s">
        <v>147</v>
      </c>
      <c r="H171" s="71"/>
      <c r="I171" s="72" t="s">
        <v>148</v>
      </c>
      <c r="J171" s="71" t="s">
        <v>149</v>
      </c>
      <c r="K171" s="71" t="s">
        <v>147</v>
      </c>
      <c r="L171" s="74"/>
      <c r="M171" s="69" t="s">
        <v>146</v>
      </c>
    </row>
    <row r="172" spans="2:13" ht="11.25">
      <c r="B172" s="92"/>
      <c r="C172" s="69" t="s">
        <v>37</v>
      </c>
      <c r="D172" s="69" t="s">
        <v>150</v>
      </c>
      <c r="E172" s="71" t="s">
        <v>151</v>
      </c>
      <c r="F172" s="71"/>
      <c r="G172" s="71"/>
      <c r="H172" s="71"/>
      <c r="I172" s="72" t="s">
        <v>152</v>
      </c>
      <c r="J172" s="71"/>
      <c r="K172" s="71"/>
      <c r="L172" s="74"/>
      <c r="M172" s="69"/>
    </row>
    <row r="173" spans="2:13" ht="11.25">
      <c r="B173" s="90" t="s">
        <v>157</v>
      </c>
      <c r="C173" s="73"/>
      <c r="D173" s="74"/>
      <c r="E173" s="74"/>
      <c r="F173" s="78">
        <f aca="true" t="shared" si="45" ref="F173:F184">C173-D173+E173</f>
        <v>0</v>
      </c>
      <c r="G173" s="74">
        <f>G165+F173</f>
        <v>125178.34125059779</v>
      </c>
      <c r="H173" s="74"/>
      <c r="I173" s="75">
        <v>0.0055</v>
      </c>
      <c r="J173" s="74">
        <f>G165*I173/12</f>
        <v>57.37340640652399</v>
      </c>
      <c r="K173" s="74">
        <f>K165+J173</f>
        <v>44844.78096097063</v>
      </c>
      <c r="L173" s="74"/>
      <c r="M173" s="74">
        <f>K173+G173</f>
        <v>170023.1222115684</v>
      </c>
    </row>
    <row r="174" spans="2:13" ht="11.25">
      <c r="B174" s="90" t="s">
        <v>158</v>
      </c>
      <c r="C174" s="73"/>
      <c r="D174" s="74"/>
      <c r="E174" s="74"/>
      <c r="F174" s="78">
        <f t="shared" si="45"/>
        <v>0</v>
      </c>
      <c r="G174" s="74">
        <f>G173+F174</f>
        <v>125178.34125059779</v>
      </c>
      <c r="H174" s="74"/>
      <c r="I174" s="75">
        <v>0.0055</v>
      </c>
      <c r="J174" s="74">
        <f>G173*I174/12</f>
        <v>57.37340640652399</v>
      </c>
      <c r="K174" s="74">
        <f>K173+J174</f>
        <v>44902.15436737715</v>
      </c>
      <c r="L174" s="74"/>
      <c r="M174" s="74">
        <f aca="true" t="shared" si="46" ref="M174:M184">K174+G174</f>
        <v>170080.49561797496</v>
      </c>
    </row>
    <row r="175" spans="2:13" ht="11.25">
      <c r="B175" s="90" t="s">
        <v>159</v>
      </c>
      <c r="C175" s="73"/>
      <c r="D175" s="74"/>
      <c r="E175" s="74"/>
      <c r="F175" s="78">
        <f t="shared" si="45"/>
        <v>0</v>
      </c>
      <c r="G175" s="74">
        <f aca="true" t="shared" si="47" ref="G175:G184">G174+F175</f>
        <v>125178.34125059779</v>
      </c>
      <c r="H175" s="74"/>
      <c r="I175" s="75">
        <v>0.0055</v>
      </c>
      <c r="J175" s="74">
        <f aca="true" t="shared" si="48" ref="J175:J184">G174*I175/12</f>
        <v>57.37340640652399</v>
      </c>
      <c r="K175" s="74">
        <f aca="true" t="shared" si="49" ref="K175:K184">K174+J175</f>
        <v>44959.52777378367</v>
      </c>
      <c r="L175" s="74"/>
      <c r="M175" s="74">
        <f t="shared" si="46"/>
        <v>170137.86902438145</v>
      </c>
    </row>
    <row r="176" spans="2:13" ht="11.25">
      <c r="B176" s="90" t="s">
        <v>160</v>
      </c>
      <c r="C176" s="73"/>
      <c r="D176" s="74"/>
      <c r="E176" s="74"/>
      <c r="F176" s="78">
        <f t="shared" si="45"/>
        <v>0</v>
      </c>
      <c r="G176" s="74">
        <f t="shared" si="47"/>
        <v>125178.34125059779</v>
      </c>
      <c r="H176" s="74"/>
      <c r="I176" s="75">
        <v>0.0055</v>
      </c>
      <c r="J176" s="74">
        <f t="shared" si="48"/>
        <v>57.37340640652399</v>
      </c>
      <c r="K176" s="74">
        <f t="shared" si="49"/>
        <v>45016.901180190194</v>
      </c>
      <c r="L176" s="74"/>
      <c r="M176" s="74">
        <f t="shared" si="46"/>
        <v>170195.242430788</v>
      </c>
    </row>
    <row r="177" spans="2:13" ht="11.25">
      <c r="B177" s="90" t="s">
        <v>161</v>
      </c>
      <c r="C177" s="73"/>
      <c r="D177" s="74"/>
      <c r="E177" s="74"/>
      <c r="F177" s="78">
        <f t="shared" si="45"/>
        <v>0</v>
      </c>
      <c r="G177" s="74">
        <f t="shared" si="47"/>
        <v>125178.34125059779</v>
      </c>
      <c r="H177" s="74"/>
      <c r="I177" s="75">
        <v>0.0055</v>
      </c>
      <c r="J177" s="74">
        <f t="shared" si="48"/>
        <v>57.37340640652399</v>
      </c>
      <c r="K177" s="74">
        <f t="shared" si="49"/>
        <v>45074.274586596715</v>
      </c>
      <c r="L177" s="74"/>
      <c r="M177" s="74">
        <f t="shared" si="46"/>
        <v>170252.6158371945</v>
      </c>
    </row>
    <row r="178" spans="2:13" ht="11.25">
      <c r="B178" s="90" t="s">
        <v>162</v>
      </c>
      <c r="C178" s="73"/>
      <c r="D178" s="74"/>
      <c r="E178" s="74"/>
      <c r="F178" s="78">
        <f t="shared" si="45"/>
        <v>0</v>
      </c>
      <c r="G178" s="74">
        <f t="shared" si="47"/>
        <v>125178.34125059779</v>
      </c>
      <c r="H178" s="74"/>
      <c r="I178" s="75">
        <v>0.0055</v>
      </c>
      <c r="J178" s="74">
        <f t="shared" si="48"/>
        <v>57.37340640652399</v>
      </c>
      <c r="K178" s="74">
        <f t="shared" si="49"/>
        <v>45131.64799300324</v>
      </c>
      <c r="L178" s="74"/>
      <c r="M178" s="74">
        <f t="shared" si="46"/>
        <v>170309.98924360104</v>
      </c>
    </row>
    <row r="179" spans="2:13" ht="11.25">
      <c r="B179" s="90" t="s">
        <v>163</v>
      </c>
      <c r="C179" s="73"/>
      <c r="D179" s="74"/>
      <c r="E179" s="74"/>
      <c r="F179" s="78">
        <f t="shared" si="45"/>
        <v>0</v>
      </c>
      <c r="G179" s="74">
        <f t="shared" si="47"/>
        <v>125178.34125059779</v>
      </c>
      <c r="H179" s="74"/>
      <c r="I179" s="75">
        <v>0.0089</v>
      </c>
      <c r="J179" s="74">
        <f t="shared" si="48"/>
        <v>92.84060309419336</v>
      </c>
      <c r="K179" s="74">
        <f t="shared" si="49"/>
        <v>45224.48859609743</v>
      </c>
      <c r="L179" s="74"/>
      <c r="M179" s="74">
        <f t="shared" si="46"/>
        <v>170402.8298466952</v>
      </c>
    </row>
    <row r="180" spans="2:13" ht="11.25">
      <c r="B180" s="90" t="s">
        <v>164</v>
      </c>
      <c r="C180" s="73"/>
      <c r="D180" s="74"/>
      <c r="E180" s="74"/>
      <c r="F180" s="78">
        <f t="shared" si="45"/>
        <v>0</v>
      </c>
      <c r="G180" s="74">
        <f t="shared" si="47"/>
        <v>125178.34125059779</v>
      </c>
      <c r="H180" s="74"/>
      <c r="I180" s="75">
        <v>0.0089</v>
      </c>
      <c r="J180" s="74">
        <f t="shared" si="48"/>
        <v>92.84060309419336</v>
      </c>
      <c r="K180" s="74">
        <f t="shared" si="49"/>
        <v>45317.32919919162</v>
      </c>
      <c r="L180" s="74"/>
      <c r="M180" s="74">
        <f t="shared" si="46"/>
        <v>170495.6704497894</v>
      </c>
    </row>
    <row r="181" spans="2:13" ht="11.25">
      <c r="B181" s="90" t="s">
        <v>165</v>
      </c>
      <c r="C181" s="73"/>
      <c r="D181" s="74"/>
      <c r="E181" s="74"/>
      <c r="F181" s="78">
        <f t="shared" si="45"/>
        <v>0</v>
      </c>
      <c r="G181" s="74">
        <f t="shared" si="47"/>
        <v>125178.34125059779</v>
      </c>
      <c r="H181" s="74"/>
      <c r="I181" s="75">
        <v>0.0089</v>
      </c>
      <c r="J181" s="74">
        <f t="shared" si="48"/>
        <v>92.84060309419336</v>
      </c>
      <c r="K181" s="74">
        <f t="shared" si="49"/>
        <v>45410.16980228581</v>
      </c>
      <c r="L181" s="74"/>
      <c r="M181" s="74">
        <f t="shared" si="46"/>
        <v>170588.5110528836</v>
      </c>
    </row>
    <row r="182" spans="2:13" ht="11.25">
      <c r="B182" s="90" t="s">
        <v>153</v>
      </c>
      <c r="C182" s="73"/>
      <c r="D182" s="74"/>
      <c r="E182" s="74"/>
      <c r="F182" s="78">
        <f t="shared" si="45"/>
        <v>0</v>
      </c>
      <c r="G182" s="74">
        <f t="shared" si="47"/>
        <v>125178.34125059779</v>
      </c>
      <c r="H182" s="74"/>
      <c r="I182" s="75">
        <v>0.012</v>
      </c>
      <c r="J182" s="74">
        <f t="shared" si="48"/>
        <v>125.1783412505978</v>
      </c>
      <c r="K182" s="74">
        <f t="shared" si="49"/>
        <v>45535.34814353641</v>
      </c>
      <c r="L182" s="74"/>
      <c r="M182" s="74">
        <f t="shared" si="46"/>
        <v>170713.6893941342</v>
      </c>
    </row>
    <row r="183" spans="2:13" ht="11.25">
      <c r="B183" s="90" t="s">
        <v>154</v>
      </c>
      <c r="C183" s="73"/>
      <c r="D183" s="74"/>
      <c r="E183" s="74"/>
      <c r="F183" s="78">
        <f t="shared" si="45"/>
        <v>0</v>
      </c>
      <c r="G183" s="74">
        <f t="shared" si="47"/>
        <v>125178.34125059779</v>
      </c>
      <c r="H183" s="74"/>
      <c r="I183" s="75">
        <v>0.012</v>
      </c>
      <c r="J183" s="74">
        <f t="shared" si="48"/>
        <v>125.1783412505978</v>
      </c>
      <c r="K183" s="74">
        <f t="shared" si="49"/>
        <v>45660.526484787006</v>
      </c>
      <c r="L183" s="74"/>
      <c r="M183" s="74">
        <f t="shared" si="46"/>
        <v>170838.8677353848</v>
      </c>
    </row>
    <row r="184" spans="2:13" ht="11.25">
      <c r="B184" s="93" t="s">
        <v>155</v>
      </c>
      <c r="C184" s="76"/>
      <c r="D184" s="77"/>
      <c r="E184" s="77"/>
      <c r="F184" s="77">
        <f t="shared" si="45"/>
        <v>0</v>
      </c>
      <c r="G184" s="77">
        <f t="shared" si="47"/>
        <v>125178.34125059779</v>
      </c>
      <c r="H184" s="78"/>
      <c r="I184" s="79">
        <v>0.012</v>
      </c>
      <c r="J184" s="77">
        <f t="shared" si="48"/>
        <v>125.1783412505978</v>
      </c>
      <c r="K184" s="77">
        <f t="shared" si="49"/>
        <v>45785.7048260376</v>
      </c>
      <c r="L184" s="78"/>
      <c r="M184" s="77">
        <f t="shared" si="46"/>
        <v>170964.0460766354</v>
      </c>
    </row>
    <row r="185" spans="2:13" ht="11.25">
      <c r="B185" s="90" t="s">
        <v>85</v>
      </c>
      <c r="C185" s="73">
        <f>SUM(C173:C184)</f>
        <v>0</v>
      </c>
      <c r="D185" s="73">
        <f>SUM(D173:D184)</f>
        <v>0</v>
      </c>
      <c r="E185" s="73">
        <f>SUM(E173:E184)</f>
        <v>0</v>
      </c>
      <c r="F185" s="73">
        <f>SUM(F173:F184)</f>
        <v>0</v>
      </c>
      <c r="G185" s="73"/>
      <c r="H185" s="73"/>
      <c r="I185" s="80"/>
      <c r="J185" s="73">
        <f>SUM(J173:J184)</f>
        <v>998.2972714735174</v>
      </c>
      <c r="K185" s="73"/>
      <c r="L185" s="73"/>
      <c r="M185" s="73"/>
    </row>
    <row r="186" spans="2:13" ht="11.25">
      <c r="B186" s="92"/>
      <c r="C186" s="73"/>
      <c r="D186" s="74"/>
      <c r="E186" s="74"/>
      <c r="F186" s="74"/>
      <c r="G186" s="74"/>
      <c r="H186" s="74"/>
      <c r="I186" s="91"/>
      <c r="J186" s="74"/>
      <c r="K186" s="74"/>
      <c r="L186" s="74"/>
      <c r="M186" s="74"/>
    </row>
    <row r="187" spans="2:13" ht="11.25">
      <c r="B187" s="92"/>
      <c r="C187" s="73"/>
      <c r="D187" s="74"/>
      <c r="E187" s="74"/>
      <c r="F187" s="74"/>
      <c r="G187" s="74"/>
      <c r="H187" s="74"/>
      <c r="I187" s="91"/>
      <c r="J187" s="74"/>
      <c r="K187" s="74"/>
      <c r="L187" s="74"/>
      <c r="M187" s="74"/>
    </row>
    <row r="188" spans="2:13" ht="11.25">
      <c r="B188" s="90" t="s">
        <v>140</v>
      </c>
      <c r="C188" s="69" t="s">
        <v>174</v>
      </c>
      <c r="D188" s="74"/>
      <c r="E188" s="74"/>
      <c r="F188" s="74"/>
      <c r="G188" s="74"/>
      <c r="H188" s="74"/>
      <c r="I188" s="91"/>
      <c r="J188" s="74"/>
      <c r="K188" s="74"/>
      <c r="L188" s="74"/>
      <c r="M188" s="74"/>
    </row>
    <row r="189" spans="2:13" ht="11.25">
      <c r="B189" s="92"/>
      <c r="C189" s="98" t="s">
        <v>142</v>
      </c>
      <c r="D189" s="99"/>
      <c r="E189" s="99"/>
      <c r="F189" s="99"/>
      <c r="G189" s="99"/>
      <c r="H189" s="74"/>
      <c r="I189" s="99" t="s">
        <v>143</v>
      </c>
      <c r="J189" s="99"/>
      <c r="K189" s="99"/>
      <c r="L189" s="74"/>
      <c r="M189" s="69" t="s">
        <v>85</v>
      </c>
    </row>
    <row r="190" spans="2:13" ht="11.25">
      <c r="B190" s="92"/>
      <c r="C190" s="69" t="s">
        <v>144</v>
      </c>
      <c r="D190" s="69" t="s">
        <v>36</v>
      </c>
      <c r="E190" s="71" t="s">
        <v>145</v>
      </c>
      <c r="F190" s="71" t="s">
        <v>146</v>
      </c>
      <c r="G190" s="71" t="s">
        <v>147</v>
      </c>
      <c r="H190" s="71"/>
      <c r="I190" s="72" t="s">
        <v>148</v>
      </c>
      <c r="J190" s="71" t="s">
        <v>149</v>
      </c>
      <c r="K190" s="71" t="s">
        <v>147</v>
      </c>
      <c r="L190" s="74"/>
      <c r="M190" s="69" t="s">
        <v>146</v>
      </c>
    </row>
    <row r="191" spans="2:13" ht="11.25">
      <c r="B191" s="92"/>
      <c r="C191" s="69" t="s">
        <v>37</v>
      </c>
      <c r="D191" s="69" t="s">
        <v>150</v>
      </c>
      <c r="E191" s="71" t="s">
        <v>151</v>
      </c>
      <c r="F191" s="71"/>
      <c r="G191" s="71"/>
      <c r="H191" s="71"/>
      <c r="I191" s="72" t="s">
        <v>152</v>
      </c>
      <c r="J191" s="71"/>
      <c r="K191" s="71"/>
      <c r="L191" s="74"/>
      <c r="M191" s="69"/>
    </row>
    <row r="192" spans="2:13" ht="11.25">
      <c r="B192" s="90" t="s">
        <v>157</v>
      </c>
      <c r="C192" s="73"/>
      <c r="D192" s="74"/>
      <c r="E192" s="74"/>
      <c r="F192" s="78">
        <f aca="true" t="shared" si="50" ref="F192:F203">C192-D192+E192</f>
        <v>0</v>
      </c>
      <c r="G192" s="74">
        <f>G184+F192</f>
        <v>125178.34125059779</v>
      </c>
      <c r="H192" s="74"/>
      <c r="I192" s="75">
        <v>0.0147</v>
      </c>
      <c r="J192" s="74">
        <f>G184*I192/12</f>
        <v>153.3434680319823</v>
      </c>
      <c r="K192" s="74">
        <f>K184+J192</f>
        <v>45939.04829406959</v>
      </c>
      <c r="L192" s="74"/>
      <c r="M192" s="74">
        <f>K192+G192</f>
        <v>171117.38954466739</v>
      </c>
    </row>
    <row r="193" spans="2:13" ht="11.25">
      <c r="B193" s="90" t="s">
        <v>158</v>
      </c>
      <c r="C193" s="73"/>
      <c r="D193" s="74"/>
      <c r="E193" s="74"/>
      <c r="F193" s="78">
        <f t="shared" si="50"/>
        <v>0</v>
      </c>
      <c r="G193" s="74">
        <f>G192+F193</f>
        <v>125178.34125059779</v>
      </c>
      <c r="H193" s="74"/>
      <c r="I193" s="75">
        <v>0.0147</v>
      </c>
      <c r="J193" s="74">
        <f>G192*I193/12</f>
        <v>153.3434680319823</v>
      </c>
      <c r="K193" s="74">
        <f>K192+J193</f>
        <v>46092.39176210157</v>
      </c>
      <c r="L193" s="74"/>
      <c r="M193" s="74">
        <f aca="true" t="shared" si="51" ref="M193:M203">K193+G193</f>
        <v>171270.73301269935</v>
      </c>
    </row>
    <row r="194" spans="2:13" ht="11.25">
      <c r="B194" s="90" t="s">
        <v>159</v>
      </c>
      <c r="C194" s="73"/>
      <c r="D194" s="74"/>
      <c r="E194" s="74"/>
      <c r="F194" s="78">
        <f t="shared" si="50"/>
        <v>0</v>
      </c>
      <c r="G194" s="74">
        <f aca="true" t="shared" si="52" ref="G194:G203">G193+F194</f>
        <v>125178.34125059779</v>
      </c>
      <c r="H194" s="74"/>
      <c r="I194" s="75">
        <v>0.0147</v>
      </c>
      <c r="J194" s="74">
        <f aca="true" t="shared" si="53" ref="J194:J203">G193*I194/12</f>
        <v>153.3434680319823</v>
      </c>
      <c r="K194" s="74">
        <f aca="true" t="shared" si="54" ref="K194:K203">K193+J194</f>
        <v>46245.735230133556</v>
      </c>
      <c r="L194" s="74"/>
      <c r="M194" s="74">
        <f t="shared" si="51"/>
        <v>171424.07648073134</v>
      </c>
    </row>
    <row r="195" spans="2:13" ht="11.25">
      <c r="B195" s="90" t="s">
        <v>160</v>
      </c>
      <c r="C195" s="73"/>
      <c r="D195" s="74"/>
      <c r="E195" s="74"/>
      <c r="F195" s="78">
        <f t="shared" si="50"/>
        <v>0</v>
      </c>
      <c r="G195" s="74">
        <f t="shared" si="52"/>
        <v>125178.34125059779</v>
      </c>
      <c r="H195" s="74"/>
      <c r="I195" s="75">
        <v>0.0147</v>
      </c>
      <c r="J195" s="74">
        <f t="shared" si="53"/>
        <v>153.3434680319823</v>
      </c>
      <c r="K195" s="74">
        <f t="shared" si="54"/>
        <v>46399.07869816554</v>
      </c>
      <c r="L195" s="74"/>
      <c r="M195" s="74">
        <f t="shared" si="51"/>
        <v>171577.41994876333</v>
      </c>
    </row>
    <row r="196" spans="2:13" ht="11.25">
      <c r="B196" s="90" t="s">
        <v>161</v>
      </c>
      <c r="C196" s="73"/>
      <c r="D196" s="74"/>
      <c r="E196" s="74"/>
      <c r="F196" s="78">
        <f t="shared" si="50"/>
        <v>0</v>
      </c>
      <c r="G196" s="74">
        <f t="shared" si="52"/>
        <v>125178.34125059779</v>
      </c>
      <c r="H196" s="74"/>
      <c r="I196" s="75">
        <v>0.0147</v>
      </c>
      <c r="J196" s="74">
        <f t="shared" si="53"/>
        <v>153.3434680319823</v>
      </c>
      <c r="K196" s="74">
        <f t="shared" si="54"/>
        <v>46552.422166197524</v>
      </c>
      <c r="L196" s="74"/>
      <c r="M196" s="74">
        <f t="shared" si="51"/>
        <v>171730.76341679532</v>
      </c>
    </row>
    <row r="197" spans="2:13" ht="11.25">
      <c r="B197" s="90" t="s">
        <v>162</v>
      </c>
      <c r="C197" s="73"/>
      <c r="D197" s="74"/>
      <c r="E197" s="74"/>
      <c r="F197" s="78">
        <f t="shared" si="50"/>
        <v>0</v>
      </c>
      <c r="G197" s="74">
        <f t="shared" si="52"/>
        <v>125178.34125059779</v>
      </c>
      <c r="H197" s="74"/>
      <c r="I197" s="75">
        <v>0.0147</v>
      </c>
      <c r="J197" s="74">
        <f t="shared" si="53"/>
        <v>153.3434680319823</v>
      </c>
      <c r="K197" s="74">
        <f t="shared" si="54"/>
        <v>46705.76563422951</v>
      </c>
      <c r="L197" s="74"/>
      <c r="M197" s="74">
        <f t="shared" si="51"/>
        <v>171884.1068848273</v>
      </c>
    </row>
    <row r="198" spans="2:13" ht="11.25">
      <c r="B198" s="90" t="s">
        <v>163</v>
      </c>
      <c r="C198" s="73"/>
      <c r="D198" s="74"/>
      <c r="E198" s="74"/>
      <c r="F198" s="78">
        <f t="shared" si="50"/>
        <v>0</v>
      </c>
      <c r="G198" s="74">
        <f t="shared" si="52"/>
        <v>125178.34125059779</v>
      </c>
      <c r="H198" s="74"/>
      <c r="I198" s="75">
        <v>0.0147</v>
      </c>
      <c r="J198" s="74">
        <f t="shared" si="53"/>
        <v>153.3434680319823</v>
      </c>
      <c r="K198" s="74">
        <f t="shared" si="54"/>
        <v>46859.10910226149</v>
      </c>
      <c r="L198" s="74"/>
      <c r="M198" s="74">
        <f t="shared" si="51"/>
        <v>172037.45035285928</v>
      </c>
    </row>
    <row r="199" spans="2:13" ht="11.25">
      <c r="B199" s="90" t="s">
        <v>164</v>
      </c>
      <c r="C199" s="73"/>
      <c r="D199" s="74"/>
      <c r="E199" s="74"/>
      <c r="F199" s="78">
        <f t="shared" si="50"/>
        <v>0</v>
      </c>
      <c r="G199" s="74">
        <f t="shared" si="52"/>
        <v>125178.34125059779</v>
      </c>
      <c r="H199" s="74"/>
      <c r="I199" s="75">
        <v>0.0147</v>
      </c>
      <c r="J199" s="74">
        <f t="shared" si="53"/>
        <v>153.3434680319823</v>
      </c>
      <c r="K199" s="74">
        <f t="shared" si="54"/>
        <v>47012.45257029348</v>
      </c>
      <c r="L199" s="74"/>
      <c r="M199" s="74">
        <f t="shared" si="51"/>
        <v>172190.79382089127</v>
      </c>
    </row>
    <row r="200" spans="2:13" ht="11.25">
      <c r="B200" s="90" t="s">
        <v>165</v>
      </c>
      <c r="C200" s="73"/>
      <c r="D200" s="74"/>
      <c r="E200" s="74"/>
      <c r="F200" s="78">
        <f t="shared" si="50"/>
        <v>0</v>
      </c>
      <c r="G200" s="74">
        <f t="shared" si="52"/>
        <v>125178.34125059779</v>
      </c>
      <c r="H200" s="74"/>
      <c r="I200" s="75">
        <v>0.0147</v>
      </c>
      <c r="J200" s="74">
        <f t="shared" si="53"/>
        <v>153.3434680319823</v>
      </c>
      <c r="K200" s="74">
        <f t="shared" si="54"/>
        <v>47165.79603832546</v>
      </c>
      <c r="L200" s="74"/>
      <c r="M200" s="74">
        <f t="shared" si="51"/>
        <v>172344.13728892326</v>
      </c>
    </row>
    <row r="201" spans="2:13" ht="11.25">
      <c r="B201" s="90" t="s">
        <v>153</v>
      </c>
      <c r="C201" s="73"/>
      <c r="D201" s="74"/>
      <c r="E201" s="74"/>
      <c r="F201" s="78">
        <f t="shared" si="50"/>
        <v>0</v>
      </c>
      <c r="G201" s="74">
        <f t="shared" si="52"/>
        <v>125178.34125059779</v>
      </c>
      <c r="H201" s="74"/>
      <c r="I201" s="75">
        <v>0.0147</v>
      </c>
      <c r="J201" s="74">
        <f t="shared" si="53"/>
        <v>153.3434680319823</v>
      </c>
      <c r="K201" s="74">
        <f t="shared" si="54"/>
        <v>47319.139506357445</v>
      </c>
      <c r="L201" s="74"/>
      <c r="M201" s="74">
        <f t="shared" si="51"/>
        <v>172497.48075695522</v>
      </c>
    </row>
    <row r="202" spans="2:13" ht="11.25">
      <c r="B202" s="90" t="s">
        <v>154</v>
      </c>
      <c r="C202" s="73"/>
      <c r="D202" s="74"/>
      <c r="E202" s="74"/>
      <c r="F202" s="78">
        <f t="shared" si="50"/>
        <v>0</v>
      </c>
      <c r="G202" s="74">
        <f t="shared" si="52"/>
        <v>125178.34125059779</v>
      </c>
      <c r="H202" s="74"/>
      <c r="I202" s="75">
        <v>0.0147</v>
      </c>
      <c r="J202" s="74">
        <f t="shared" si="53"/>
        <v>153.3434680319823</v>
      </c>
      <c r="K202" s="74">
        <f t="shared" si="54"/>
        <v>47472.48297438943</v>
      </c>
      <c r="L202" s="74"/>
      <c r="M202" s="74">
        <f t="shared" si="51"/>
        <v>172650.8242249872</v>
      </c>
    </row>
    <row r="203" spans="2:13" ht="11.25">
      <c r="B203" s="93" t="s">
        <v>155</v>
      </c>
      <c r="C203" s="76"/>
      <c r="D203" s="77"/>
      <c r="E203" s="77"/>
      <c r="F203" s="77">
        <f t="shared" si="50"/>
        <v>0</v>
      </c>
      <c r="G203" s="77">
        <f t="shared" si="52"/>
        <v>125178.34125059779</v>
      </c>
      <c r="H203" s="78"/>
      <c r="I203" s="79">
        <v>0.0147</v>
      </c>
      <c r="J203" s="77">
        <f t="shared" si="53"/>
        <v>153.3434680319823</v>
      </c>
      <c r="K203" s="77">
        <f t="shared" si="54"/>
        <v>47625.826442421414</v>
      </c>
      <c r="L203" s="78"/>
      <c r="M203" s="77">
        <f t="shared" si="51"/>
        <v>172804.1676930192</v>
      </c>
    </row>
    <row r="204" spans="2:13" ht="11.25">
      <c r="B204" s="90" t="s">
        <v>85</v>
      </c>
      <c r="C204" s="73">
        <f>SUM(C192:C203)</f>
        <v>0</v>
      </c>
      <c r="D204" s="73">
        <f>SUM(D192:D203)</f>
        <v>0</v>
      </c>
      <c r="E204" s="73">
        <f>SUM(E192:E203)</f>
        <v>0</v>
      </c>
      <c r="F204" s="73">
        <f>SUM(F192:F203)</f>
        <v>0</v>
      </c>
      <c r="G204" s="73"/>
      <c r="H204" s="73"/>
      <c r="I204" s="80"/>
      <c r="J204" s="73">
        <f>SUM(J192:J203)</f>
        <v>1840.121616383788</v>
      </c>
      <c r="K204" s="73"/>
      <c r="L204" s="73"/>
      <c r="M204" s="73"/>
    </row>
    <row r="205" spans="2:13" ht="11.25">
      <c r="B205" s="92"/>
      <c r="C205" s="73"/>
      <c r="D205" s="74"/>
      <c r="E205" s="74"/>
      <c r="F205" s="74"/>
      <c r="G205" s="74"/>
      <c r="H205" s="74"/>
      <c r="I205" s="91"/>
      <c r="J205" s="74"/>
      <c r="K205" s="74"/>
      <c r="L205" s="74"/>
      <c r="M205" s="74"/>
    </row>
    <row r="206" spans="2:13" ht="11.25">
      <c r="B206" s="92"/>
      <c r="C206" s="73"/>
      <c r="D206" s="74"/>
      <c r="E206" s="74"/>
      <c r="F206" s="74"/>
      <c r="G206" s="74"/>
      <c r="H206" s="74"/>
      <c r="I206" s="91"/>
      <c r="J206" s="74"/>
      <c r="K206" s="74"/>
      <c r="L206" s="74"/>
      <c r="M206" s="74"/>
    </row>
    <row r="207" spans="2:13" ht="11.25">
      <c r="B207" s="92"/>
      <c r="C207" s="73"/>
      <c r="D207" s="74"/>
      <c r="E207" s="74"/>
      <c r="F207" s="74"/>
      <c r="G207" s="74"/>
      <c r="H207" s="74"/>
      <c r="I207" s="91"/>
      <c r="J207" s="74"/>
      <c r="K207" s="74"/>
      <c r="L207" s="74"/>
      <c r="M207" s="74"/>
    </row>
    <row r="208" spans="2:13" ht="11.25">
      <c r="B208" s="90" t="s">
        <v>140</v>
      </c>
      <c r="C208" s="69" t="s">
        <v>175</v>
      </c>
      <c r="D208" s="74"/>
      <c r="E208" s="74"/>
      <c r="F208" s="74"/>
      <c r="G208" s="74"/>
      <c r="H208" s="74"/>
      <c r="I208" s="91"/>
      <c r="J208" s="74"/>
      <c r="K208" s="74"/>
      <c r="L208" s="74"/>
      <c r="M208" s="74"/>
    </row>
    <row r="209" spans="2:13" ht="11.25">
      <c r="B209" s="92"/>
      <c r="C209" s="98" t="s">
        <v>142</v>
      </c>
      <c r="D209" s="99"/>
      <c r="E209" s="99"/>
      <c r="F209" s="99"/>
      <c r="G209" s="99"/>
      <c r="H209" s="74"/>
      <c r="I209" s="99" t="s">
        <v>143</v>
      </c>
      <c r="J209" s="99"/>
      <c r="K209" s="99"/>
      <c r="L209" s="74"/>
      <c r="M209" s="69" t="s">
        <v>85</v>
      </c>
    </row>
    <row r="210" spans="2:13" ht="11.25">
      <c r="B210" s="92"/>
      <c r="C210" s="69" t="s">
        <v>144</v>
      </c>
      <c r="D210" s="69" t="s">
        <v>36</v>
      </c>
      <c r="E210" s="71" t="s">
        <v>145</v>
      </c>
      <c r="F210" s="71" t="s">
        <v>146</v>
      </c>
      <c r="G210" s="71" t="s">
        <v>147</v>
      </c>
      <c r="H210" s="71"/>
      <c r="I210" s="72" t="s">
        <v>148</v>
      </c>
      <c r="J210" s="71" t="s">
        <v>149</v>
      </c>
      <c r="K210" s="71" t="s">
        <v>147</v>
      </c>
      <c r="L210" s="74"/>
      <c r="M210" s="69" t="s">
        <v>146</v>
      </c>
    </row>
    <row r="211" spans="2:13" ht="11.25">
      <c r="B211" s="92"/>
      <c r="C211" s="69" t="s">
        <v>37</v>
      </c>
      <c r="D211" s="69" t="s">
        <v>150</v>
      </c>
      <c r="E211" s="71" t="s">
        <v>151</v>
      </c>
      <c r="F211" s="71"/>
      <c r="G211" s="71"/>
      <c r="H211" s="71"/>
      <c r="I211" s="72" t="s">
        <v>152</v>
      </c>
      <c r="J211" s="71"/>
      <c r="K211" s="71"/>
      <c r="L211" s="74"/>
      <c r="M211" s="69"/>
    </row>
    <row r="212" spans="2:13" ht="11.25">
      <c r="B212" s="90" t="s">
        <v>157</v>
      </c>
      <c r="C212" s="73"/>
      <c r="D212" s="74"/>
      <c r="E212" s="74"/>
      <c r="F212" s="74">
        <f>C212-D212</f>
        <v>0</v>
      </c>
      <c r="G212" s="74">
        <f>G203+F212</f>
        <v>125178.34125059779</v>
      </c>
      <c r="H212" s="74"/>
      <c r="I212" s="75">
        <v>0.0147</v>
      </c>
      <c r="J212" s="74">
        <f>G203*I212/12</f>
        <v>153.3434680319823</v>
      </c>
      <c r="K212" s="74">
        <f>K203+J212</f>
        <v>47779.1699104534</v>
      </c>
      <c r="L212" s="74"/>
      <c r="M212" s="74">
        <f>K212+G212</f>
        <v>172957.5111610512</v>
      </c>
    </row>
    <row r="213" spans="2:13" ht="11.25">
      <c r="B213" s="90" t="s">
        <v>158</v>
      </c>
      <c r="C213" s="73"/>
      <c r="D213" s="74"/>
      <c r="E213" s="74"/>
      <c r="F213" s="74">
        <f>C213-D213</f>
        <v>0</v>
      </c>
      <c r="G213" s="74">
        <f>G212+F213</f>
        <v>125178.34125059779</v>
      </c>
      <c r="H213" s="74"/>
      <c r="I213" s="75">
        <v>0.0147</v>
      </c>
      <c r="J213" s="74">
        <f>G212*I213/12</f>
        <v>153.3434680319823</v>
      </c>
      <c r="K213" s="74">
        <f>K212+J213</f>
        <v>47932.51337848538</v>
      </c>
      <c r="L213" s="74"/>
      <c r="M213" s="74">
        <f>K213+G213</f>
        <v>173110.8546290832</v>
      </c>
    </row>
    <row r="214" spans="2:13" ht="11.25">
      <c r="B214" s="90" t="s">
        <v>159</v>
      </c>
      <c r="C214" s="73"/>
      <c r="D214" s="74"/>
      <c r="E214" s="74"/>
      <c r="F214" s="74">
        <f>C214-D214</f>
        <v>0</v>
      </c>
      <c r="G214" s="74">
        <f>G213+F214</f>
        <v>125178.34125059779</v>
      </c>
      <c r="H214" s="74"/>
      <c r="I214" s="75">
        <v>0.0147</v>
      </c>
      <c r="J214" s="74">
        <f>G213*I214/12</f>
        <v>153.3434680319823</v>
      </c>
      <c r="K214" s="74">
        <f>K213+J214</f>
        <v>48085.85684651737</v>
      </c>
      <c r="L214" s="74"/>
      <c r="M214" s="74">
        <f>K214+G214</f>
        <v>173264.19809711515</v>
      </c>
    </row>
    <row r="215" spans="2:17" ht="11.25">
      <c r="B215" s="93" t="s">
        <v>160</v>
      </c>
      <c r="C215" s="76"/>
      <c r="D215" s="77"/>
      <c r="E215" s="77"/>
      <c r="F215" s="77">
        <f>C215-D215</f>
        <v>0</v>
      </c>
      <c r="G215" s="77">
        <f>G214+F215</f>
        <v>125178.34125059779</v>
      </c>
      <c r="H215" s="78"/>
      <c r="I215" s="79">
        <v>0.0147</v>
      </c>
      <c r="J215" s="77">
        <f>G214*I215/12</f>
        <v>153.3434680319823</v>
      </c>
      <c r="K215" s="77">
        <f>K214+J215</f>
        <v>48239.20031454935</v>
      </c>
      <c r="L215" s="78"/>
      <c r="M215" s="77">
        <f>K215+G215</f>
        <v>173417.54156514714</v>
      </c>
      <c r="Q215" s="49"/>
    </row>
    <row r="216" spans="2:13" ht="11.25">
      <c r="B216" s="90" t="s">
        <v>85</v>
      </c>
      <c r="C216" s="73">
        <f>SUM(C212:C215)</f>
        <v>0</v>
      </c>
      <c r="D216" s="73">
        <f>SUM(D212:D215)</f>
        <v>0</v>
      </c>
      <c r="E216" s="73">
        <f>SUM(E212:E215)</f>
        <v>0</v>
      </c>
      <c r="F216" s="73">
        <f>SUM(F212:F215)</f>
        <v>0</v>
      </c>
      <c r="G216" s="73"/>
      <c r="H216" s="73"/>
      <c r="I216" s="80"/>
      <c r="J216" s="73">
        <f>SUM(J212:J215)</f>
        <v>613.3738721279292</v>
      </c>
      <c r="K216" s="73"/>
      <c r="L216" s="73"/>
      <c r="M216" s="73"/>
    </row>
    <row r="217" spans="2:13" ht="11.25">
      <c r="B217" s="92"/>
      <c r="C217" s="73"/>
      <c r="D217" s="74"/>
      <c r="E217" s="74"/>
      <c r="F217" s="74"/>
      <c r="G217" s="74"/>
      <c r="H217" s="74"/>
      <c r="I217" s="91"/>
      <c r="J217" s="74"/>
      <c r="K217" s="74"/>
      <c r="L217" s="74"/>
      <c r="M217" s="74"/>
    </row>
    <row r="218" spans="2:13" ht="11.25">
      <c r="B218" s="92"/>
      <c r="C218" s="73"/>
      <c r="D218" s="74"/>
      <c r="E218" s="74"/>
      <c r="F218" s="74"/>
      <c r="G218" s="74"/>
      <c r="H218" s="74"/>
      <c r="I218" s="91"/>
      <c r="J218" s="74"/>
      <c r="K218" s="74"/>
      <c r="L218" s="74"/>
      <c r="M218" s="74"/>
    </row>
    <row r="219" spans="2:13" ht="11.25">
      <c r="B219" s="92"/>
      <c r="C219" s="73"/>
      <c r="D219" s="74"/>
      <c r="E219" s="74"/>
      <c r="F219" s="74"/>
      <c r="G219" s="74"/>
      <c r="H219" s="74"/>
      <c r="I219" s="91"/>
      <c r="J219" s="74"/>
      <c r="K219" s="74"/>
      <c r="L219" s="74"/>
      <c r="M219" s="74"/>
    </row>
    <row r="220" spans="2:13" ht="11.25">
      <c r="B220" s="92"/>
      <c r="C220" s="73"/>
      <c r="D220" s="74"/>
      <c r="E220" s="74"/>
      <c r="F220" s="74"/>
      <c r="G220" s="74">
        <f>F216+F204+F185+F166+F146+F126+F107+F87+F67+F47+F28+F9</f>
        <v>125178.34125059783</v>
      </c>
      <c r="H220" s="74"/>
      <c r="I220" s="91"/>
      <c r="J220" s="74"/>
      <c r="K220" s="74">
        <f>J216+J204+J185+J166+J146+J126+J107+J87+J67+J47+J28+J9</f>
        <v>48239.20031454934</v>
      </c>
      <c r="L220" s="74"/>
      <c r="M220" s="74"/>
    </row>
    <row r="221" spans="2:13" ht="11.25">
      <c r="B221" s="92"/>
      <c r="C221" s="73"/>
      <c r="D221" s="74"/>
      <c r="E221" s="74"/>
      <c r="F221" s="74"/>
      <c r="G221" s="74"/>
      <c r="H221" s="74"/>
      <c r="I221" s="91"/>
      <c r="J221" s="74"/>
      <c r="K221" s="74"/>
      <c r="L221" s="74"/>
      <c r="M221" s="74"/>
    </row>
    <row r="222" spans="2:13" ht="11.25">
      <c r="B222" s="92"/>
      <c r="C222" s="73"/>
      <c r="D222" s="74"/>
      <c r="E222" s="74"/>
      <c r="F222" s="74" t="s">
        <v>176</v>
      </c>
      <c r="G222" s="74">
        <f>G215-G220</f>
        <v>0</v>
      </c>
      <c r="H222" s="74"/>
      <c r="I222" s="91"/>
      <c r="J222" s="74"/>
      <c r="K222" s="74">
        <f>K215-K220</f>
        <v>0</v>
      </c>
      <c r="L222" s="74"/>
      <c r="M222" s="74"/>
    </row>
    <row r="223" spans="2:13" ht="12.75">
      <c r="B223" s="86"/>
      <c r="C223" s="87"/>
      <c r="D223" s="88"/>
      <c r="E223" s="88"/>
      <c r="F223" s="88"/>
      <c r="G223" s="88"/>
      <c r="H223" s="88"/>
      <c r="I223" s="89"/>
      <c r="J223" s="88"/>
      <c r="K223" s="88"/>
      <c r="L223" s="88"/>
      <c r="M223" s="88"/>
    </row>
    <row r="224" spans="2:13" ht="11.25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</row>
  </sheetData>
  <sheetProtection/>
  <mergeCells count="24">
    <mergeCell ref="C209:G209"/>
    <mergeCell ref="I209:K209"/>
    <mergeCell ref="C3:G3"/>
    <mergeCell ref="I3:K3"/>
    <mergeCell ref="C13:G13"/>
    <mergeCell ref="I13:K13"/>
    <mergeCell ref="C32:G32"/>
    <mergeCell ref="I32:K32"/>
    <mergeCell ref="C151:G151"/>
    <mergeCell ref="I151:K151"/>
    <mergeCell ref="C52:G52"/>
    <mergeCell ref="I52:K52"/>
    <mergeCell ref="C72:G72"/>
    <mergeCell ref="I72:K72"/>
    <mergeCell ref="C92:G92"/>
    <mergeCell ref="I92:K92"/>
    <mergeCell ref="C170:G170"/>
    <mergeCell ref="I170:K170"/>
    <mergeCell ref="C189:G189"/>
    <mergeCell ref="I189:K189"/>
    <mergeCell ref="C111:G111"/>
    <mergeCell ref="I111:K111"/>
    <mergeCell ref="C131:G131"/>
    <mergeCell ref="I131:K131"/>
  </mergeCells>
  <printOptions/>
  <pageMargins left="0.7" right="0.7" top="0.75" bottom="0.71" header="0.3" footer="0.3"/>
  <pageSetup fitToHeight="0" fitToWidth="1" orientation="portrait" scale="75" r:id="rId1"/>
  <headerFooter>
    <oddHeader>&amp;C&amp;"Arial,Bold"PILS VARIANCE ACCOUNT ANALYSIS
Continuity Schedule
2001 to 2012</oddHeader>
  </headerFooter>
  <rowBreaks count="2" manualBreakCount="2">
    <brk id="69" min="1" max="12" man="1"/>
    <brk id="148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zoomScalePageLayoutView="0" workbookViewId="0" topLeftCell="A25">
      <selection activeCell="B47" sqref="B47"/>
    </sheetView>
  </sheetViews>
  <sheetFormatPr defaultColWidth="9.140625" defaultRowHeight="12.75"/>
  <cols>
    <col min="1" max="1" width="9.140625" style="3" customWidth="1"/>
    <col min="2" max="2" width="12.140625" style="3" customWidth="1"/>
    <col min="3" max="3" width="14.140625" style="3" customWidth="1"/>
    <col min="4" max="4" width="10.57421875" style="3" customWidth="1"/>
    <col min="5" max="6" width="10.8515625" style="3" customWidth="1"/>
    <col min="7" max="7" width="9.8515625" style="3" customWidth="1"/>
    <col min="8" max="8" width="12.7109375" style="3" customWidth="1"/>
    <col min="9" max="9" width="14.421875" style="5" customWidth="1"/>
    <col min="10" max="10" width="11.28125" style="3" customWidth="1"/>
    <col min="11" max="11" width="11.421875" style="3" customWidth="1"/>
    <col min="12" max="12" width="10.8515625" style="3" customWidth="1"/>
    <col min="13" max="13" width="9.8515625" style="3" bestFit="1" customWidth="1"/>
    <col min="14" max="16384" width="9.140625" style="3" customWidth="1"/>
  </cols>
  <sheetData>
    <row r="1" spans="1:12" ht="11.25">
      <c r="A1" s="4" t="s">
        <v>52</v>
      </c>
      <c r="C1" s="5"/>
      <c r="D1" s="103" t="s">
        <v>53</v>
      </c>
      <c r="E1" s="103"/>
      <c r="F1" s="103"/>
      <c r="G1" s="103"/>
      <c r="H1" s="103"/>
      <c r="J1" s="43"/>
      <c r="K1" s="43"/>
      <c r="L1" s="43"/>
    </row>
    <row r="2" spans="2:12" ht="11.25">
      <c r="B2" s="5"/>
      <c r="C2" s="5"/>
      <c r="D2" s="103" t="s">
        <v>112</v>
      </c>
      <c r="E2" s="103"/>
      <c r="F2" s="103"/>
      <c r="G2" s="103"/>
      <c r="H2" s="103"/>
      <c r="J2" s="43"/>
      <c r="K2" s="43"/>
      <c r="L2" s="43"/>
    </row>
    <row r="3" spans="2:12" ht="11.25">
      <c r="B3" s="5"/>
      <c r="C3" s="5"/>
      <c r="D3" s="103" t="s">
        <v>43</v>
      </c>
      <c r="E3" s="104"/>
      <c r="F3" s="104"/>
      <c r="G3" s="104"/>
      <c r="H3" s="104"/>
      <c r="J3" s="43"/>
      <c r="K3" s="43"/>
      <c r="L3" s="43"/>
    </row>
    <row r="4" spans="2:12" ht="11.25">
      <c r="B4" s="5"/>
      <c r="C4" s="5"/>
      <c r="D4" s="9"/>
      <c r="E4" s="10"/>
      <c r="F4" s="10"/>
      <c r="H4" s="43"/>
      <c r="J4" s="43"/>
      <c r="K4" s="43"/>
      <c r="L4" s="43"/>
    </row>
    <row r="5" spans="1:12" ht="11.25">
      <c r="A5" s="4" t="s">
        <v>184</v>
      </c>
      <c r="B5" s="60"/>
      <c r="C5" s="18" t="s">
        <v>185</v>
      </c>
      <c r="D5" s="9"/>
      <c r="E5" s="10"/>
      <c r="F5" s="10"/>
      <c r="H5" s="43"/>
      <c r="J5" s="43"/>
      <c r="K5" s="43"/>
      <c r="L5" s="43"/>
    </row>
    <row r="6" spans="2:12" ht="11.25">
      <c r="B6" s="5"/>
      <c r="C6" s="5"/>
      <c r="D6" s="9"/>
      <c r="E6" s="10"/>
      <c r="F6" s="10"/>
      <c r="H6" s="43"/>
      <c r="J6" s="43"/>
      <c r="K6" s="43"/>
      <c r="L6" s="43"/>
    </row>
    <row r="7" spans="1:12" ht="11.25">
      <c r="A7" s="4" t="s">
        <v>0</v>
      </c>
      <c r="B7" s="12" t="s">
        <v>1</v>
      </c>
      <c r="C7" s="12" t="s">
        <v>2</v>
      </c>
      <c r="D7" s="13" t="s">
        <v>3</v>
      </c>
      <c r="E7" s="14" t="s">
        <v>4</v>
      </c>
      <c r="F7" s="14" t="s">
        <v>4</v>
      </c>
      <c r="G7" s="11" t="s">
        <v>5</v>
      </c>
      <c r="H7" s="45" t="s">
        <v>3</v>
      </c>
      <c r="I7" s="12" t="s">
        <v>110</v>
      </c>
      <c r="J7" s="45" t="s">
        <v>7</v>
      </c>
      <c r="K7" s="45" t="s">
        <v>8</v>
      </c>
      <c r="L7" s="45" t="s">
        <v>9</v>
      </c>
    </row>
    <row r="8" spans="1:12" ht="11.25">
      <c r="A8" s="4"/>
      <c r="B8" s="12" t="s">
        <v>10</v>
      </c>
      <c r="C8" s="12" t="s">
        <v>11</v>
      </c>
      <c r="D8" s="13" t="s">
        <v>12</v>
      </c>
      <c r="E8" s="14" t="s">
        <v>13</v>
      </c>
      <c r="F8" s="14" t="s">
        <v>109</v>
      </c>
      <c r="G8" s="11"/>
      <c r="H8" s="45" t="s">
        <v>14</v>
      </c>
      <c r="I8" s="12" t="s">
        <v>111</v>
      </c>
      <c r="J8" s="45" t="s">
        <v>16</v>
      </c>
      <c r="K8" s="45" t="s">
        <v>16</v>
      </c>
      <c r="L8" s="45" t="s">
        <v>16</v>
      </c>
    </row>
    <row r="9" spans="2:12" ht="11.25">
      <c r="B9" s="5"/>
      <c r="C9" s="5"/>
      <c r="D9" s="9"/>
      <c r="E9" s="10"/>
      <c r="F9" s="10"/>
      <c r="H9" s="43"/>
      <c r="J9" s="43"/>
      <c r="K9" s="43"/>
      <c r="L9" s="43"/>
    </row>
    <row r="10" spans="1:12" ht="11.25">
      <c r="A10" s="11" t="s">
        <v>17</v>
      </c>
      <c r="B10" s="41">
        <f>'2004 Mar-Dec Fixed Variable Cal'!F81</f>
        <v>0.8457900000000003</v>
      </c>
      <c r="C10" s="41">
        <f>'2004 Mar-Dec Fixed Variable Cal'!G81</f>
        <v>0.001999380952380952</v>
      </c>
      <c r="D10" s="9">
        <v>11.3</v>
      </c>
      <c r="E10" s="10">
        <f>B10/D10</f>
        <v>0.0748486725663717</v>
      </c>
      <c r="F10" s="10">
        <f>'2004 Mar-Dec Fixed Variable Cal'!G95</f>
        <v>0.11761064425770305</v>
      </c>
      <c r="G10" s="3" t="s">
        <v>38</v>
      </c>
      <c r="H10" s="47">
        <v>63684.32</v>
      </c>
      <c r="I10" s="27">
        <v>76763.46</v>
      </c>
      <c r="J10" s="47">
        <f>E10*H10</f>
        <v>4766.686815292037</v>
      </c>
      <c r="K10" s="43">
        <f aca="true" t="shared" si="0" ref="K10:K21">I10*$F$10</f>
        <v>9028.199986050418</v>
      </c>
      <c r="L10" s="43">
        <f aca="true" t="shared" si="1" ref="L10:L21">+J10+K10</f>
        <v>13794.886801342454</v>
      </c>
    </row>
    <row r="11" spans="2:12" ht="11.25">
      <c r="B11" s="5"/>
      <c r="C11" s="5"/>
      <c r="D11" s="9"/>
      <c r="E11" s="10"/>
      <c r="F11" s="10"/>
      <c r="G11" s="3" t="s">
        <v>39</v>
      </c>
      <c r="H11" s="47">
        <v>66180.69</v>
      </c>
      <c r="I11" s="27">
        <v>89682.47</v>
      </c>
      <c r="J11" s="47">
        <f>E10*H11</f>
        <v>4953.53679602655</v>
      </c>
      <c r="K11" s="43">
        <f t="shared" si="0"/>
        <v>10547.613075322126</v>
      </c>
      <c r="L11" s="43">
        <f t="shared" si="1"/>
        <v>15501.149871348676</v>
      </c>
    </row>
    <row r="12" spans="2:12" ht="11.25">
      <c r="B12" s="5"/>
      <c r="C12" s="5"/>
      <c r="D12" s="9"/>
      <c r="E12" s="10"/>
      <c r="F12" s="10"/>
      <c r="G12" s="3" t="s">
        <v>18</v>
      </c>
      <c r="H12" s="47">
        <v>61981.7</v>
      </c>
      <c r="I12" s="27">
        <v>80037.38</v>
      </c>
      <c r="J12" s="47">
        <f>+$E$10*H12</f>
        <v>4639.24796840708</v>
      </c>
      <c r="K12" s="43">
        <f t="shared" si="0"/>
        <v>9413.247826498598</v>
      </c>
      <c r="L12" s="43">
        <f t="shared" si="1"/>
        <v>14052.495794905679</v>
      </c>
    </row>
    <row r="13" spans="2:12" ht="11.25">
      <c r="B13" s="5"/>
      <c r="C13" s="5"/>
      <c r="D13" s="9"/>
      <c r="E13" s="10"/>
      <c r="F13" s="10"/>
      <c r="G13" s="3" t="s">
        <v>19</v>
      </c>
      <c r="H13" s="47">
        <v>62174.05</v>
      </c>
      <c r="I13" s="27">
        <v>75538.98</v>
      </c>
      <c r="J13" s="47">
        <f aca="true" t="shared" si="2" ref="J13:J21">+$E$10*H13</f>
        <v>4653.645110575223</v>
      </c>
      <c r="K13" s="43">
        <f t="shared" si="0"/>
        <v>8884.188104369745</v>
      </c>
      <c r="L13" s="43">
        <f t="shared" si="1"/>
        <v>13537.833214944967</v>
      </c>
    </row>
    <row r="14" spans="2:12" ht="11.25">
      <c r="B14" s="5"/>
      <c r="C14" s="5"/>
      <c r="D14" s="9"/>
      <c r="E14" s="10"/>
      <c r="F14" s="10"/>
      <c r="G14" s="3" t="s">
        <v>20</v>
      </c>
      <c r="H14" s="47">
        <v>24445.07</v>
      </c>
      <c r="I14" s="27">
        <v>24632.68</v>
      </c>
      <c r="J14" s="47">
        <f t="shared" si="2"/>
        <v>1829.681040292036</v>
      </c>
      <c r="K14" s="43">
        <f t="shared" si="0"/>
        <v>2897.065364593837</v>
      </c>
      <c r="L14" s="43">
        <f t="shared" si="1"/>
        <v>4726.746404885873</v>
      </c>
    </row>
    <row r="15" spans="2:12" ht="11.25">
      <c r="B15" s="5"/>
      <c r="C15" s="40"/>
      <c r="D15" s="32"/>
      <c r="E15" s="10"/>
      <c r="F15" s="10"/>
      <c r="G15" s="3" t="s">
        <v>21</v>
      </c>
      <c r="H15" s="47">
        <v>224.92</v>
      </c>
      <c r="I15" s="27">
        <v>46.23</v>
      </c>
      <c r="J15" s="47">
        <f t="shared" si="2"/>
        <v>16.834963433628324</v>
      </c>
      <c r="K15" s="43">
        <f t="shared" si="0"/>
        <v>5.4371400840336115</v>
      </c>
      <c r="L15" s="43">
        <f t="shared" si="1"/>
        <v>22.272103517661936</v>
      </c>
    </row>
    <row r="16" spans="2:12" ht="11.25">
      <c r="B16" s="5"/>
      <c r="C16" s="40"/>
      <c r="D16" s="32"/>
      <c r="E16" s="10"/>
      <c r="F16" s="10"/>
      <c r="G16" s="3" t="s">
        <v>22</v>
      </c>
      <c r="H16" s="47">
        <v>22.6</v>
      </c>
      <c r="I16" s="27">
        <v>36.16</v>
      </c>
      <c r="J16" s="47">
        <f t="shared" si="2"/>
        <v>1.6915800000000005</v>
      </c>
      <c r="K16" s="43">
        <f t="shared" si="0"/>
        <v>4.252800896358542</v>
      </c>
      <c r="L16" s="43">
        <f t="shared" si="1"/>
        <v>5.944380896358542</v>
      </c>
    </row>
    <row r="17" spans="2:12" ht="11.25">
      <c r="B17" s="5"/>
      <c r="C17" s="40"/>
      <c r="D17" s="32"/>
      <c r="E17" s="10"/>
      <c r="F17" s="10"/>
      <c r="G17" s="3" t="s">
        <v>23</v>
      </c>
      <c r="H17" s="47">
        <v>45.57</v>
      </c>
      <c r="I17" s="27">
        <v>69.07</v>
      </c>
      <c r="J17" s="47">
        <f t="shared" si="2"/>
        <v>3.4108540088495585</v>
      </c>
      <c r="K17" s="43">
        <f t="shared" si="0"/>
        <v>8.12336719887955</v>
      </c>
      <c r="L17" s="43">
        <f t="shared" si="1"/>
        <v>11.534221207729107</v>
      </c>
    </row>
    <row r="18" spans="2:12" ht="11.25">
      <c r="B18" s="5"/>
      <c r="C18" s="40"/>
      <c r="D18" s="32"/>
      <c r="E18" s="10"/>
      <c r="F18" s="10"/>
      <c r="G18" s="3" t="s">
        <v>24</v>
      </c>
      <c r="H18" s="47">
        <v>0</v>
      </c>
      <c r="I18" s="27">
        <v>0</v>
      </c>
      <c r="J18" s="47">
        <f t="shared" si="2"/>
        <v>0</v>
      </c>
      <c r="K18" s="43">
        <f t="shared" si="0"/>
        <v>0</v>
      </c>
      <c r="L18" s="43">
        <f t="shared" si="1"/>
        <v>0</v>
      </c>
    </row>
    <row r="19" spans="2:12" ht="11.25">
      <c r="B19" s="5"/>
      <c r="C19" s="5"/>
      <c r="D19" s="9"/>
      <c r="E19" s="10"/>
      <c r="F19" s="10"/>
      <c r="G19" s="3" t="s">
        <v>25</v>
      </c>
      <c r="H19" s="47">
        <v>0</v>
      </c>
      <c r="I19" s="27">
        <v>0</v>
      </c>
      <c r="J19" s="47">
        <f t="shared" si="2"/>
        <v>0</v>
      </c>
      <c r="K19" s="43">
        <f t="shared" si="0"/>
        <v>0</v>
      </c>
      <c r="L19" s="43">
        <f t="shared" si="1"/>
        <v>0</v>
      </c>
    </row>
    <row r="20" spans="2:12" ht="11.25">
      <c r="B20" s="5"/>
      <c r="C20" s="5"/>
      <c r="D20" s="9"/>
      <c r="E20" s="10"/>
      <c r="F20" s="10"/>
      <c r="G20" s="3" t="s">
        <v>26</v>
      </c>
      <c r="H20" s="47">
        <v>0</v>
      </c>
      <c r="I20" s="27">
        <v>0</v>
      </c>
      <c r="J20" s="47">
        <f t="shared" si="2"/>
        <v>0</v>
      </c>
      <c r="K20" s="43">
        <f t="shared" si="0"/>
        <v>0</v>
      </c>
      <c r="L20" s="43">
        <f t="shared" si="1"/>
        <v>0</v>
      </c>
    </row>
    <row r="21" spans="2:13" ht="11.25">
      <c r="B21" s="5"/>
      <c r="C21" s="5"/>
      <c r="D21" s="9"/>
      <c r="E21" s="10"/>
      <c r="F21" s="10"/>
      <c r="G21" s="3" t="s">
        <v>27</v>
      </c>
      <c r="H21" s="47">
        <v>0</v>
      </c>
      <c r="I21" s="27">
        <v>0</v>
      </c>
      <c r="J21" s="47">
        <f t="shared" si="2"/>
        <v>0</v>
      </c>
      <c r="K21" s="43">
        <f t="shared" si="0"/>
        <v>0</v>
      </c>
      <c r="L21" s="43">
        <f t="shared" si="1"/>
        <v>0</v>
      </c>
      <c r="M21" s="49"/>
    </row>
    <row r="22" spans="2:12" ht="11.25">
      <c r="B22" s="5"/>
      <c r="C22" s="5"/>
      <c r="D22" s="9"/>
      <c r="E22" s="10"/>
      <c r="F22" s="10"/>
      <c r="H22" s="47"/>
      <c r="I22" s="27"/>
      <c r="J22" s="47"/>
      <c r="K22" s="43"/>
      <c r="L22" s="43"/>
    </row>
    <row r="23" spans="1:12" ht="11.25">
      <c r="A23" s="11" t="s">
        <v>28</v>
      </c>
      <c r="B23" s="41">
        <f>'2004 Mar-Dec Fixed Variable Cal'!F82</f>
        <v>0.7535832046695541</v>
      </c>
      <c r="C23" s="41">
        <f>'2004 Mar-Dec Fixed Variable Cal'!G82</f>
        <v>0.002469965731500659</v>
      </c>
      <c r="D23" s="9">
        <v>12.24</v>
      </c>
      <c r="E23" s="10">
        <f>B23/D23</f>
        <v>0.0615672552834603</v>
      </c>
      <c r="F23" s="10">
        <f>'2004 Mar-Dec Fixed Variable Cal'!G96</f>
        <v>0.17034246424142474</v>
      </c>
      <c r="G23" s="3" t="s">
        <v>40</v>
      </c>
      <c r="H23" s="47">
        <v>8996.63</v>
      </c>
      <c r="I23" s="27">
        <v>32968.18</v>
      </c>
      <c r="J23" s="47">
        <f>E23*H23</f>
        <v>553.8978159008374</v>
      </c>
      <c r="K23" s="43">
        <f>I23*$F$23</f>
        <v>5615.881022754855</v>
      </c>
      <c r="L23" s="43">
        <f aca="true" t="shared" si="3" ref="L23:L34">+J23+K23</f>
        <v>6169.778838655692</v>
      </c>
    </row>
    <row r="24" spans="2:12" ht="11.25">
      <c r="B24" s="5"/>
      <c r="C24" s="5"/>
      <c r="D24" s="9"/>
      <c r="E24" s="10"/>
      <c r="F24" s="10"/>
      <c r="G24" s="3" t="s">
        <v>39</v>
      </c>
      <c r="H24" s="47">
        <v>8673.92</v>
      </c>
      <c r="I24" s="27">
        <v>33915.03</v>
      </c>
      <c r="J24" s="47">
        <f>E23*H24</f>
        <v>534.0294469483119</v>
      </c>
      <c r="K24" s="43">
        <f aca="true" t="shared" si="4" ref="K24:K34">I24*$F$23</f>
        <v>5777.169785021847</v>
      </c>
      <c r="L24" s="43">
        <f t="shared" si="3"/>
        <v>6311.1992319701585</v>
      </c>
    </row>
    <row r="25" spans="2:12" ht="11.25">
      <c r="B25" s="5"/>
      <c r="C25" s="5"/>
      <c r="D25" s="9"/>
      <c r="E25" s="10"/>
      <c r="F25" s="10"/>
      <c r="G25" s="3" t="s">
        <v>18</v>
      </c>
      <c r="H25" s="47">
        <v>8871.93</v>
      </c>
      <c r="I25" s="27">
        <v>34867.85</v>
      </c>
      <c r="J25" s="47">
        <f>+$E$23*H25</f>
        <v>546.2203791669899</v>
      </c>
      <c r="K25" s="43">
        <f t="shared" si="4"/>
        <v>5939.475491800361</v>
      </c>
      <c r="L25" s="43">
        <f t="shared" si="3"/>
        <v>6485.695870967351</v>
      </c>
    </row>
    <row r="26" spans="2:12" ht="11.25">
      <c r="B26" s="5"/>
      <c r="C26" s="5"/>
      <c r="D26" s="9"/>
      <c r="E26" s="10"/>
      <c r="F26" s="10"/>
      <c r="G26" s="3" t="s">
        <v>19</v>
      </c>
      <c r="H26" s="47">
        <v>8570.37</v>
      </c>
      <c r="I26" s="27">
        <v>32853</v>
      </c>
      <c r="J26" s="47">
        <f aca="true" t="shared" si="5" ref="J26:J34">+$E$23*H26</f>
        <v>527.6541576637097</v>
      </c>
      <c r="K26" s="43">
        <f t="shared" si="4"/>
        <v>5596.260977723527</v>
      </c>
      <c r="L26" s="43">
        <f t="shared" si="3"/>
        <v>6123.915135387237</v>
      </c>
    </row>
    <row r="27" spans="2:12" ht="11.25">
      <c r="B27" s="5"/>
      <c r="C27" s="5"/>
      <c r="D27" s="9"/>
      <c r="E27" s="10"/>
      <c r="F27" s="10"/>
      <c r="G27" s="3" t="s">
        <v>20</v>
      </c>
      <c r="H27" s="47">
        <v>2963.05</v>
      </c>
      <c r="I27" s="27">
        <v>9948.46</v>
      </c>
      <c r="J27" s="47">
        <f t="shared" si="5"/>
        <v>182.42685576765706</v>
      </c>
      <c r="K27" s="43">
        <f t="shared" si="4"/>
        <v>1694.6451918072441</v>
      </c>
      <c r="L27" s="43">
        <f t="shared" si="3"/>
        <v>1877.0720475749013</v>
      </c>
    </row>
    <row r="28" spans="2:12" ht="11.25">
      <c r="B28" s="5"/>
      <c r="C28" s="27"/>
      <c r="D28" s="24"/>
      <c r="E28" s="10"/>
      <c r="F28" s="10"/>
      <c r="G28" s="3" t="s">
        <v>21</v>
      </c>
      <c r="H28" s="47">
        <v>-124.85</v>
      </c>
      <c r="I28" s="27">
        <v>-179.78</v>
      </c>
      <c r="J28" s="47">
        <f t="shared" si="5"/>
        <v>-7.686671822140018</v>
      </c>
      <c r="K28" s="43">
        <f t="shared" si="4"/>
        <v>-30.62416822132334</v>
      </c>
      <c r="L28" s="43">
        <f t="shared" si="3"/>
        <v>-38.31084004346336</v>
      </c>
    </row>
    <row r="29" spans="2:12" ht="11.25">
      <c r="B29" s="5"/>
      <c r="C29" s="27"/>
      <c r="D29" s="32"/>
      <c r="E29" s="10"/>
      <c r="F29" s="10"/>
      <c r="G29" s="3" t="s">
        <v>22</v>
      </c>
      <c r="H29" s="47">
        <v>209.7</v>
      </c>
      <c r="I29" s="27">
        <v>-273.48</v>
      </c>
      <c r="J29" s="47">
        <f t="shared" si="5"/>
        <v>12.910653432941624</v>
      </c>
      <c r="K29" s="43">
        <f t="shared" si="4"/>
        <v>-46.58525712074484</v>
      </c>
      <c r="L29" s="43">
        <f t="shared" si="3"/>
        <v>-33.67460368780322</v>
      </c>
    </row>
    <row r="30" spans="2:12" ht="11.25">
      <c r="B30" s="5"/>
      <c r="C30" s="27"/>
      <c r="D30" s="32"/>
      <c r="E30" s="10"/>
      <c r="F30" s="10"/>
      <c r="G30" s="3" t="s">
        <v>23</v>
      </c>
      <c r="H30" s="47">
        <v>176.25</v>
      </c>
      <c r="I30" s="27">
        <v>1102.61</v>
      </c>
      <c r="J30" s="47">
        <f t="shared" si="5"/>
        <v>10.851228743709878</v>
      </c>
      <c r="K30" s="43">
        <f t="shared" si="4"/>
        <v>187.82130449723732</v>
      </c>
      <c r="L30" s="43">
        <f t="shared" si="3"/>
        <v>198.6725332409472</v>
      </c>
    </row>
    <row r="31" spans="2:12" ht="11.25">
      <c r="B31" s="5"/>
      <c r="C31" s="27"/>
      <c r="D31" s="24"/>
      <c r="E31" s="10"/>
      <c r="F31" s="10"/>
      <c r="G31" s="3" t="s">
        <v>24</v>
      </c>
      <c r="H31" s="47">
        <v>21.62</v>
      </c>
      <c r="I31" s="27">
        <v>338.49</v>
      </c>
      <c r="J31" s="47">
        <f t="shared" si="5"/>
        <v>1.3310840592284117</v>
      </c>
      <c r="K31" s="43">
        <f t="shared" si="4"/>
        <v>57.65922072107986</v>
      </c>
      <c r="L31" s="43">
        <f t="shared" si="3"/>
        <v>58.99030478030827</v>
      </c>
    </row>
    <row r="32" spans="2:12" ht="11.25">
      <c r="B32" s="5"/>
      <c r="C32" s="5"/>
      <c r="D32" s="9"/>
      <c r="E32" s="10"/>
      <c r="F32" s="10"/>
      <c r="G32" s="3" t="s">
        <v>25</v>
      </c>
      <c r="H32" s="47">
        <v>0</v>
      </c>
      <c r="I32" s="27">
        <v>0</v>
      </c>
      <c r="J32" s="47">
        <f t="shared" si="5"/>
        <v>0</v>
      </c>
      <c r="K32" s="43">
        <f t="shared" si="4"/>
        <v>0</v>
      </c>
      <c r="L32" s="43">
        <f t="shared" si="3"/>
        <v>0</v>
      </c>
    </row>
    <row r="33" spans="2:12" ht="11.25">
      <c r="B33" s="5"/>
      <c r="C33" s="5"/>
      <c r="D33" s="9"/>
      <c r="E33" s="10"/>
      <c r="F33" s="10"/>
      <c r="G33" s="3" t="s">
        <v>26</v>
      </c>
      <c r="H33" s="47">
        <v>0</v>
      </c>
      <c r="I33" s="27">
        <v>0</v>
      </c>
      <c r="J33" s="47">
        <f t="shared" si="5"/>
        <v>0</v>
      </c>
      <c r="K33" s="43">
        <f t="shared" si="4"/>
        <v>0</v>
      </c>
      <c r="L33" s="43">
        <f t="shared" si="3"/>
        <v>0</v>
      </c>
    </row>
    <row r="34" spans="2:13" ht="11.25">
      <c r="B34" s="5"/>
      <c r="C34" s="5"/>
      <c r="D34" s="9"/>
      <c r="E34" s="10"/>
      <c r="F34" s="10"/>
      <c r="G34" s="3" t="s">
        <v>27</v>
      </c>
      <c r="H34" s="47">
        <v>0</v>
      </c>
      <c r="I34" s="27">
        <v>0</v>
      </c>
      <c r="J34" s="47">
        <f t="shared" si="5"/>
        <v>0</v>
      </c>
      <c r="K34" s="43">
        <f t="shared" si="4"/>
        <v>0</v>
      </c>
      <c r="L34" s="43">
        <f t="shared" si="3"/>
        <v>0</v>
      </c>
      <c r="M34" s="49"/>
    </row>
    <row r="35" spans="2:12" ht="11.25">
      <c r="B35" s="5"/>
      <c r="C35" s="5"/>
      <c r="D35" s="9"/>
      <c r="E35" s="10"/>
      <c r="F35" s="10"/>
      <c r="H35" s="47"/>
      <c r="I35" s="27"/>
      <c r="J35" s="47"/>
      <c r="K35" s="43"/>
      <c r="L35" s="43"/>
    </row>
    <row r="36" spans="1:12" ht="11.25">
      <c r="A36" s="11" t="s">
        <v>30</v>
      </c>
      <c r="B36" s="41">
        <f>'2004 Mar-Dec Fixed Variable Cal'!F83</f>
        <v>0.37986390313475393</v>
      </c>
      <c r="C36" s="41">
        <f>'2004 Mar-Dec Fixed Variable Cal'!G83</f>
        <v>0.21807082145063608</v>
      </c>
      <c r="D36" s="9">
        <v>14.47</v>
      </c>
      <c r="E36" s="10">
        <f>B36/D36</f>
        <v>0.026251824681047264</v>
      </c>
      <c r="F36" s="10">
        <f>'2004 Mar-Dec Fixed Variable Cal'!G97</f>
        <v>0.07873729832850812</v>
      </c>
      <c r="G36" s="3" t="s">
        <v>40</v>
      </c>
      <c r="H36" s="47">
        <v>1559.25</v>
      </c>
      <c r="I36" s="27">
        <v>85652.04</v>
      </c>
      <c r="J36" s="47">
        <f>E36*H36</f>
        <v>40.933157633922946</v>
      </c>
      <c r="K36" s="43">
        <f>I36*$F$36</f>
        <v>6744.01022592531</v>
      </c>
      <c r="L36" s="43">
        <f aca="true" t="shared" si="6" ref="L36:L47">+J36+K36</f>
        <v>6784.943383559233</v>
      </c>
    </row>
    <row r="37" spans="2:12" ht="11.25">
      <c r="B37" s="5"/>
      <c r="C37" s="5"/>
      <c r="D37" s="9"/>
      <c r="E37" s="10"/>
      <c r="F37" s="10"/>
      <c r="G37" s="3" t="s">
        <v>39</v>
      </c>
      <c r="H37" s="47">
        <v>1638.23</v>
      </c>
      <c r="I37" s="27">
        <v>73215.4</v>
      </c>
      <c r="J37" s="47">
        <f>E36*H37</f>
        <v>43.00652674723206</v>
      </c>
      <c r="K37" s="43">
        <f aca="true" t="shared" si="7" ref="K37:K47">I37*$F$36</f>
        <v>5764.782792041053</v>
      </c>
      <c r="L37" s="43">
        <f t="shared" si="6"/>
        <v>5807.789318788285</v>
      </c>
    </row>
    <row r="38" spans="2:12" ht="11.25">
      <c r="B38" s="5"/>
      <c r="C38" s="5"/>
      <c r="D38" s="9"/>
      <c r="E38" s="10"/>
      <c r="F38" s="10"/>
      <c r="G38" s="3" t="s">
        <v>18</v>
      </c>
      <c r="H38" s="47">
        <v>1593.59</v>
      </c>
      <c r="I38" s="27">
        <v>88773.91</v>
      </c>
      <c r="J38" s="47">
        <f aca="true" t="shared" si="8" ref="J38:J47">$E$36*H38</f>
        <v>41.8346452934701</v>
      </c>
      <c r="K38" s="43">
        <f t="shared" si="7"/>
        <v>6989.8178354581305</v>
      </c>
      <c r="L38" s="43">
        <f t="shared" si="6"/>
        <v>7031.652480751601</v>
      </c>
    </row>
    <row r="39" spans="2:12" ht="11.25">
      <c r="B39" s="5"/>
      <c r="C39" s="5"/>
      <c r="D39" s="9"/>
      <c r="E39" s="10"/>
      <c r="F39" s="10"/>
      <c r="G39" s="3" t="s">
        <v>19</v>
      </c>
      <c r="H39" s="47">
        <v>1789.3</v>
      </c>
      <c r="I39" s="27">
        <v>82278.32</v>
      </c>
      <c r="J39" s="47">
        <f t="shared" si="8"/>
        <v>46.97238990179787</v>
      </c>
      <c r="K39" s="43">
        <f t="shared" si="7"/>
        <v>6478.372627808457</v>
      </c>
      <c r="L39" s="43">
        <f t="shared" si="6"/>
        <v>6525.345017710255</v>
      </c>
    </row>
    <row r="40" spans="2:12" ht="11.25">
      <c r="B40" s="5"/>
      <c r="C40" s="5"/>
      <c r="D40" s="9"/>
      <c r="E40" s="10"/>
      <c r="F40" s="10"/>
      <c r="G40" s="3" t="s">
        <v>20</v>
      </c>
      <c r="H40" s="47">
        <v>297.9</v>
      </c>
      <c r="I40" s="27">
        <v>5622.97</v>
      </c>
      <c r="J40" s="47">
        <f t="shared" si="8"/>
        <v>7.820418572483979</v>
      </c>
      <c r="K40" s="43">
        <f t="shared" si="7"/>
        <v>442.73746638225134</v>
      </c>
      <c r="L40" s="43">
        <f t="shared" si="6"/>
        <v>450.5578849547353</v>
      </c>
    </row>
    <row r="41" spans="2:12" ht="11.25">
      <c r="B41" s="5"/>
      <c r="C41" s="5"/>
      <c r="D41" s="9"/>
      <c r="E41" s="10"/>
      <c r="F41" s="10"/>
      <c r="G41" s="3" t="s">
        <v>21</v>
      </c>
      <c r="H41" s="47">
        <v>62.22</v>
      </c>
      <c r="I41" s="27">
        <v>459.26</v>
      </c>
      <c r="J41" s="47">
        <f t="shared" si="8"/>
        <v>1.6333885316547607</v>
      </c>
      <c r="K41" s="43">
        <f t="shared" si="7"/>
        <v>36.16089163035064</v>
      </c>
      <c r="L41" s="43">
        <f t="shared" si="6"/>
        <v>37.7942801620054</v>
      </c>
    </row>
    <row r="42" spans="2:12" ht="11.25">
      <c r="B42" s="5"/>
      <c r="C42" s="40"/>
      <c r="D42" s="32"/>
      <c r="E42" s="10"/>
      <c r="F42" s="10"/>
      <c r="G42" s="3" t="s">
        <v>22</v>
      </c>
      <c r="H42" s="47">
        <v>0</v>
      </c>
      <c r="I42" s="27">
        <v>0</v>
      </c>
      <c r="J42" s="47">
        <f t="shared" si="8"/>
        <v>0</v>
      </c>
      <c r="K42" s="43">
        <f t="shared" si="7"/>
        <v>0</v>
      </c>
      <c r="L42" s="43">
        <f t="shared" si="6"/>
        <v>0</v>
      </c>
    </row>
    <row r="43" spans="2:12" ht="11.25">
      <c r="B43" s="5"/>
      <c r="C43" s="40"/>
      <c r="D43" s="32"/>
      <c r="E43" s="10"/>
      <c r="F43" s="10"/>
      <c r="G43" s="3" t="s">
        <v>23</v>
      </c>
      <c r="H43" s="47">
        <v>-173.72</v>
      </c>
      <c r="I43" s="27">
        <v>0</v>
      </c>
      <c r="J43" s="47">
        <f t="shared" si="8"/>
        <v>-4.560466983591531</v>
      </c>
      <c r="K43" s="43">
        <f t="shared" si="7"/>
        <v>0</v>
      </c>
      <c r="L43" s="43">
        <f t="shared" si="6"/>
        <v>-4.560466983591531</v>
      </c>
    </row>
    <row r="44" spans="2:12" ht="11.25">
      <c r="B44" s="5"/>
      <c r="C44" s="5"/>
      <c r="D44" s="9"/>
      <c r="E44" s="10"/>
      <c r="F44" s="10"/>
      <c r="G44" s="3" t="s">
        <v>24</v>
      </c>
      <c r="H44" s="47">
        <v>0</v>
      </c>
      <c r="I44" s="27">
        <v>326.44</v>
      </c>
      <c r="J44" s="47">
        <f t="shared" si="8"/>
        <v>0</v>
      </c>
      <c r="K44" s="43">
        <f t="shared" si="7"/>
        <v>25.703003666358192</v>
      </c>
      <c r="L44" s="43">
        <f t="shared" si="6"/>
        <v>25.703003666358192</v>
      </c>
    </row>
    <row r="45" spans="2:12" ht="11.25">
      <c r="B45" s="5"/>
      <c r="C45" s="5"/>
      <c r="D45" s="9"/>
      <c r="E45" s="10"/>
      <c r="F45" s="10"/>
      <c r="G45" s="3" t="s">
        <v>25</v>
      </c>
      <c r="H45" s="47">
        <v>0</v>
      </c>
      <c r="I45" s="27">
        <v>0</v>
      </c>
      <c r="J45" s="47">
        <f t="shared" si="8"/>
        <v>0</v>
      </c>
      <c r="K45" s="43">
        <f t="shared" si="7"/>
        <v>0</v>
      </c>
      <c r="L45" s="43">
        <f t="shared" si="6"/>
        <v>0</v>
      </c>
    </row>
    <row r="46" spans="2:12" ht="11.25">
      <c r="B46" s="5"/>
      <c r="C46" s="5"/>
      <c r="D46" s="9"/>
      <c r="E46" s="10"/>
      <c r="F46" s="10"/>
      <c r="G46" s="3" t="s">
        <v>26</v>
      </c>
      <c r="H46" s="47">
        <v>0</v>
      </c>
      <c r="I46" s="27">
        <v>0</v>
      </c>
      <c r="J46" s="47">
        <f t="shared" si="8"/>
        <v>0</v>
      </c>
      <c r="K46" s="43">
        <f t="shared" si="7"/>
        <v>0</v>
      </c>
      <c r="L46" s="43">
        <f t="shared" si="6"/>
        <v>0</v>
      </c>
    </row>
    <row r="47" spans="2:13" ht="11.25">
      <c r="B47" s="5"/>
      <c r="C47" s="5"/>
      <c r="D47" s="9"/>
      <c r="E47" s="10"/>
      <c r="F47" s="10"/>
      <c r="G47" s="3" t="s">
        <v>27</v>
      </c>
      <c r="H47" s="47">
        <v>0</v>
      </c>
      <c r="I47" s="27">
        <v>0</v>
      </c>
      <c r="J47" s="47">
        <f t="shared" si="8"/>
        <v>0</v>
      </c>
      <c r="K47" s="43">
        <f t="shared" si="7"/>
        <v>0</v>
      </c>
      <c r="L47" s="43">
        <f t="shared" si="6"/>
        <v>0</v>
      </c>
      <c r="M47" s="49"/>
    </row>
    <row r="48" spans="2:12" ht="11.25">
      <c r="B48" s="5"/>
      <c r="C48" s="5"/>
      <c r="D48" s="9"/>
      <c r="E48" s="10"/>
      <c r="F48" s="10"/>
      <c r="H48" s="47"/>
      <c r="I48" s="27"/>
      <c r="J48" s="47"/>
      <c r="K48" s="43"/>
      <c r="L48" s="43"/>
    </row>
    <row r="49" spans="2:12" ht="11.25">
      <c r="B49" s="5"/>
      <c r="C49" s="5"/>
      <c r="D49" s="9"/>
      <c r="E49" s="10"/>
      <c r="F49" s="10"/>
      <c r="H49" s="47"/>
      <c r="I49" s="27"/>
      <c r="J49" s="47"/>
      <c r="K49" s="43"/>
      <c r="L49" s="43"/>
    </row>
    <row r="50" spans="2:12" ht="11.25">
      <c r="B50" s="5"/>
      <c r="C50" s="5"/>
      <c r="D50" s="9"/>
      <c r="E50" s="10"/>
      <c r="F50" s="10"/>
      <c r="H50" s="47"/>
      <c r="I50" s="27"/>
      <c r="J50" s="47"/>
      <c r="K50" s="43"/>
      <c r="L50" s="43"/>
    </row>
    <row r="51" spans="1:12" ht="11.25">
      <c r="A51" s="4" t="s">
        <v>51</v>
      </c>
      <c r="C51" s="5"/>
      <c r="D51" s="103" t="s">
        <v>53</v>
      </c>
      <c r="E51" s="103"/>
      <c r="F51" s="103"/>
      <c r="G51" s="103"/>
      <c r="H51" s="103"/>
      <c r="I51" s="27"/>
      <c r="J51" s="47"/>
      <c r="K51" s="43"/>
      <c r="L51" s="43"/>
    </row>
    <row r="52" spans="2:12" ht="11.25">
      <c r="B52" s="5"/>
      <c r="C52" s="5"/>
      <c r="D52" s="103" t="s">
        <v>112</v>
      </c>
      <c r="E52" s="103"/>
      <c r="F52" s="103"/>
      <c r="G52" s="103"/>
      <c r="H52" s="103"/>
      <c r="I52" s="27"/>
      <c r="J52" s="47"/>
      <c r="K52" s="43"/>
      <c r="L52" s="43"/>
    </row>
    <row r="53" spans="2:12" ht="11.25">
      <c r="B53" s="5"/>
      <c r="C53" s="5"/>
      <c r="D53" s="103" t="s">
        <v>43</v>
      </c>
      <c r="E53" s="104"/>
      <c r="F53" s="104"/>
      <c r="G53" s="104"/>
      <c r="H53" s="104"/>
      <c r="I53" s="27"/>
      <c r="J53" s="47"/>
      <c r="K53" s="43"/>
      <c r="L53" s="43"/>
    </row>
    <row r="54" spans="2:12" ht="11.25">
      <c r="B54" s="5"/>
      <c r="C54" s="5"/>
      <c r="D54" s="9"/>
      <c r="E54" s="10"/>
      <c r="F54" s="10"/>
      <c r="H54" s="47"/>
      <c r="I54" s="27"/>
      <c r="J54" s="47"/>
      <c r="K54" s="43"/>
      <c r="L54" s="43"/>
    </row>
    <row r="55" spans="1:12" ht="11.25">
      <c r="A55" s="4" t="s">
        <v>184</v>
      </c>
      <c r="B55" s="60"/>
      <c r="C55" s="18" t="s">
        <v>185</v>
      </c>
      <c r="D55" s="9"/>
      <c r="E55" s="10"/>
      <c r="F55" s="10"/>
      <c r="H55" s="47"/>
      <c r="I55" s="27"/>
      <c r="J55" s="47"/>
      <c r="K55" s="43"/>
      <c r="L55" s="43"/>
    </row>
    <row r="56" spans="2:12" ht="11.25">
      <c r="B56" s="5"/>
      <c r="C56" s="5"/>
      <c r="D56" s="9"/>
      <c r="E56" s="10"/>
      <c r="F56" s="10"/>
      <c r="H56" s="47"/>
      <c r="I56" s="27"/>
      <c r="J56" s="47"/>
      <c r="K56" s="43"/>
      <c r="L56" s="43"/>
    </row>
    <row r="57" spans="1:12" ht="11.25">
      <c r="A57" s="4" t="s">
        <v>0</v>
      </c>
      <c r="B57" s="18" t="s">
        <v>1</v>
      </c>
      <c r="C57" s="18" t="s">
        <v>2</v>
      </c>
      <c r="D57" s="19" t="s">
        <v>3</v>
      </c>
      <c r="E57" s="6" t="s">
        <v>4</v>
      </c>
      <c r="F57" s="14" t="s">
        <v>4</v>
      </c>
      <c r="G57" s="4" t="s">
        <v>5</v>
      </c>
      <c r="H57" s="51" t="s">
        <v>3</v>
      </c>
      <c r="I57" s="12" t="s">
        <v>110</v>
      </c>
      <c r="J57" s="51" t="s">
        <v>7</v>
      </c>
      <c r="K57" s="48" t="s">
        <v>8</v>
      </c>
      <c r="L57" s="48" t="s">
        <v>9</v>
      </c>
    </row>
    <row r="58" spans="1:12" ht="11.25">
      <c r="A58" s="4"/>
      <c r="B58" s="18" t="s">
        <v>10</v>
      </c>
      <c r="C58" s="18" t="s">
        <v>11</v>
      </c>
      <c r="D58" s="19" t="s">
        <v>12</v>
      </c>
      <c r="E58" s="6" t="s">
        <v>13</v>
      </c>
      <c r="F58" s="14" t="s">
        <v>109</v>
      </c>
      <c r="G58" s="4"/>
      <c r="H58" s="51" t="s">
        <v>14</v>
      </c>
      <c r="I58" s="12" t="s">
        <v>111</v>
      </c>
      <c r="J58" s="51" t="s">
        <v>16</v>
      </c>
      <c r="K58" s="48" t="s">
        <v>16</v>
      </c>
      <c r="L58" s="48" t="s">
        <v>16</v>
      </c>
    </row>
    <row r="59" spans="2:12" ht="11.25">
      <c r="B59" s="5"/>
      <c r="C59" s="5"/>
      <c r="D59" s="9"/>
      <c r="E59" s="10"/>
      <c r="F59" s="10"/>
      <c r="H59" s="47"/>
      <c r="I59" s="27"/>
      <c r="J59" s="47"/>
      <c r="K59" s="43"/>
      <c r="L59" s="43"/>
    </row>
    <row r="60" spans="2:12" ht="11.25">
      <c r="B60" s="5"/>
      <c r="C60" s="5"/>
      <c r="D60" s="9"/>
      <c r="E60" s="10"/>
      <c r="F60" s="10"/>
      <c r="H60" s="47"/>
      <c r="I60" s="27"/>
      <c r="J60" s="47"/>
      <c r="K60" s="43"/>
      <c r="L60" s="43"/>
    </row>
    <row r="61" spans="1:12" ht="11.25">
      <c r="A61" s="11" t="s">
        <v>31</v>
      </c>
      <c r="B61" s="41">
        <f>'2004 Mar-Dec Fixed Variable Cal'!F88</f>
        <v>0.14203521706204636</v>
      </c>
      <c r="C61" s="41">
        <f>'2004 Mar-Dec Fixed Variable Cal'!G88</f>
        <v>1.3851192196063251</v>
      </c>
      <c r="D61" s="9">
        <v>1.4</v>
      </c>
      <c r="E61" s="10">
        <f>B61/D61</f>
        <v>0.10145372647289026</v>
      </c>
      <c r="F61" s="10">
        <f>'2004 Mar-Dec Fixed Variable Cal'!G102</f>
        <v>0.4247789559636669</v>
      </c>
      <c r="G61" s="3" t="s">
        <v>40</v>
      </c>
      <c r="H61" s="47">
        <v>40.04</v>
      </c>
      <c r="I61" s="27">
        <v>12.19</v>
      </c>
      <c r="J61" s="47">
        <f>H61*E$61</f>
        <v>4.062207207974526</v>
      </c>
      <c r="K61" s="43">
        <f>I61*$F$61</f>
        <v>5.178055473197099</v>
      </c>
      <c r="L61" s="43">
        <f>SUM(J61:K61)</f>
        <v>9.240262681171625</v>
      </c>
    </row>
    <row r="62" spans="1:12" ht="11.25">
      <c r="A62" s="11" t="s">
        <v>32</v>
      </c>
      <c r="B62" s="5"/>
      <c r="C62" s="5"/>
      <c r="D62" s="9"/>
      <c r="E62" s="10"/>
      <c r="F62" s="10"/>
      <c r="G62" s="3" t="s">
        <v>39</v>
      </c>
      <c r="H62" s="47">
        <v>115.45</v>
      </c>
      <c r="I62" s="27">
        <v>68.13</v>
      </c>
      <c r="J62" s="47">
        <f>H62*E$61</f>
        <v>11.71283272129518</v>
      </c>
      <c r="K62" s="43">
        <f aca="true" t="shared" si="9" ref="K62:K72">I62*$F$61</f>
        <v>28.940190269804624</v>
      </c>
      <c r="L62" s="43">
        <f>SUM(J62:K62)</f>
        <v>40.6530229910998</v>
      </c>
    </row>
    <row r="63" spans="2:12" ht="11.25">
      <c r="B63" s="5"/>
      <c r="C63" s="5"/>
      <c r="D63" s="9"/>
      <c r="E63" s="10"/>
      <c r="F63" s="10"/>
      <c r="G63" s="3" t="s">
        <v>18</v>
      </c>
      <c r="H63" s="47">
        <v>56</v>
      </c>
      <c r="I63" s="27">
        <v>25.21</v>
      </c>
      <c r="J63" s="47">
        <f>H63*$E$61</f>
        <v>5.681408682481854</v>
      </c>
      <c r="K63" s="43">
        <f t="shared" si="9"/>
        <v>10.708677479844042</v>
      </c>
      <c r="L63" s="43">
        <f>SUM(J63:K63)</f>
        <v>16.390086162325897</v>
      </c>
    </row>
    <row r="64" spans="2:12" ht="11.25">
      <c r="B64" s="5"/>
      <c r="C64" s="5"/>
      <c r="D64" s="9"/>
      <c r="E64" s="10"/>
      <c r="F64" s="10"/>
      <c r="G64" s="3" t="s">
        <v>19</v>
      </c>
      <c r="H64" s="47">
        <v>54.02</v>
      </c>
      <c r="I64" s="27">
        <v>24.79</v>
      </c>
      <c r="J64" s="47">
        <f aca="true" t="shared" si="10" ref="J64:J71">H64*$E$61</f>
        <v>5.480530304065533</v>
      </c>
      <c r="K64" s="43">
        <f t="shared" si="9"/>
        <v>10.530270318339301</v>
      </c>
      <c r="L64" s="43">
        <f>SUM(J64:K64)</f>
        <v>16.010800622404833</v>
      </c>
    </row>
    <row r="65" spans="2:12" ht="11.25">
      <c r="B65" s="5"/>
      <c r="C65" s="5"/>
      <c r="D65" s="9"/>
      <c r="E65" s="10"/>
      <c r="F65" s="10"/>
      <c r="G65" s="3" t="s">
        <v>20</v>
      </c>
      <c r="H65" s="47">
        <v>1.71</v>
      </c>
      <c r="I65" s="27">
        <v>1.21</v>
      </c>
      <c r="J65" s="47">
        <f t="shared" si="10"/>
        <v>0.17348587226864234</v>
      </c>
      <c r="K65" s="43">
        <f t="shared" si="9"/>
        <v>0.5139825367160369</v>
      </c>
      <c r="L65" s="43">
        <f>SUM(J65:K65)</f>
        <v>0.6874684089846792</v>
      </c>
    </row>
    <row r="66" spans="2:12" ht="11.25">
      <c r="B66" s="5"/>
      <c r="C66" s="5"/>
      <c r="D66" s="9"/>
      <c r="E66" s="10"/>
      <c r="F66" s="10"/>
      <c r="G66" s="3" t="s">
        <v>21</v>
      </c>
      <c r="H66" s="47">
        <v>33.62</v>
      </c>
      <c r="I66" s="27">
        <v>16.44</v>
      </c>
      <c r="J66" s="47">
        <f t="shared" si="10"/>
        <v>3.41087428401857</v>
      </c>
      <c r="K66" s="43">
        <f t="shared" si="9"/>
        <v>6.983366036042684</v>
      </c>
      <c r="L66" s="43">
        <f aca="true" t="shared" si="11" ref="L66:L71">SUM(J66:K66)</f>
        <v>10.394240320061254</v>
      </c>
    </row>
    <row r="67" spans="2:12" ht="11.25">
      <c r="B67" s="5"/>
      <c r="C67" s="40"/>
      <c r="D67" s="32"/>
      <c r="E67" s="10"/>
      <c r="F67" s="10"/>
      <c r="G67" s="3" t="s">
        <v>22</v>
      </c>
      <c r="H67" s="47">
        <v>0</v>
      </c>
      <c r="I67" s="27">
        <v>0</v>
      </c>
      <c r="J67" s="47">
        <f t="shared" si="10"/>
        <v>0</v>
      </c>
      <c r="K67" s="43">
        <f t="shared" si="9"/>
        <v>0</v>
      </c>
      <c r="L67" s="43">
        <f t="shared" si="11"/>
        <v>0</v>
      </c>
    </row>
    <row r="68" spans="2:12" ht="11.25">
      <c r="B68" s="5"/>
      <c r="C68" s="40"/>
      <c r="D68" s="32"/>
      <c r="E68" s="10"/>
      <c r="F68" s="10"/>
      <c r="G68" s="3" t="s">
        <v>23</v>
      </c>
      <c r="H68" s="47">
        <v>0</v>
      </c>
      <c r="I68" s="27">
        <v>0</v>
      </c>
      <c r="J68" s="47">
        <f t="shared" si="10"/>
        <v>0</v>
      </c>
      <c r="K68" s="43">
        <f t="shared" si="9"/>
        <v>0</v>
      </c>
      <c r="L68" s="43">
        <f t="shared" si="11"/>
        <v>0</v>
      </c>
    </row>
    <row r="69" spans="2:12" ht="11.25">
      <c r="B69" s="5"/>
      <c r="C69" s="40"/>
      <c r="D69" s="32"/>
      <c r="E69" s="10"/>
      <c r="F69" s="10"/>
      <c r="G69" s="3" t="s">
        <v>24</v>
      </c>
      <c r="H69" s="47">
        <v>-5276.8</v>
      </c>
      <c r="I69" s="27">
        <v>-1502.17</v>
      </c>
      <c r="J69" s="47">
        <f t="shared" si="10"/>
        <v>-535.3510238521474</v>
      </c>
      <c r="K69" s="43">
        <f t="shared" si="9"/>
        <v>-638.0902042799415</v>
      </c>
      <c r="L69" s="43">
        <f t="shared" si="11"/>
        <v>-1173.4412281320888</v>
      </c>
    </row>
    <row r="70" spans="2:12" ht="11.25">
      <c r="B70" s="5"/>
      <c r="C70" s="5"/>
      <c r="D70" s="9"/>
      <c r="E70" s="10"/>
      <c r="F70" s="10"/>
      <c r="G70" s="3" t="s">
        <v>25</v>
      </c>
      <c r="H70" s="47">
        <v>0</v>
      </c>
      <c r="I70" s="27">
        <v>0</v>
      </c>
      <c r="J70" s="47">
        <f t="shared" si="10"/>
        <v>0</v>
      </c>
      <c r="K70" s="43">
        <f t="shared" si="9"/>
        <v>0</v>
      </c>
      <c r="L70" s="43">
        <f t="shared" si="11"/>
        <v>0</v>
      </c>
    </row>
    <row r="71" spans="2:12" ht="11.25">
      <c r="B71" s="5"/>
      <c r="C71" s="5"/>
      <c r="D71" s="9"/>
      <c r="E71" s="10"/>
      <c r="F71" s="10"/>
      <c r="G71" s="3" t="s">
        <v>26</v>
      </c>
      <c r="H71" s="47">
        <v>0</v>
      </c>
      <c r="I71" s="27">
        <v>0</v>
      </c>
      <c r="J71" s="47">
        <f t="shared" si="10"/>
        <v>0</v>
      </c>
      <c r="K71" s="43">
        <f t="shared" si="9"/>
        <v>0</v>
      </c>
      <c r="L71" s="43">
        <f t="shared" si="11"/>
        <v>0</v>
      </c>
    </row>
    <row r="72" spans="2:13" ht="11.25">
      <c r="B72" s="5"/>
      <c r="C72" s="5"/>
      <c r="D72" s="9"/>
      <c r="E72" s="10"/>
      <c r="F72" s="10"/>
      <c r="G72" s="3" t="s">
        <v>27</v>
      </c>
      <c r="H72" s="47">
        <v>0</v>
      </c>
      <c r="I72" s="27">
        <v>0</v>
      </c>
      <c r="J72" s="47">
        <f>H72*$E$61</f>
        <v>0</v>
      </c>
      <c r="K72" s="43">
        <f t="shared" si="9"/>
        <v>0</v>
      </c>
      <c r="L72" s="43">
        <f>SUM(J72:K72)</f>
        <v>0</v>
      </c>
      <c r="M72" s="49"/>
    </row>
    <row r="73" spans="1:12" ht="11.25">
      <c r="A73" s="4"/>
      <c r="B73" s="18"/>
      <c r="C73" s="18"/>
      <c r="D73" s="19"/>
      <c r="E73" s="6"/>
      <c r="F73" s="6"/>
      <c r="G73" s="4"/>
      <c r="H73" s="51"/>
      <c r="I73" s="36"/>
      <c r="J73" s="51"/>
      <c r="K73" s="48"/>
      <c r="L73" s="48"/>
    </row>
    <row r="74" spans="1:12" ht="11.25">
      <c r="A74" s="4" t="s">
        <v>33</v>
      </c>
      <c r="B74" s="41">
        <f>'2004 Mar-Dec Fixed Variable Cal'!F87</f>
        <v>0.019278630156443752</v>
      </c>
      <c r="C74" s="41">
        <f>'2004 Mar-Dec Fixed Variable Cal'!G87</f>
        <v>0.0662848859003939</v>
      </c>
      <c r="D74" s="9">
        <v>0.97</v>
      </c>
      <c r="E74" s="10">
        <f>B74/D74</f>
        <v>0.019874876449942014</v>
      </c>
      <c r="F74" s="10">
        <f>'2004 Mar-Dec Fixed Variable Cal'!G101</f>
        <v>0.04499686776213013</v>
      </c>
      <c r="G74" s="3" t="s">
        <v>40</v>
      </c>
      <c r="H74" s="47">
        <v>1319.2</v>
      </c>
      <c r="I74" s="27">
        <v>372.58</v>
      </c>
      <c r="J74" s="47">
        <f>E74*H74</f>
        <v>26.218937012763504</v>
      </c>
      <c r="K74" s="43">
        <f>I74*$F$74</f>
        <v>16.764932990814444</v>
      </c>
      <c r="L74" s="43">
        <f>SUM(J74:K74)</f>
        <v>42.98387000357795</v>
      </c>
    </row>
    <row r="75" spans="1:12" ht="11.25">
      <c r="A75" s="4" t="s">
        <v>34</v>
      </c>
      <c r="B75" s="5"/>
      <c r="C75" s="5"/>
      <c r="D75" s="9"/>
      <c r="E75" s="10"/>
      <c r="F75" s="10"/>
      <c r="G75" s="3" t="s">
        <v>39</v>
      </c>
      <c r="H75" s="47">
        <v>1319.2</v>
      </c>
      <c r="I75" s="27">
        <v>372.58</v>
      </c>
      <c r="J75" s="47">
        <f>E74*H75</f>
        <v>26.218937012763504</v>
      </c>
      <c r="K75" s="43">
        <f aca="true" t="shared" si="12" ref="K75:K85">I75*$F$74</f>
        <v>16.764932990814444</v>
      </c>
      <c r="L75" s="43">
        <f aca="true" t="shared" si="13" ref="L75:L85">+J75+K75</f>
        <v>42.98387000357795</v>
      </c>
    </row>
    <row r="76" spans="2:12" ht="11.25">
      <c r="B76" s="5"/>
      <c r="C76" s="5"/>
      <c r="D76" s="9"/>
      <c r="E76" s="10"/>
      <c r="F76" s="10"/>
      <c r="G76" s="3" t="s">
        <v>18</v>
      </c>
      <c r="H76" s="47">
        <v>1319.2</v>
      </c>
      <c r="I76" s="27">
        <v>372.58</v>
      </c>
      <c r="J76" s="47">
        <f>+E74*H76</f>
        <v>26.218937012763504</v>
      </c>
      <c r="K76" s="43">
        <f t="shared" si="12"/>
        <v>16.764932990814444</v>
      </c>
      <c r="L76" s="43">
        <f t="shared" si="13"/>
        <v>42.98387000357795</v>
      </c>
    </row>
    <row r="77" spans="2:12" ht="11.25">
      <c r="B77" s="5"/>
      <c r="C77" s="5"/>
      <c r="D77" s="9"/>
      <c r="E77" s="10"/>
      <c r="F77" s="10"/>
      <c r="G77" s="3" t="s">
        <v>19</v>
      </c>
      <c r="H77" s="47">
        <v>1319.2</v>
      </c>
      <c r="I77" s="27">
        <v>372.58</v>
      </c>
      <c r="J77" s="47">
        <f>+H77*E74</f>
        <v>26.218937012763504</v>
      </c>
      <c r="K77" s="43">
        <f t="shared" si="12"/>
        <v>16.764932990814444</v>
      </c>
      <c r="L77" s="43">
        <f t="shared" si="13"/>
        <v>42.98387000357795</v>
      </c>
    </row>
    <row r="78" spans="2:12" ht="11.25">
      <c r="B78" s="5"/>
      <c r="C78" s="5"/>
      <c r="D78" s="9"/>
      <c r="E78" s="10"/>
      <c r="F78" s="10"/>
      <c r="G78" s="3" t="s">
        <v>20</v>
      </c>
      <c r="H78" s="47">
        <v>0</v>
      </c>
      <c r="I78" s="27">
        <v>0</v>
      </c>
      <c r="J78" s="47">
        <f>E74*H78</f>
        <v>0</v>
      </c>
      <c r="K78" s="43">
        <f t="shared" si="12"/>
        <v>0</v>
      </c>
      <c r="L78" s="43">
        <f t="shared" si="13"/>
        <v>0</v>
      </c>
    </row>
    <row r="79" spans="2:12" ht="11.25">
      <c r="B79" s="5"/>
      <c r="C79" s="5"/>
      <c r="D79" s="9"/>
      <c r="E79" s="10"/>
      <c r="F79" s="10"/>
      <c r="G79" s="3" t="s">
        <v>21</v>
      </c>
      <c r="H79" s="47">
        <v>0</v>
      </c>
      <c r="I79" s="27">
        <v>0</v>
      </c>
      <c r="J79" s="47">
        <f>+E74*H79</f>
        <v>0</v>
      </c>
      <c r="K79" s="43">
        <f t="shared" si="12"/>
        <v>0</v>
      </c>
      <c r="L79" s="43">
        <f t="shared" si="13"/>
        <v>0</v>
      </c>
    </row>
    <row r="80" spans="2:12" ht="11.25">
      <c r="B80" s="5"/>
      <c r="C80" s="40"/>
      <c r="D80" s="32"/>
      <c r="E80" s="10"/>
      <c r="F80" s="10"/>
      <c r="G80" s="3" t="s">
        <v>22</v>
      </c>
      <c r="H80" s="47">
        <v>0</v>
      </c>
      <c r="I80" s="27">
        <v>0</v>
      </c>
      <c r="J80" s="47">
        <f>E74*H80</f>
        <v>0</v>
      </c>
      <c r="K80" s="43">
        <f t="shared" si="12"/>
        <v>0</v>
      </c>
      <c r="L80" s="43">
        <f t="shared" si="13"/>
        <v>0</v>
      </c>
    </row>
    <row r="81" spans="2:12" ht="11.25">
      <c r="B81" s="5"/>
      <c r="C81" s="40"/>
      <c r="D81" s="32"/>
      <c r="E81" s="10"/>
      <c r="F81" s="10"/>
      <c r="G81" s="3" t="s">
        <v>23</v>
      </c>
      <c r="H81" s="47">
        <v>0</v>
      </c>
      <c r="I81" s="27">
        <v>0</v>
      </c>
      <c r="J81" s="47">
        <f>E74*H81</f>
        <v>0</v>
      </c>
      <c r="K81" s="43">
        <f t="shared" si="12"/>
        <v>0</v>
      </c>
      <c r="L81" s="43">
        <f t="shared" si="13"/>
        <v>0</v>
      </c>
    </row>
    <row r="82" spans="2:12" ht="11.25">
      <c r="B82" s="5"/>
      <c r="C82" s="5"/>
      <c r="D82" s="9"/>
      <c r="E82" s="10"/>
      <c r="F82" s="10"/>
      <c r="G82" s="3" t="s">
        <v>24</v>
      </c>
      <c r="H82" s="47">
        <v>0</v>
      </c>
      <c r="I82" s="27">
        <v>0</v>
      </c>
      <c r="J82" s="47">
        <f>E74*H82</f>
        <v>0</v>
      </c>
      <c r="K82" s="43">
        <f t="shared" si="12"/>
        <v>0</v>
      </c>
      <c r="L82" s="43">
        <f t="shared" si="13"/>
        <v>0</v>
      </c>
    </row>
    <row r="83" spans="2:12" ht="11.25">
      <c r="B83" s="5"/>
      <c r="C83" s="5"/>
      <c r="D83" s="9"/>
      <c r="E83" s="10"/>
      <c r="F83" s="10"/>
      <c r="G83" s="3" t="s">
        <v>25</v>
      </c>
      <c r="H83" s="47">
        <v>0</v>
      </c>
      <c r="I83" s="27">
        <v>0</v>
      </c>
      <c r="J83" s="47">
        <f>E74*H83</f>
        <v>0</v>
      </c>
      <c r="K83" s="43">
        <f t="shared" si="12"/>
        <v>0</v>
      </c>
      <c r="L83" s="43">
        <f t="shared" si="13"/>
        <v>0</v>
      </c>
    </row>
    <row r="84" spans="2:12" ht="11.25">
      <c r="B84" s="5"/>
      <c r="C84" s="5"/>
      <c r="D84" s="9"/>
      <c r="E84" s="10"/>
      <c r="F84" s="10"/>
      <c r="G84" s="3" t="s">
        <v>26</v>
      </c>
      <c r="H84" s="47">
        <v>0</v>
      </c>
      <c r="I84" s="27">
        <v>0</v>
      </c>
      <c r="J84" s="47">
        <f>E74*H84</f>
        <v>0</v>
      </c>
      <c r="K84" s="43">
        <f t="shared" si="12"/>
        <v>0</v>
      </c>
      <c r="L84" s="43">
        <f t="shared" si="13"/>
        <v>0</v>
      </c>
    </row>
    <row r="85" spans="2:13" ht="11.25">
      <c r="B85" s="5"/>
      <c r="C85" s="5"/>
      <c r="D85" s="9"/>
      <c r="E85" s="10"/>
      <c r="F85" s="10"/>
      <c r="G85" s="3" t="s">
        <v>27</v>
      </c>
      <c r="H85" s="47">
        <v>0</v>
      </c>
      <c r="I85" s="27">
        <v>0</v>
      </c>
      <c r="J85" s="47">
        <f>E74*H85</f>
        <v>0</v>
      </c>
      <c r="K85" s="43">
        <f t="shared" si="12"/>
        <v>0</v>
      </c>
      <c r="L85" s="43">
        <f t="shared" si="13"/>
        <v>0</v>
      </c>
      <c r="M85" s="49"/>
    </row>
    <row r="86" spans="8:10" ht="11.25">
      <c r="H86" s="26"/>
      <c r="I86" s="27"/>
      <c r="J86" s="26"/>
    </row>
    <row r="87" spans="8:10" ht="11.25">
      <c r="H87" s="26"/>
      <c r="I87" s="27"/>
      <c r="J87" s="26"/>
    </row>
    <row r="88" spans="8:12" ht="11.25">
      <c r="H88" s="26"/>
      <c r="I88" s="27"/>
      <c r="J88" s="26"/>
      <c r="L88" s="49">
        <f>SUM(L9:L86)</f>
        <v>114557.29634757186</v>
      </c>
    </row>
    <row r="89" spans="8:12" ht="11.25">
      <c r="H89" s="26"/>
      <c r="I89" s="27"/>
      <c r="J89" s="26"/>
      <c r="L89" s="32"/>
    </row>
    <row r="90" spans="8:12" ht="11.25">
      <c r="H90" s="26"/>
      <c r="I90" s="27"/>
      <c r="J90" s="26"/>
      <c r="L90" s="49"/>
    </row>
    <row r="91" spans="8:10" ht="11.25">
      <c r="H91" s="26"/>
      <c r="I91" s="27"/>
      <c r="J91" s="26"/>
    </row>
    <row r="92" spans="8:10" ht="11.25">
      <c r="H92" s="26"/>
      <c r="I92" s="27"/>
      <c r="J92" s="26"/>
    </row>
    <row r="93" spans="8:10" ht="11.25">
      <c r="H93" s="26"/>
      <c r="I93" s="27"/>
      <c r="J93" s="26"/>
    </row>
    <row r="94" spans="8:10" ht="11.25">
      <c r="H94" s="26"/>
      <c r="I94" s="27"/>
      <c r="J94" s="26"/>
    </row>
    <row r="95" spans="8:10" ht="11.25">
      <c r="H95" s="26"/>
      <c r="I95" s="27"/>
      <c r="J95" s="26"/>
    </row>
    <row r="96" spans="8:10" ht="11.25">
      <c r="H96" s="26"/>
      <c r="I96" s="27"/>
      <c r="J96" s="26"/>
    </row>
    <row r="97" spans="8:10" ht="11.25">
      <c r="H97" s="26"/>
      <c r="I97" s="27"/>
      <c r="J97" s="26"/>
    </row>
    <row r="98" spans="8:10" ht="11.25">
      <c r="H98" s="26"/>
      <c r="I98" s="27"/>
      <c r="J98" s="26"/>
    </row>
    <row r="99" spans="8:10" ht="11.25">
      <c r="H99" s="26"/>
      <c r="I99" s="27"/>
      <c r="J99" s="26"/>
    </row>
    <row r="100" spans="8:10" ht="11.25">
      <c r="H100" s="26"/>
      <c r="I100" s="27"/>
      <c r="J100" s="26"/>
    </row>
    <row r="101" spans="8:10" ht="11.25">
      <c r="H101" s="26"/>
      <c r="I101" s="27"/>
      <c r="J101" s="26"/>
    </row>
    <row r="102" spans="8:10" ht="11.25">
      <c r="H102" s="26"/>
      <c r="I102" s="27"/>
      <c r="J102" s="26"/>
    </row>
    <row r="103" spans="8:10" ht="11.25">
      <c r="H103" s="26"/>
      <c r="I103" s="27"/>
      <c r="J103" s="26"/>
    </row>
    <row r="104" spans="8:10" ht="11.25">
      <c r="H104" s="26"/>
      <c r="I104" s="27"/>
      <c r="J104" s="26"/>
    </row>
    <row r="105" spans="8:10" ht="11.25">
      <c r="H105" s="26"/>
      <c r="I105" s="27"/>
      <c r="J105" s="26"/>
    </row>
    <row r="106" spans="8:10" ht="11.25">
      <c r="H106" s="26"/>
      <c r="I106" s="27"/>
      <c r="J106" s="26"/>
    </row>
    <row r="107" spans="8:10" ht="11.25">
      <c r="H107" s="26"/>
      <c r="I107" s="27"/>
      <c r="J107" s="26"/>
    </row>
    <row r="108" spans="8:10" ht="11.25">
      <c r="H108" s="26"/>
      <c r="I108" s="27"/>
      <c r="J108" s="26"/>
    </row>
    <row r="109" spans="8:10" ht="11.25">
      <c r="H109" s="26"/>
      <c r="I109" s="27"/>
      <c r="J109" s="26"/>
    </row>
    <row r="110" spans="8:10" ht="11.25">
      <c r="H110" s="26"/>
      <c r="I110" s="27"/>
      <c r="J110" s="26"/>
    </row>
    <row r="111" spans="8:10" ht="11.25">
      <c r="H111" s="26"/>
      <c r="I111" s="27"/>
      <c r="J111" s="26"/>
    </row>
    <row r="112" spans="8:10" ht="11.25">
      <c r="H112" s="26"/>
      <c r="I112" s="27"/>
      <c r="J112" s="26"/>
    </row>
    <row r="113" spans="8:10" ht="11.25">
      <c r="H113" s="26"/>
      <c r="I113" s="27"/>
      <c r="J113" s="26"/>
    </row>
    <row r="114" spans="8:10" ht="11.25">
      <c r="H114" s="26"/>
      <c r="I114" s="27"/>
      <c r="J114" s="26"/>
    </row>
    <row r="115" spans="8:10" ht="11.25">
      <c r="H115" s="26"/>
      <c r="I115" s="27"/>
      <c r="J115" s="26"/>
    </row>
    <row r="116" spans="8:10" ht="11.25">
      <c r="H116" s="26"/>
      <c r="I116" s="27"/>
      <c r="J116" s="26"/>
    </row>
    <row r="117" spans="8:10" ht="11.25">
      <c r="H117" s="26"/>
      <c r="I117" s="27"/>
      <c r="J117" s="26"/>
    </row>
    <row r="118" spans="8:10" ht="11.25">
      <c r="H118" s="26"/>
      <c r="I118" s="27"/>
      <c r="J118" s="26"/>
    </row>
    <row r="119" spans="8:10" ht="11.25">
      <c r="H119" s="26"/>
      <c r="I119" s="27"/>
      <c r="J119" s="26"/>
    </row>
    <row r="120" spans="8:10" ht="11.25">
      <c r="H120" s="26"/>
      <c r="I120" s="27"/>
      <c r="J120" s="26"/>
    </row>
    <row r="121" spans="8:10" ht="11.25">
      <c r="H121" s="26"/>
      <c r="I121" s="27"/>
      <c r="J121" s="26"/>
    </row>
  </sheetData>
  <sheetProtection/>
  <mergeCells count="6">
    <mergeCell ref="D52:H52"/>
    <mergeCell ref="D53:H53"/>
    <mergeCell ref="D1:H1"/>
    <mergeCell ref="D2:H2"/>
    <mergeCell ref="D3:H3"/>
    <mergeCell ref="D51:H51"/>
  </mergeCells>
  <printOptions/>
  <pageMargins left="0.7" right="0.7" top="0.75" bottom="0.75" header="0.3" footer="0.3"/>
  <pageSetup fitToHeight="0" fitToWidth="1" orientation="landscape" scale="90" r:id="rId1"/>
  <rowBreaks count="1" manualBreakCount="1">
    <brk id="4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zoomScalePageLayoutView="0" workbookViewId="0" topLeftCell="A46">
      <selection activeCell="D51" sqref="D51:H53"/>
    </sheetView>
  </sheetViews>
  <sheetFormatPr defaultColWidth="9.140625" defaultRowHeight="12.75"/>
  <cols>
    <col min="1" max="1" width="9.140625" style="3" customWidth="1"/>
    <col min="2" max="2" width="12.140625" style="3" customWidth="1"/>
    <col min="3" max="3" width="14.140625" style="3" customWidth="1"/>
    <col min="4" max="4" width="10.57421875" style="3" customWidth="1"/>
    <col min="5" max="6" width="10.8515625" style="3" customWidth="1"/>
    <col min="7" max="7" width="9.8515625" style="3" customWidth="1"/>
    <col min="8" max="8" width="12.7109375" style="3" customWidth="1"/>
    <col min="9" max="9" width="14.421875" style="5" customWidth="1"/>
    <col min="10" max="10" width="11.28125" style="3" customWidth="1"/>
    <col min="11" max="11" width="11.421875" style="3" customWidth="1"/>
    <col min="12" max="12" width="10.8515625" style="3" customWidth="1"/>
    <col min="13" max="13" width="9.8515625" style="3" bestFit="1" customWidth="1"/>
    <col min="14" max="16384" width="9.140625" style="3" customWidth="1"/>
  </cols>
  <sheetData>
    <row r="1" spans="1:12" ht="11.25">
      <c r="A1" s="4" t="s">
        <v>52</v>
      </c>
      <c r="C1" s="5"/>
      <c r="D1" s="103" t="s">
        <v>53</v>
      </c>
      <c r="E1" s="103"/>
      <c r="F1" s="103"/>
      <c r="G1" s="103"/>
      <c r="H1" s="103"/>
      <c r="J1" s="43"/>
      <c r="K1" s="43"/>
      <c r="L1" s="43"/>
    </row>
    <row r="2" spans="2:12" ht="11.25">
      <c r="B2" s="5"/>
      <c r="C2" s="5"/>
      <c r="D2" s="103" t="s">
        <v>187</v>
      </c>
      <c r="E2" s="103"/>
      <c r="F2" s="103"/>
      <c r="G2" s="103"/>
      <c r="H2" s="103"/>
      <c r="J2" s="43"/>
      <c r="K2" s="43"/>
      <c r="L2" s="43"/>
    </row>
    <row r="3" spans="2:12" ht="11.25">
      <c r="B3" s="5"/>
      <c r="C3" s="5"/>
      <c r="D3" s="103" t="s">
        <v>43</v>
      </c>
      <c r="E3" s="104"/>
      <c r="F3" s="104"/>
      <c r="G3" s="104"/>
      <c r="H3" s="104"/>
      <c r="J3" s="43"/>
      <c r="K3" s="43"/>
      <c r="L3" s="43"/>
    </row>
    <row r="4" spans="2:12" ht="11.25">
      <c r="B4" s="5"/>
      <c r="C4" s="5"/>
      <c r="D4" s="9"/>
      <c r="E4" s="10"/>
      <c r="F4" s="10"/>
      <c r="H4" s="43"/>
      <c r="J4" s="43"/>
      <c r="K4" s="43"/>
      <c r="L4" s="43"/>
    </row>
    <row r="5" spans="1:12" ht="11.25">
      <c r="A5" s="4" t="s">
        <v>177</v>
      </c>
      <c r="B5" s="5"/>
      <c r="C5" s="5"/>
      <c r="D5" s="9"/>
      <c r="E5" s="10"/>
      <c r="F5" s="10"/>
      <c r="H5" s="43"/>
      <c r="J5" s="43"/>
      <c r="K5" s="43"/>
      <c r="L5" s="43"/>
    </row>
    <row r="6" spans="2:12" ht="11.25">
      <c r="B6" s="5"/>
      <c r="C6" s="5"/>
      <c r="D6" s="9"/>
      <c r="E6" s="10"/>
      <c r="F6" s="10"/>
      <c r="H6" s="43"/>
      <c r="J6" s="43"/>
      <c r="K6" s="43"/>
      <c r="L6" s="43"/>
    </row>
    <row r="7" spans="1:12" ht="11.25">
      <c r="A7" s="4" t="s">
        <v>0</v>
      </c>
      <c r="B7" s="12" t="s">
        <v>1</v>
      </c>
      <c r="C7" s="12" t="s">
        <v>2</v>
      </c>
      <c r="D7" s="13" t="s">
        <v>3</v>
      </c>
      <c r="E7" s="14" t="s">
        <v>4</v>
      </c>
      <c r="F7" s="14" t="s">
        <v>4</v>
      </c>
      <c r="G7" s="11" t="s">
        <v>5</v>
      </c>
      <c r="H7" s="45" t="s">
        <v>3</v>
      </c>
      <c r="I7" s="12" t="s">
        <v>110</v>
      </c>
      <c r="J7" s="45" t="s">
        <v>7</v>
      </c>
      <c r="K7" s="45" t="s">
        <v>8</v>
      </c>
      <c r="L7" s="45" t="s">
        <v>9</v>
      </c>
    </row>
    <row r="8" spans="1:12" ht="11.25">
      <c r="A8" s="4"/>
      <c r="B8" s="12" t="s">
        <v>10</v>
      </c>
      <c r="C8" s="12" t="s">
        <v>11</v>
      </c>
      <c r="D8" s="13" t="s">
        <v>12</v>
      </c>
      <c r="E8" s="14" t="s">
        <v>13</v>
      </c>
      <c r="F8" s="14" t="s">
        <v>109</v>
      </c>
      <c r="G8" s="11"/>
      <c r="H8" s="45" t="s">
        <v>14</v>
      </c>
      <c r="I8" s="12" t="s">
        <v>111</v>
      </c>
      <c r="J8" s="45" t="s">
        <v>16</v>
      </c>
      <c r="K8" s="45" t="s">
        <v>16</v>
      </c>
      <c r="L8" s="45" t="s">
        <v>16</v>
      </c>
    </row>
    <row r="9" spans="2:12" ht="11.25">
      <c r="B9" s="5"/>
      <c r="C9" s="5"/>
      <c r="D9" s="9"/>
      <c r="E9" s="10"/>
      <c r="F9" s="10"/>
      <c r="H9" s="43"/>
      <c r="J9" s="43"/>
      <c r="K9" s="43"/>
      <c r="L9" s="43"/>
    </row>
    <row r="10" spans="1:12" ht="11.25">
      <c r="A10" s="11" t="s">
        <v>17</v>
      </c>
      <c r="B10" s="41">
        <v>0</v>
      </c>
      <c r="C10" s="41">
        <f>'2005 Mar-Dec Fixed Variable Cal'!F5</f>
        <v>0.0031</v>
      </c>
      <c r="D10" s="9">
        <v>0</v>
      </c>
      <c r="E10" s="10">
        <v>0</v>
      </c>
      <c r="F10" s="10">
        <f>'2005 Mar-Dec Fixed Variable Cal'!F17</f>
        <v>0.14691943127962084</v>
      </c>
      <c r="G10" s="3" t="s">
        <v>38</v>
      </c>
      <c r="H10" s="47">
        <v>0</v>
      </c>
      <c r="I10" s="27">
        <v>0</v>
      </c>
      <c r="J10" s="47">
        <f>E10*H10</f>
        <v>0</v>
      </c>
      <c r="K10" s="43">
        <f>I10*C10</f>
        <v>0</v>
      </c>
      <c r="L10" s="43">
        <f aca="true" t="shared" si="0" ref="L10:L21">+J10+K10</f>
        <v>0</v>
      </c>
    </row>
    <row r="11" spans="2:12" ht="11.25">
      <c r="B11" s="5"/>
      <c r="C11" s="5"/>
      <c r="D11" s="9"/>
      <c r="E11" s="10"/>
      <c r="F11" s="10"/>
      <c r="G11" s="3" t="s">
        <v>39</v>
      </c>
      <c r="H11" s="47">
        <v>0</v>
      </c>
      <c r="I11" s="27">
        <v>0</v>
      </c>
      <c r="J11" s="47">
        <f>E10*H11</f>
        <v>0</v>
      </c>
      <c r="K11" s="43">
        <f>I11*C10</f>
        <v>0</v>
      </c>
      <c r="L11" s="43">
        <f t="shared" si="0"/>
        <v>0</v>
      </c>
    </row>
    <row r="12" spans="2:12" ht="11.25">
      <c r="B12" s="5"/>
      <c r="C12" s="5"/>
      <c r="D12" s="9"/>
      <c r="E12" s="10"/>
      <c r="F12" s="10"/>
      <c r="G12" s="3" t="s">
        <v>18</v>
      </c>
      <c r="H12" s="47">
        <v>0</v>
      </c>
      <c r="I12" s="27">
        <v>0</v>
      </c>
      <c r="J12" s="47">
        <f>+$E$10*H12</f>
        <v>0</v>
      </c>
      <c r="K12" s="43">
        <f>I12*C10</f>
        <v>0</v>
      </c>
      <c r="L12" s="43">
        <f t="shared" si="0"/>
        <v>0</v>
      </c>
    </row>
    <row r="13" spans="2:12" ht="11.25">
      <c r="B13" s="5"/>
      <c r="C13" s="5"/>
      <c r="D13" s="9"/>
      <c r="E13" s="10"/>
      <c r="F13" s="10"/>
      <c r="G13" s="3" t="s">
        <v>19</v>
      </c>
      <c r="H13" s="47">
        <v>0</v>
      </c>
      <c r="I13" s="27">
        <v>428.36</v>
      </c>
      <c r="J13" s="47">
        <f aca="true" t="shared" si="1" ref="J13:J21">+$E$10*H13</f>
        <v>0</v>
      </c>
      <c r="K13" s="43">
        <f aca="true" t="shared" si="2" ref="K13:K21">$F$10*I13</f>
        <v>62.934407582938384</v>
      </c>
      <c r="L13" s="43">
        <f t="shared" si="0"/>
        <v>62.934407582938384</v>
      </c>
    </row>
    <row r="14" spans="2:12" ht="11.25">
      <c r="B14" s="5"/>
      <c r="C14" s="5"/>
      <c r="D14" s="9"/>
      <c r="E14" s="10"/>
      <c r="F14" s="10"/>
      <c r="G14" s="3" t="s">
        <v>20</v>
      </c>
      <c r="H14" s="47">
        <v>0</v>
      </c>
      <c r="I14" s="27">
        <v>47361.14</v>
      </c>
      <c r="J14" s="47">
        <f t="shared" si="1"/>
        <v>0</v>
      </c>
      <c r="K14" s="43">
        <f t="shared" si="2"/>
        <v>6958.271753554502</v>
      </c>
      <c r="L14" s="43">
        <f t="shared" si="0"/>
        <v>6958.271753554502</v>
      </c>
    </row>
    <row r="15" spans="2:12" ht="11.25">
      <c r="B15" s="5"/>
      <c r="C15" s="40"/>
      <c r="D15" s="32"/>
      <c r="E15" s="10"/>
      <c r="F15" s="10"/>
      <c r="G15" s="3" t="s">
        <v>21</v>
      </c>
      <c r="H15" s="47">
        <v>0</v>
      </c>
      <c r="I15" s="27">
        <v>69653.38</v>
      </c>
      <c r="J15" s="47">
        <f t="shared" si="1"/>
        <v>0</v>
      </c>
      <c r="K15" s="43">
        <f t="shared" si="2"/>
        <v>10233.434976303317</v>
      </c>
      <c r="L15" s="43">
        <f t="shared" si="0"/>
        <v>10233.434976303317</v>
      </c>
    </row>
    <row r="16" spans="2:12" ht="11.25">
      <c r="B16" s="5"/>
      <c r="C16" s="40"/>
      <c r="D16" s="32"/>
      <c r="E16" s="10"/>
      <c r="F16" s="10"/>
      <c r="G16" s="3" t="s">
        <v>22</v>
      </c>
      <c r="H16" s="47">
        <v>0</v>
      </c>
      <c r="I16" s="27">
        <v>73930.08</v>
      </c>
      <c r="J16" s="47">
        <f t="shared" si="1"/>
        <v>0</v>
      </c>
      <c r="K16" s="43">
        <f t="shared" si="2"/>
        <v>10861.76530805687</v>
      </c>
      <c r="L16" s="43">
        <f t="shared" si="0"/>
        <v>10861.76530805687</v>
      </c>
    </row>
    <row r="17" spans="2:12" ht="11.25">
      <c r="B17" s="5"/>
      <c r="C17" s="40"/>
      <c r="D17" s="32"/>
      <c r="E17" s="10"/>
      <c r="F17" s="10"/>
      <c r="G17" s="3" t="s">
        <v>23</v>
      </c>
      <c r="H17" s="47">
        <v>0</v>
      </c>
      <c r="I17" s="27">
        <v>92846.24</v>
      </c>
      <c r="J17" s="47">
        <f t="shared" si="1"/>
        <v>0</v>
      </c>
      <c r="K17" s="43">
        <f t="shared" si="2"/>
        <v>13640.916777251185</v>
      </c>
      <c r="L17" s="43">
        <f t="shared" si="0"/>
        <v>13640.916777251185</v>
      </c>
    </row>
    <row r="18" spans="2:12" ht="11.25">
      <c r="B18" s="5"/>
      <c r="C18" s="40"/>
      <c r="D18" s="32"/>
      <c r="E18" s="10"/>
      <c r="F18" s="10"/>
      <c r="G18" s="3" t="s">
        <v>24</v>
      </c>
      <c r="H18" s="47">
        <v>0</v>
      </c>
      <c r="I18" s="27">
        <v>85785.72</v>
      </c>
      <c r="J18" s="47">
        <f t="shared" si="1"/>
        <v>0</v>
      </c>
      <c r="K18" s="43">
        <f t="shared" si="2"/>
        <v>12603.589194312795</v>
      </c>
      <c r="L18" s="43">
        <f t="shared" si="0"/>
        <v>12603.589194312795</v>
      </c>
    </row>
    <row r="19" spans="2:12" ht="11.25">
      <c r="B19" s="5"/>
      <c r="C19" s="5"/>
      <c r="D19" s="9"/>
      <c r="E19" s="10"/>
      <c r="F19" s="10"/>
      <c r="G19" s="3" t="s">
        <v>25</v>
      </c>
      <c r="H19" s="47">
        <v>0</v>
      </c>
      <c r="I19" s="27">
        <v>73130.94</v>
      </c>
      <c r="J19" s="47">
        <f t="shared" si="1"/>
        <v>0</v>
      </c>
      <c r="K19" s="43">
        <f t="shared" si="2"/>
        <v>10744.356113744076</v>
      </c>
      <c r="L19" s="43">
        <f t="shared" si="0"/>
        <v>10744.356113744076</v>
      </c>
    </row>
    <row r="20" spans="2:12" ht="11.25">
      <c r="B20" s="5"/>
      <c r="C20" s="5"/>
      <c r="D20" s="9"/>
      <c r="E20" s="10"/>
      <c r="F20" s="10"/>
      <c r="G20" s="3" t="s">
        <v>26</v>
      </c>
      <c r="H20" s="47">
        <v>0</v>
      </c>
      <c r="I20" s="27">
        <v>72497.51</v>
      </c>
      <c r="J20" s="47">
        <f t="shared" si="1"/>
        <v>0</v>
      </c>
      <c r="K20" s="43">
        <f t="shared" si="2"/>
        <v>10651.292938388624</v>
      </c>
      <c r="L20" s="43">
        <f t="shared" si="0"/>
        <v>10651.292938388624</v>
      </c>
    </row>
    <row r="21" spans="2:13" ht="11.25">
      <c r="B21" s="5"/>
      <c r="C21" s="5"/>
      <c r="D21" s="9"/>
      <c r="E21" s="10"/>
      <c r="F21" s="10"/>
      <c r="G21" s="3" t="s">
        <v>27</v>
      </c>
      <c r="H21" s="47">
        <v>0</v>
      </c>
      <c r="I21" s="27">
        <v>71718.71</v>
      </c>
      <c r="J21" s="47">
        <f t="shared" si="1"/>
        <v>0</v>
      </c>
      <c r="K21" s="43">
        <f t="shared" si="2"/>
        <v>10536.872085308058</v>
      </c>
      <c r="L21" s="43">
        <f t="shared" si="0"/>
        <v>10536.872085308058</v>
      </c>
      <c r="M21" s="49"/>
    </row>
    <row r="22" spans="2:12" ht="11.25">
      <c r="B22" s="5"/>
      <c r="C22" s="5"/>
      <c r="D22" s="9"/>
      <c r="E22" s="10"/>
      <c r="F22" s="10"/>
      <c r="H22" s="47"/>
      <c r="I22" s="27"/>
      <c r="J22" s="47"/>
      <c r="K22" s="43"/>
      <c r="L22" s="43"/>
    </row>
    <row r="23" spans="1:12" ht="11.25">
      <c r="A23" s="11" t="s">
        <v>28</v>
      </c>
      <c r="B23" s="41">
        <v>0</v>
      </c>
      <c r="C23" s="41">
        <f>'2005 Mar-Dec Fixed Variable Cal'!F6</f>
        <v>0.0014</v>
      </c>
      <c r="D23" s="9">
        <v>0</v>
      </c>
      <c r="E23" s="10">
        <v>0</v>
      </c>
      <c r="F23" s="10">
        <f>'2005 Mar-Dec Fixed Variable Cal'!F18</f>
        <v>0.09333333333333332</v>
      </c>
      <c r="G23" s="3" t="s">
        <v>40</v>
      </c>
      <c r="H23" s="47">
        <v>0</v>
      </c>
      <c r="I23" s="27">
        <v>0</v>
      </c>
      <c r="J23" s="47">
        <f>E23*H23</f>
        <v>0</v>
      </c>
      <c r="K23" s="43">
        <f>$F$10*I23</f>
        <v>0</v>
      </c>
      <c r="L23" s="43">
        <f aca="true" t="shared" si="3" ref="L23:L34">+J23+K23</f>
        <v>0</v>
      </c>
    </row>
    <row r="24" spans="2:12" ht="11.25">
      <c r="B24" s="5"/>
      <c r="C24" s="5"/>
      <c r="D24" s="9"/>
      <c r="E24" s="10"/>
      <c r="F24" s="10"/>
      <c r="G24" s="3" t="s">
        <v>39</v>
      </c>
      <c r="H24" s="47">
        <v>0</v>
      </c>
      <c r="I24" s="27">
        <v>0</v>
      </c>
      <c r="J24" s="47">
        <f>E23*H24</f>
        <v>0</v>
      </c>
      <c r="K24" s="43">
        <f>$F$10*I24</f>
        <v>0</v>
      </c>
      <c r="L24" s="43">
        <f t="shared" si="3"/>
        <v>0</v>
      </c>
    </row>
    <row r="25" spans="2:12" ht="11.25">
      <c r="B25" s="5"/>
      <c r="C25" s="5"/>
      <c r="D25" s="9"/>
      <c r="E25" s="10"/>
      <c r="F25" s="10"/>
      <c r="G25" s="3" t="s">
        <v>18</v>
      </c>
      <c r="H25" s="47">
        <v>0</v>
      </c>
      <c r="I25" s="27">
        <v>0</v>
      </c>
      <c r="J25" s="47">
        <f>+$E$23*H25</f>
        <v>0</v>
      </c>
      <c r="K25" s="43">
        <f>$F$10*I25</f>
        <v>0</v>
      </c>
      <c r="L25" s="43">
        <f t="shared" si="3"/>
        <v>0</v>
      </c>
    </row>
    <row r="26" spans="2:12" ht="11.25">
      <c r="B26" s="5"/>
      <c r="C26" s="5"/>
      <c r="D26" s="9"/>
      <c r="E26" s="10"/>
      <c r="F26" s="10"/>
      <c r="G26" s="3" t="s">
        <v>19</v>
      </c>
      <c r="H26" s="47">
        <v>0</v>
      </c>
      <c r="I26" s="27">
        <v>695.56</v>
      </c>
      <c r="J26" s="47">
        <f aca="true" t="shared" si="4" ref="J26:J34">+$E$23*H26</f>
        <v>0</v>
      </c>
      <c r="K26" s="43">
        <f>$F$23*I26</f>
        <v>64.91893333333333</v>
      </c>
      <c r="L26" s="43">
        <f t="shared" si="3"/>
        <v>64.91893333333333</v>
      </c>
    </row>
    <row r="27" spans="2:12" ht="11.25">
      <c r="B27" s="5"/>
      <c r="C27" s="5"/>
      <c r="D27" s="9"/>
      <c r="E27" s="10"/>
      <c r="F27" s="10"/>
      <c r="G27" s="3" t="s">
        <v>20</v>
      </c>
      <c r="H27" s="47">
        <v>0</v>
      </c>
      <c r="I27" s="27">
        <v>19717.64</v>
      </c>
      <c r="J27" s="47">
        <f t="shared" si="4"/>
        <v>0</v>
      </c>
      <c r="K27" s="43">
        <f aca="true" t="shared" si="5" ref="K27:K34">$F$23*I27</f>
        <v>1840.3130666666664</v>
      </c>
      <c r="L27" s="43">
        <f t="shared" si="3"/>
        <v>1840.3130666666664</v>
      </c>
    </row>
    <row r="28" spans="2:12" ht="11.25">
      <c r="B28" s="5"/>
      <c r="C28" s="27"/>
      <c r="D28" s="24"/>
      <c r="E28" s="10"/>
      <c r="F28" s="10"/>
      <c r="G28" s="3" t="s">
        <v>21</v>
      </c>
      <c r="H28" s="47">
        <v>0</v>
      </c>
      <c r="I28" s="27">
        <v>30121.55</v>
      </c>
      <c r="J28" s="47">
        <f t="shared" si="4"/>
        <v>0</v>
      </c>
      <c r="K28" s="43">
        <f t="shared" si="5"/>
        <v>2811.3446666666664</v>
      </c>
      <c r="L28" s="43">
        <f t="shared" si="3"/>
        <v>2811.3446666666664</v>
      </c>
    </row>
    <row r="29" spans="2:12" ht="11.25">
      <c r="B29" s="5"/>
      <c r="C29" s="27"/>
      <c r="D29" s="32"/>
      <c r="E29" s="10"/>
      <c r="F29" s="10"/>
      <c r="G29" s="3" t="s">
        <v>22</v>
      </c>
      <c r="H29" s="47">
        <v>0</v>
      </c>
      <c r="I29" s="27">
        <v>32850.63</v>
      </c>
      <c r="J29" s="47">
        <f t="shared" si="4"/>
        <v>0</v>
      </c>
      <c r="K29" s="43">
        <f t="shared" si="5"/>
        <v>3066.0587999999993</v>
      </c>
      <c r="L29" s="43">
        <f t="shared" si="3"/>
        <v>3066.0587999999993</v>
      </c>
    </row>
    <row r="30" spans="2:12" ht="11.25">
      <c r="B30" s="5"/>
      <c r="C30" s="27"/>
      <c r="D30" s="32"/>
      <c r="E30" s="10"/>
      <c r="F30" s="10"/>
      <c r="G30" s="3" t="s">
        <v>23</v>
      </c>
      <c r="H30" s="47">
        <v>0</v>
      </c>
      <c r="I30" s="27">
        <v>37196.84</v>
      </c>
      <c r="J30" s="47">
        <f t="shared" si="4"/>
        <v>0</v>
      </c>
      <c r="K30" s="43">
        <f t="shared" si="5"/>
        <v>3471.705066666666</v>
      </c>
      <c r="L30" s="43">
        <f t="shared" si="3"/>
        <v>3471.705066666666</v>
      </c>
    </row>
    <row r="31" spans="2:12" ht="11.25">
      <c r="B31" s="5"/>
      <c r="C31" s="27"/>
      <c r="D31" s="24"/>
      <c r="E31" s="10"/>
      <c r="F31" s="10"/>
      <c r="G31" s="3" t="s">
        <v>24</v>
      </c>
      <c r="H31" s="47">
        <v>0</v>
      </c>
      <c r="I31" s="27">
        <v>37354.65</v>
      </c>
      <c r="J31" s="47">
        <f t="shared" si="4"/>
        <v>0</v>
      </c>
      <c r="K31" s="43">
        <f t="shared" si="5"/>
        <v>3486.4339999999997</v>
      </c>
      <c r="L31" s="43">
        <f t="shared" si="3"/>
        <v>3486.4339999999997</v>
      </c>
    </row>
    <row r="32" spans="2:12" ht="11.25">
      <c r="B32" s="5"/>
      <c r="C32" s="5"/>
      <c r="D32" s="9"/>
      <c r="E32" s="10"/>
      <c r="F32" s="10"/>
      <c r="G32" s="3" t="s">
        <v>25</v>
      </c>
      <c r="H32" s="47">
        <v>0</v>
      </c>
      <c r="I32" s="27">
        <v>33316.93</v>
      </c>
      <c r="J32" s="47">
        <f t="shared" si="4"/>
        <v>0</v>
      </c>
      <c r="K32" s="43">
        <f t="shared" si="5"/>
        <v>3109.580133333333</v>
      </c>
      <c r="L32" s="43">
        <f t="shared" si="3"/>
        <v>3109.580133333333</v>
      </c>
    </row>
    <row r="33" spans="2:12" ht="11.25">
      <c r="B33" s="5"/>
      <c r="C33" s="5"/>
      <c r="D33" s="9"/>
      <c r="E33" s="10"/>
      <c r="F33" s="10"/>
      <c r="G33" s="3" t="s">
        <v>26</v>
      </c>
      <c r="H33" s="47">
        <v>0</v>
      </c>
      <c r="I33" s="27">
        <v>31172.61</v>
      </c>
      <c r="J33" s="47">
        <f t="shared" si="4"/>
        <v>0</v>
      </c>
      <c r="K33" s="43">
        <f t="shared" si="5"/>
        <v>2909.4435999999996</v>
      </c>
      <c r="L33" s="43">
        <f t="shared" si="3"/>
        <v>2909.4435999999996</v>
      </c>
    </row>
    <row r="34" spans="2:13" ht="11.25">
      <c r="B34" s="5"/>
      <c r="C34" s="5"/>
      <c r="D34" s="9"/>
      <c r="E34" s="10"/>
      <c r="F34" s="10"/>
      <c r="G34" s="3" t="s">
        <v>27</v>
      </c>
      <c r="H34" s="47">
        <v>0</v>
      </c>
      <c r="I34" s="27">
        <v>29196.14</v>
      </c>
      <c r="J34" s="47">
        <f t="shared" si="4"/>
        <v>0</v>
      </c>
      <c r="K34" s="43">
        <f t="shared" si="5"/>
        <v>2724.9730666666665</v>
      </c>
      <c r="L34" s="43">
        <f t="shared" si="3"/>
        <v>2724.9730666666665</v>
      </c>
      <c r="M34" s="49"/>
    </row>
    <row r="35" spans="2:12" ht="11.25">
      <c r="B35" s="5"/>
      <c r="C35" s="5"/>
      <c r="D35" s="9"/>
      <c r="E35" s="10"/>
      <c r="F35" s="10"/>
      <c r="H35" s="47"/>
      <c r="I35" s="27"/>
      <c r="J35" s="47"/>
      <c r="K35" s="43"/>
      <c r="L35" s="43"/>
    </row>
    <row r="36" spans="1:12" ht="11.25">
      <c r="A36" s="11" t="s">
        <v>30</v>
      </c>
      <c r="B36" s="41">
        <v>0</v>
      </c>
      <c r="C36" s="41">
        <f>'2005 Mar-Dec Fixed Variable Cal'!F7</f>
        <v>0.1717</v>
      </c>
      <c r="D36" s="9">
        <v>0</v>
      </c>
      <c r="E36" s="10">
        <v>0</v>
      </c>
      <c r="F36" s="10">
        <f>'2005 Mar-Dec Fixed Variable Cal'!F19</f>
        <v>0.0643842807859607</v>
      </c>
      <c r="G36" s="3" t="s">
        <v>40</v>
      </c>
      <c r="H36" s="47">
        <v>0</v>
      </c>
      <c r="I36" s="27">
        <v>0</v>
      </c>
      <c r="J36" s="47">
        <f>E36*H36</f>
        <v>0</v>
      </c>
      <c r="K36" s="43">
        <f>$F$10*I36</f>
        <v>0</v>
      </c>
      <c r="L36" s="43">
        <f aca="true" t="shared" si="6" ref="L36:L47">+J36+K36</f>
        <v>0</v>
      </c>
    </row>
    <row r="37" spans="2:12" ht="11.25">
      <c r="B37" s="5"/>
      <c r="C37" s="5"/>
      <c r="D37" s="9"/>
      <c r="E37" s="10"/>
      <c r="F37" s="10"/>
      <c r="G37" s="3" t="s">
        <v>39</v>
      </c>
      <c r="H37" s="47">
        <v>0</v>
      </c>
      <c r="I37" s="27">
        <v>0</v>
      </c>
      <c r="J37" s="47">
        <f>E36*H37</f>
        <v>0</v>
      </c>
      <c r="K37" s="43">
        <f>$F$10*I37</f>
        <v>0</v>
      </c>
      <c r="L37" s="43">
        <f t="shared" si="6"/>
        <v>0</v>
      </c>
    </row>
    <row r="38" spans="2:12" ht="11.25">
      <c r="B38" s="5"/>
      <c r="C38" s="5"/>
      <c r="D38" s="9"/>
      <c r="E38" s="10"/>
      <c r="F38" s="10"/>
      <c r="G38" s="3" t="s">
        <v>18</v>
      </c>
      <c r="H38" s="47">
        <v>0</v>
      </c>
      <c r="I38" s="27">
        <v>0</v>
      </c>
      <c r="J38" s="47">
        <f aca="true" t="shared" si="7" ref="J38:J47">$E$36*H38</f>
        <v>0</v>
      </c>
      <c r="K38" s="43">
        <f>$F$10*I38</f>
        <v>0</v>
      </c>
      <c r="L38" s="43">
        <f t="shared" si="6"/>
        <v>0</v>
      </c>
    </row>
    <row r="39" spans="2:12" ht="11.25">
      <c r="B39" s="5"/>
      <c r="C39" s="5"/>
      <c r="D39" s="9"/>
      <c r="E39" s="10"/>
      <c r="F39" s="10"/>
      <c r="G39" s="3" t="s">
        <v>19</v>
      </c>
      <c r="H39" s="47">
        <v>0</v>
      </c>
      <c r="I39" s="27">
        <v>361.25</v>
      </c>
      <c r="J39" s="47">
        <f t="shared" si="7"/>
        <v>0</v>
      </c>
      <c r="K39" s="43">
        <f>$F$36*I39</f>
        <v>23.258821433928304</v>
      </c>
      <c r="L39" s="43">
        <f t="shared" si="6"/>
        <v>23.258821433928304</v>
      </c>
    </row>
    <row r="40" spans="2:12" ht="11.25">
      <c r="B40" s="5"/>
      <c r="C40" s="5"/>
      <c r="D40" s="9"/>
      <c r="E40" s="10"/>
      <c r="F40" s="10"/>
      <c r="G40" s="3" t="s">
        <v>20</v>
      </c>
      <c r="H40" s="47">
        <v>0</v>
      </c>
      <c r="I40" s="27">
        <v>65028.22</v>
      </c>
      <c r="J40" s="47">
        <f t="shared" si="7"/>
        <v>0</v>
      </c>
      <c r="K40" s="43">
        <f aca="true" t="shared" si="8" ref="K40:K47">$F$36*I40</f>
        <v>4186.795175491226</v>
      </c>
      <c r="L40" s="43">
        <f t="shared" si="6"/>
        <v>4186.795175491226</v>
      </c>
    </row>
    <row r="41" spans="2:12" ht="11.25">
      <c r="B41" s="5"/>
      <c r="C41" s="5"/>
      <c r="D41" s="9"/>
      <c r="E41" s="10"/>
      <c r="F41" s="10"/>
      <c r="G41" s="3" t="s">
        <v>21</v>
      </c>
      <c r="H41" s="47">
        <v>0</v>
      </c>
      <c r="I41" s="27">
        <v>88418.85</v>
      </c>
      <c r="J41" s="47">
        <f t="shared" si="7"/>
        <v>0</v>
      </c>
      <c r="K41" s="43">
        <f t="shared" si="8"/>
        <v>5692.7840651717415</v>
      </c>
      <c r="L41" s="43">
        <f t="shared" si="6"/>
        <v>5692.7840651717415</v>
      </c>
    </row>
    <row r="42" spans="2:12" ht="11.25">
      <c r="B42" s="5"/>
      <c r="C42" s="40"/>
      <c r="D42" s="32"/>
      <c r="E42" s="10"/>
      <c r="F42" s="10"/>
      <c r="G42" s="3" t="s">
        <v>22</v>
      </c>
      <c r="H42" s="47">
        <v>0</v>
      </c>
      <c r="I42" s="27">
        <v>84395.69</v>
      </c>
      <c r="J42" s="47">
        <f t="shared" si="7"/>
        <v>0</v>
      </c>
      <c r="K42" s="43">
        <f t="shared" si="8"/>
        <v>5433.755802084896</v>
      </c>
      <c r="L42" s="43">
        <f t="shared" si="6"/>
        <v>5433.755802084896</v>
      </c>
    </row>
    <row r="43" spans="2:12" ht="11.25">
      <c r="B43" s="5"/>
      <c r="C43" s="40"/>
      <c r="D43" s="32"/>
      <c r="E43" s="10"/>
      <c r="F43" s="10"/>
      <c r="G43" s="3" t="s">
        <v>23</v>
      </c>
      <c r="H43" s="47">
        <v>0</v>
      </c>
      <c r="I43" s="27">
        <v>83554.57</v>
      </c>
      <c r="J43" s="47">
        <f t="shared" si="7"/>
        <v>0</v>
      </c>
      <c r="K43" s="43">
        <f t="shared" si="8"/>
        <v>5379.600895830209</v>
      </c>
      <c r="L43" s="43">
        <f t="shared" si="6"/>
        <v>5379.600895830209</v>
      </c>
    </row>
    <row r="44" spans="2:12" ht="11.25">
      <c r="B44" s="5"/>
      <c r="C44" s="5"/>
      <c r="D44" s="9"/>
      <c r="E44" s="10"/>
      <c r="F44" s="10"/>
      <c r="G44" s="3" t="s">
        <v>24</v>
      </c>
      <c r="H44" s="47">
        <v>0</v>
      </c>
      <c r="I44" s="27">
        <v>83630.93</v>
      </c>
      <c r="J44" s="47">
        <f t="shared" si="7"/>
        <v>0</v>
      </c>
      <c r="K44" s="43">
        <f t="shared" si="8"/>
        <v>5384.517279511024</v>
      </c>
      <c r="L44" s="43">
        <f t="shared" si="6"/>
        <v>5384.517279511024</v>
      </c>
    </row>
    <row r="45" spans="2:12" ht="11.25">
      <c r="B45" s="5"/>
      <c r="C45" s="5"/>
      <c r="D45" s="9"/>
      <c r="E45" s="10"/>
      <c r="F45" s="10"/>
      <c r="G45" s="3" t="s">
        <v>25</v>
      </c>
      <c r="H45" s="47">
        <v>0</v>
      </c>
      <c r="I45" s="27">
        <v>75790.31</v>
      </c>
      <c r="J45" s="47">
        <f t="shared" si="7"/>
        <v>0</v>
      </c>
      <c r="K45" s="43">
        <f t="shared" si="8"/>
        <v>4879.704599895005</v>
      </c>
      <c r="L45" s="43">
        <f t="shared" si="6"/>
        <v>4879.704599895005</v>
      </c>
    </row>
    <row r="46" spans="2:12" ht="11.25">
      <c r="B46" s="5"/>
      <c r="C46" s="5"/>
      <c r="D46" s="9"/>
      <c r="E46" s="10"/>
      <c r="F46" s="10"/>
      <c r="G46" s="3" t="s">
        <v>26</v>
      </c>
      <c r="H46" s="47">
        <v>0</v>
      </c>
      <c r="I46" s="27">
        <v>92749.78</v>
      </c>
      <c r="J46" s="47">
        <f t="shared" si="7"/>
        <v>0</v>
      </c>
      <c r="K46" s="43">
        <f t="shared" si="8"/>
        <v>5971.627878356082</v>
      </c>
      <c r="L46" s="43">
        <f t="shared" si="6"/>
        <v>5971.627878356082</v>
      </c>
    </row>
    <row r="47" spans="2:13" ht="11.25">
      <c r="B47" s="5"/>
      <c r="C47" s="5"/>
      <c r="D47" s="9"/>
      <c r="E47" s="10"/>
      <c r="F47" s="10"/>
      <c r="G47" s="3" t="s">
        <v>27</v>
      </c>
      <c r="H47" s="47">
        <v>0</v>
      </c>
      <c r="I47" s="27">
        <v>81182.03</v>
      </c>
      <c r="J47" s="47">
        <f t="shared" si="7"/>
        <v>0</v>
      </c>
      <c r="K47" s="43">
        <f t="shared" si="8"/>
        <v>5226.846614294285</v>
      </c>
      <c r="L47" s="43">
        <f t="shared" si="6"/>
        <v>5226.846614294285</v>
      </c>
      <c r="M47" s="49"/>
    </row>
    <row r="48" spans="2:12" ht="11.25">
      <c r="B48" s="5"/>
      <c r="C48" s="5"/>
      <c r="D48" s="9"/>
      <c r="E48" s="10"/>
      <c r="F48" s="10"/>
      <c r="H48" s="47"/>
      <c r="I48" s="27"/>
      <c r="J48" s="47"/>
      <c r="K48" s="43"/>
      <c r="L48" s="43"/>
    </row>
    <row r="49" spans="2:12" ht="11.25">
      <c r="B49" s="5"/>
      <c r="C49" s="5"/>
      <c r="D49" s="9"/>
      <c r="E49" s="10"/>
      <c r="F49" s="10"/>
      <c r="H49" s="47"/>
      <c r="I49" s="27"/>
      <c r="J49" s="47"/>
      <c r="K49" s="43"/>
      <c r="L49" s="43"/>
    </row>
    <row r="50" spans="2:12" ht="11.25">
      <c r="B50" s="5"/>
      <c r="C50" s="5"/>
      <c r="D50" s="9"/>
      <c r="E50" s="10"/>
      <c r="F50" s="10"/>
      <c r="H50" s="47"/>
      <c r="I50" s="27"/>
      <c r="J50" s="47"/>
      <c r="K50" s="43"/>
      <c r="L50" s="43"/>
    </row>
    <row r="51" spans="1:12" ht="11.25">
      <c r="A51" s="4" t="s">
        <v>51</v>
      </c>
      <c r="C51" s="5"/>
      <c r="D51" s="103" t="s">
        <v>53</v>
      </c>
      <c r="E51" s="103"/>
      <c r="F51" s="103"/>
      <c r="G51" s="103"/>
      <c r="H51" s="103"/>
      <c r="I51" s="27"/>
      <c r="J51" s="47"/>
      <c r="K51" s="43"/>
      <c r="L51" s="43"/>
    </row>
    <row r="52" spans="2:12" ht="11.25">
      <c r="B52" s="5"/>
      <c r="C52" s="5"/>
      <c r="D52" s="103" t="s">
        <v>187</v>
      </c>
      <c r="E52" s="103"/>
      <c r="F52" s="103"/>
      <c r="G52" s="103"/>
      <c r="H52" s="103"/>
      <c r="I52" s="27"/>
      <c r="J52" s="47"/>
      <c r="K52" s="43"/>
      <c r="L52" s="43"/>
    </row>
    <row r="53" spans="2:12" ht="11.25">
      <c r="B53" s="5"/>
      <c r="C53" s="5"/>
      <c r="D53" s="103" t="s">
        <v>43</v>
      </c>
      <c r="E53" s="104"/>
      <c r="F53" s="104"/>
      <c r="G53" s="104"/>
      <c r="H53" s="104"/>
      <c r="I53" s="27"/>
      <c r="J53" s="47"/>
      <c r="K53" s="43"/>
      <c r="L53" s="43"/>
    </row>
    <row r="54" spans="2:12" ht="11.25">
      <c r="B54" s="5"/>
      <c r="C54" s="5"/>
      <c r="D54" s="9"/>
      <c r="E54" s="10"/>
      <c r="F54" s="10"/>
      <c r="H54" s="47"/>
      <c r="I54" s="27"/>
      <c r="J54" s="47"/>
      <c r="K54" s="43"/>
      <c r="L54" s="43"/>
    </row>
    <row r="55" spans="1:12" ht="11.25">
      <c r="A55" s="4" t="s">
        <v>177</v>
      </c>
      <c r="B55" s="5"/>
      <c r="C55" s="5"/>
      <c r="D55" s="9"/>
      <c r="E55" s="10"/>
      <c r="F55" s="10"/>
      <c r="H55" s="47"/>
      <c r="I55" s="27"/>
      <c r="J55" s="47"/>
      <c r="K55" s="43"/>
      <c r="L55" s="43"/>
    </row>
    <row r="56" spans="2:12" ht="11.25">
      <c r="B56" s="5"/>
      <c r="C56" s="5"/>
      <c r="D56" s="9"/>
      <c r="E56" s="10"/>
      <c r="F56" s="10"/>
      <c r="H56" s="47"/>
      <c r="I56" s="27"/>
      <c r="J56" s="47"/>
      <c r="K56" s="43"/>
      <c r="L56" s="43"/>
    </row>
    <row r="57" spans="1:12" ht="11.25">
      <c r="A57" s="4" t="s">
        <v>0</v>
      </c>
      <c r="B57" s="18" t="s">
        <v>1</v>
      </c>
      <c r="C57" s="18" t="s">
        <v>2</v>
      </c>
      <c r="D57" s="19" t="s">
        <v>3</v>
      </c>
      <c r="E57" s="6" t="s">
        <v>4</v>
      </c>
      <c r="F57" s="14" t="s">
        <v>4</v>
      </c>
      <c r="G57" s="4" t="s">
        <v>5</v>
      </c>
      <c r="H57" s="51" t="s">
        <v>3</v>
      </c>
      <c r="I57" s="12" t="s">
        <v>110</v>
      </c>
      <c r="J57" s="51" t="s">
        <v>7</v>
      </c>
      <c r="K57" s="48" t="s">
        <v>8</v>
      </c>
      <c r="L57" s="48" t="s">
        <v>9</v>
      </c>
    </row>
    <row r="58" spans="1:12" ht="11.25">
      <c r="A58" s="4"/>
      <c r="B58" s="18" t="s">
        <v>10</v>
      </c>
      <c r="C58" s="18" t="s">
        <v>11</v>
      </c>
      <c r="D58" s="19" t="s">
        <v>12</v>
      </c>
      <c r="E58" s="6" t="s">
        <v>13</v>
      </c>
      <c r="F58" s="14" t="s">
        <v>109</v>
      </c>
      <c r="G58" s="4"/>
      <c r="H58" s="51" t="s">
        <v>14</v>
      </c>
      <c r="I58" s="12" t="s">
        <v>111</v>
      </c>
      <c r="J58" s="51" t="s">
        <v>16</v>
      </c>
      <c r="K58" s="48" t="s">
        <v>16</v>
      </c>
      <c r="L58" s="48" t="s">
        <v>16</v>
      </c>
    </row>
    <row r="59" spans="2:12" ht="11.25">
      <c r="B59" s="5"/>
      <c r="C59" s="5"/>
      <c r="D59" s="9"/>
      <c r="E59" s="10"/>
      <c r="F59" s="10"/>
      <c r="H59" s="47"/>
      <c r="I59" s="27"/>
      <c r="J59" s="47"/>
      <c r="K59" s="43"/>
      <c r="L59" s="43"/>
    </row>
    <row r="60" spans="2:12" ht="11.25">
      <c r="B60" s="5"/>
      <c r="C60" s="5"/>
      <c r="D60" s="9"/>
      <c r="E60" s="10"/>
      <c r="F60" s="10"/>
      <c r="H60" s="47"/>
      <c r="I60" s="27"/>
      <c r="J60" s="47"/>
      <c r="K60" s="43"/>
      <c r="L60" s="43"/>
    </row>
    <row r="61" spans="1:12" ht="11.25">
      <c r="A61" s="11" t="s">
        <v>31</v>
      </c>
      <c r="B61" s="41">
        <v>0</v>
      </c>
      <c r="C61" s="41">
        <f>'2005 Mar-Dec Fixed Variable Cal'!F11</f>
        <v>0.5133</v>
      </c>
      <c r="D61" s="9">
        <v>0</v>
      </c>
      <c r="E61" s="10">
        <v>0</v>
      </c>
      <c r="F61" s="10">
        <f>'2005 Mar-Dec Fixed Variable Cal'!F23</f>
        <v>0.17742827514690634</v>
      </c>
      <c r="G61" s="3" t="s">
        <v>40</v>
      </c>
      <c r="H61" s="47">
        <v>0</v>
      </c>
      <c r="I61" s="27">
        <v>0</v>
      </c>
      <c r="J61" s="47">
        <f>H61*E$61</f>
        <v>0</v>
      </c>
      <c r="K61" s="43">
        <f>$F$10*I61</f>
        <v>0</v>
      </c>
      <c r="L61" s="43">
        <f>SUM(J61:K61)</f>
        <v>0</v>
      </c>
    </row>
    <row r="62" spans="1:12" ht="11.25">
      <c r="A62" s="11" t="s">
        <v>32</v>
      </c>
      <c r="B62" s="5"/>
      <c r="C62" s="5"/>
      <c r="D62" s="9"/>
      <c r="E62" s="10"/>
      <c r="F62" s="10"/>
      <c r="G62" s="3" t="s">
        <v>39</v>
      </c>
      <c r="H62" s="47">
        <v>0</v>
      </c>
      <c r="I62" s="27">
        <v>0</v>
      </c>
      <c r="J62" s="47">
        <f>H62*E$61</f>
        <v>0</v>
      </c>
      <c r="K62" s="43">
        <f>$F$10*I62</f>
        <v>0</v>
      </c>
      <c r="L62" s="43">
        <f>SUM(J62:K62)</f>
        <v>0</v>
      </c>
    </row>
    <row r="63" spans="2:12" ht="11.25">
      <c r="B63" s="5"/>
      <c r="C63" s="5"/>
      <c r="D63" s="9"/>
      <c r="E63" s="10"/>
      <c r="F63" s="10"/>
      <c r="G63" s="3" t="s">
        <v>18</v>
      </c>
      <c r="H63" s="47">
        <v>0</v>
      </c>
      <c r="I63" s="27">
        <v>0</v>
      </c>
      <c r="J63" s="47">
        <f>H63*$E$61</f>
        <v>0</v>
      </c>
      <c r="K63" s="43">
        <f>$F$10*I63</f>
        <v>0</v>
      </c>
      <c r="L63" s="43">
        <f>SUM(J63:K63)</f>
        <v>0</v>
      </c>
    </row>
    <row r="64" spans="2:12" ht="11.25">
      <c r="B64" s="5"/>
      <c r="C64" s="5"/>
      <c r="D64" s="9"/>
      <c r="E64" s="10"/>
      <c r="F64" s="10"/>
      <c r="G64" s="3" t="s">
        <v>19</v>
      </c>
      <c r="H64" s="47">
        <v>0</v>
      </c>
      <c r="I64" s="27">
        <v>1.89</v>
      </c>
      <c r="J64" s="47">
        <f aca="true" t="shared" si="9" ref="J64:J72">H64*$E$61</f>
        <v>0</v>
      </c>
      <c r="K64" s="43">
        <f>$F$61*I64</f>
        <v>0.335339440027653</v>
      </c>
      <c r="L64" s="43">
        <f>SUM(J64:K64)</f>
        <v>0.335339440027653</v>
      </c>
    </row>
    <row r="65" spans="2:12" ht="11.25">
      <c r="B65" s="5"/>
      <c r="C65" s="5"/>
      <c r="D65" s="9"/>
      <c r="E65" s="10"/>
      <c r="F65" s="10"/>
      <c r="G65" s="3" t="s">
        <v>20</v>
      </c>
      <c r="H65" s="47">
        <v>0</v>
      </c>
      <c r="I65" s="27">
        <v>20.38</v>
      </c>
      <c r="J65" s="47">
        <f t="shared" si="9"/>
        <v>0</v>
      </c>
      <c r="K65" s="43">
        <f aca="true" t="shared" si="10" ref="K65:K72">$F$61*I65</f>
        <v>3.6159882474939513</v>
      </c>
      <c r="L65" s="43">
        <f>SUM(J65:K65)</f>
        <v>3.6159882474939513</v>
      </c>
    </row>
    <row r="66" spans="2:12" ht="11.25">
      <c r="B66" s="5"/>
      <c r="C66" s="5"/>
      <c r="D66" s="9"/>
      <c r="E66" s="10"/>
      <c r="F66" s="10"/>
      <c r="G66" s="3" t="s">
        <v>21</v>
      </c>
      <c r="H66" s="47">
        <v>0</v>
      </c>
      <c r="I66" s="27">
        <v>25.45</v>
      </c>
      <c r="J66" s="47">
        <f t="shared" si="9"/>
        <v>0</v>
      </c>
      <c r="K66" s="43">
        <f t="shared" si="10"/>
        <v>4.5155496024887665</v>
      </c>
      <c r="L66" s="43">
        <f aca="true" t="shared" si="11" ref="L66:L71">SUM(J66:K66)</f>
        <v>4.5155496024887665</v>
      </c>
    </row>
    <row r="67" spans="2:12" ht="11.25">
      <c r="B67" s="5"/>
      <c r="C67" s="40"/>
      <c r="D67" s="32"/>
      <c r="E67" s="10"/>
      <c r="F67" s="10"/>
      <c r="G67" s="3" t="s">
        <v>22</v>
      </c>
      <c r="H67" s="47">
        <v>0</v>
      </c>
      <c r="I67" s="27">
        <v>24.87</v>
      </c>
      <c r="J67" s="47">
        <f t="shared" si="9"/>
        <v>0</v>
      </c>
      <c r="K67" s="43">
        <f t="shared" si="10"/>
        <v>4.412641202903561</v>
      </c>
      <c r="L67" s="43">
        <f t="shared" si="11"/>
        <v>4.412641202903561</v>
      </c>
    </row>
    <row r="68" spans="2:12" ht="11.25">
      <c r="B68" s="5"/>
      <c r="C68" s="40"/>
      <c r="D68" s="32"/>
      <c r="E68" s="10"/>
      <c r="F68" s="10"/>
      <c r="G68" s="3" t="s">
        <v>23</v>
      </c>
      <c r="H68" s="47">
        <v>0</v>
      </c>
      <c r="I68" s="27">
        <v>24.18</v>
      </c>
      <c r="J68" s="47">
        <f t="shared" si="9"/>
        <v>0</v>
      </c>
      <c r="K68" s="43">
        <f t="shared" si="10"/>
        <v>4.290215693052195</v>
      </c>
      <c r="L68" s="43">
        <f t="shared" si="11"/>
        <v>4.290215693052195</v>
      </c>
    </row>
    <row r="69" spans="2:12" ht="11.25">
      <c r="B69" s="5"/>
      <c r="C69" s="40"/>
      <c r="D69" s="32"/>
      <c r="E69" s="10"/>
      <c r="F69" s="10"/>
      <c r="G69" s="3" t="s">
        <v>24</v>
      </c>
      <c r="H69" s="47">
        <v>0</v>
      </c>
      <c r="I69" s="27">
        <v>23.64</v>
      </c>
      <c r="J69" s="47">
        <f t="shared" si="9"/>
        <v>0</v>
      </c>
      <c r="K69" s="43">
        <f t="shared" si="10"/>
        <v>4.194404424472866</v>
      </c>
      <c r="L69" s="43">
        <f t="shared" si="11"/>
        <v>4.194404424472866</v>
      </c>
    </row>
    <row r="70" spans="2:12" ht="11.25">
      <c r="B70" s="5"/>
      <c r="C70" s="5"/>
      <c r="D70" s="9"/>
      <c r="E70" s="10"/>
      <c r="F70" s="10"/>
      <c r="G70" s="3" t="s">
        <v>25</v>
      </c>
      <c r="H70" s="47">
        <v>0</v>
      </c>
      <c r="I70" s="27">
        <v>25.21</v>
      </c>
      <c r="J70" s="47">
        <f t="shared" si="9"/>
        <v>0</v>
      </c>
      <c r="K70" s="43">
        <f t="shared" si="10"/>
        <v>4.472966816453509</v>
      </c>
      <c r="L70" s="43">
        <f t="shared" si="11"/>
        <v>4.472966816453509</v>
      </c>
    </row>
    <row r="71" spans="2:12" ht="11.25">
      <c r="B71" s="5"/>
      <c r="C71" s="5"/>
      <c r="D71" s="9"/>
      <c r="E71" s="10"/>
      <c r="F71" s="10"/>
      <c r="G71" s="3" t="s">
        <v>26</v>
      </c>
      <c r="H71" s="47">
        <v>0</v>
      </c>
      <c r="I71" s="27">
        <v>25.95</v>
      </c>
      <c r="J71" s="47">
        <f t="shared" si="9"/>
        <v>0</v>
      </c>
      <c r="K71" s="43">
        <f t="shared" si="10"/>
        <v>4.60426374006222</v>
      </c>
      <c r="L71" s="43">
        <f t="shared" si="11"/>
        <v>4.60426374006222</v>
      </c>
    </row>
    <row r="72" spans="2:13" ht="11.25">
      <c r="B72" s="5"/>
      <c r="C72" s="5"/>
      <c r="D72" s="9"/>
      <c r="E72" s="10"/>
      <c r="F72" s="10"/>
      <c r="G72" s="3" t="s">
        <v>27</v>
      </c>
      <c r="H72" s="47">
        <v>0</v>
      </c>
      <c r="I72" s="27">
        <v>19.73</v>
      </c>
      <c r="J72" s="47">
        <f t="shared" si="9"/>
        <v>0</v>
      </c>
      <c r="K72" s="43">
        <f t="shared" si="10"/>
        <v>3.5006598686484622</v>
      </c>
      <c r="L72" s="43">
        <f>SUM(J72:K72)</f>
        <v>3.5006598686484622</v>
      </c>
      <c r="M72" s="49"/>
    </row>
    <row r="73" spans="1:12" ht="11.25">
      <c r="A73" s="4"/>
      <c r="B73" s="18"/>
      <c r="C73" s="18"/>
      <c r="D73" s="19"/>
      <c r="E73" s="6"/>
      <c r="F73" s="6"/>
      <c r="G73" s="4"/>
      <c r="H73" s="47"/>
      <c r="I73" s="36"/>
      <c r="J73" s="51"/>
      <c r="K73" s="48"/>
      <c r="L73" s="48"/>
    </row>
    <row r="74" spans="1:12" ht="11.25">
      <c r="A74" s="4" t="s">
        <v>33</v>
      </c>
      <c r="B74" s="41">
        <v>0</v>
      </c>
      <c r="C74" s="41">
        <f>'2005 Mar-Dec Fixed Variable Cal'!F11</f>
        <v>0.5133</v>
      </c>
      <c r="D74" s="9">
        <v>0</v>
      </c>
      <c r="E74" s="10">
        <v>0</v>
      </c>
      <c r="F74" s="10">
        <f>'2005 Mar-Dec Fixed Variable Cal'!F24</f>
        <v>0.236219739292365</v>
      </c>
      <c r="G74" s="3" t="s">
        <v>40</v>
      </c>
      <c r="H74" s="47">
        <v>0</v>
      </c>
      <c r="I74" s="27">
        <v>0</v>
      </c>
      <c r="J74" s="47">
        <f>E74*H74</f>
        <v>0</v>
      </c>
      <c r="K74" s="43">
        <f>$F$10*I74</f>
        <v>0</v>
      </c>
      <c r="L74" s="43">
        <f>SUM(J74:K74)</f>
        <v>0</v>
      </c>
    </row>
    <row r="75" spans="1:12" ht="11.25">
      <c r="A75" s="4" t="s">
        <v>34</v>
      </c>
      <c r="B75" s="5"/>
      <c r="C75" s="5"/>
      <c r="D75" s="9"/>
      <c r="E75" s="10"/>
      <c r="F75" s="10"/>
      <c r="G75" s="3" t="s">
        <v>39</v>
      </c>
      <c r="H75" s="47">
        <v>0</v>
      </c>
      <c r="I75" s="27">
        <v>0</v>
      </c>
      <c r="J75" s="47">
        <f>E74*H75</f>
        <v>0</v>
      </c>
      <c r="K75" s="43">
        <f>$F$10*I75</f>
        <v>0</v>
      </c>
      <c r="L75" s="43">
        <f aca="true" t="shared" si="12" ref="L75:L85">+J75+K75</f>
        <v>0</v>
      </c>
    </row>
    <row r="76" spans="2:12" ht="11.25">
      <c r="B76" s="5"/>
      <c r="C76" s="5"/>
      <c r="D76" s="9"/>
      <c r="E76" s="10"/>
      <c r="F76" s="10"/>
      <c r="G76" s="3" t="s">
        <v>18</v>
      </c>
      <c r="H76" s="47">
        <v>0</v>
      </c>
      <c r="I76" s="27">
        <v>0</v>
      </c>
      <c r="J76" s="47">
        <f>+E74*H76</f>
        <v>0</v>
      </c>
      <c r="K76" s="43">
        <f>$F$10*I76</f>
        <v>0</v>
      </c>
      <c r="L76" s="43">
        <f t="shared" si="12"/>
        <v>0</v>
      </c>
    </row>
    <row r="77" spans="2:12" ht="11.25">
      <c r="B77" s="5"/>
      <c r="C77" s="5"/>
      <c r="D77" s="9"/>
      <c r="E77" s="10"/>
      <c r="F77" s="10"/>
      <c r="G77" s="3" t="s">
        <v>19</v>
      </c>
      <c r="H77" s="47">
        <v>0</v>
      </c>
      <c r="I77" s="27">
        <v>0</v>
      </c>
      <c r="J77" s="47">
        <f>+H77*E74</f>
        <v>0</v>
      </c>
      <c r="K77" s="43">
        <f>$F$74*I77</f>
        <v>0</v>
      </c>
      <c r="L77" s="43">
        <f t="shared" si="12"/>
        <v>0</v>
      </c>
    </row>
    <row r="78" spans="2:12" ht="11.25">
      <c r="B78" s="5"/>
      <c r="C78" s="5"/>
      <c r="D78" s="9"/>
      <c r="E78" s="10"/>
      <c r="F78" s="10"/>
      <c r="G78" s="3" t="s">
        <v>20</v>
      </c>
      <c r="H78" s="47">
        <v>0</v>
      </c>
      <c r="I78" s="27">
        <v>372.58</v>
      </c>
      <c r="J78" s="47">
        <f>E74*H78</f>
        <v>0</v>
      </c>
      <c r="K78" s="43">
        <f aca="true" t="shared" si="13" ref="K78:K85">$F$74*I78</f>
        <v>88.01075046554935</v>
      </c>
      <c r="L78" s="43">
        <f t="shared" si="12"/>
        <v>88.01075046554935</v>
      </c>
    </row>
    <row r="79" spans="2:12" ht="11.25">
      <c r="B79" s="5"/>
      <c r="C79" s="5"/>
      <c r="D79" s="9"/>
      <c r="E79" s="10"/>
      <c r="F79" s="10"/>
      <c r="G79" s="3" t="s">
        <v>21</v>
      </c>
      <c r="H79" s="47">
        <v>0</v>
      </c>
      <c r="I79" s="27">
        <v>372.58</v>
      </c>
      <c r="J79" s="47">
        <f>+E74*H79</f>
        <v>0</v>
      </c>
      <c r="K79" s="43">
        <f t="shared" si="13"/>
        <v>88.01075046554935</v>
      </c>
      <c r="L79" s="43">
        <f t="shared" si="12"/>
        <v>88.01075046554935</v>
      </c>
    </row>
    <row r="80" spans="2:12" ht="11.25">
      <c r="B80" s="5"/>
      <c r="C80" s="40"/>
      <c r="D80" s="32"/>
      <c r="E80" s="10"/>
      <c r="F80" s="10"/>
      <c r="G80" s="3" t="s">
        <v>22</v>
      </c>
      <c r="H80" s="47">
        <v>0</v>
      </c>
      <c r="I80" s="27">
        <v>372.58</v>
      </c>
      <c r="J80" s="47">
        <f>E74*H80</f>
        <v>0</v>
      </c>
      <c r="K80" s="43">
        <f t="shared" si="13"/>
        <v>88.01075046554935</v>
      </c>
      <c r="L80" s="43">
        <f t="shared" si="12"/>
        <v>88.01075046554935</v>
      </c>
    </row>
    <row r="81" spans="2:12" ht="11.25">
      <c r="B81" s="5"/>
      <c r="C81" s="40"/>
      <c r="D81" s="32"/>
      <c r="E81" s="10"/>
      <c r="F81" s="10"/>
      <c r="G81" s="3" t="s">
        <v>23</v>
      </c>
      <c r="H81" s="47">
        <v>0</v>
      </c>
      <c r="I81" s="27">
        <v>384.43</v>
      </c>
      <c r="J81" s="47">
        <f>E74*H81</f>
        <v>0</v>
      </c>
      <c r="K81" s="43">
        <f t="shared" si="13"/>
        <v>90.80995437616389</v>
      </c>
      <c r="L81" s="43">
        <f t="shared" si="12"/>
        <v>90.80995437616389</v>
      </c>
    </row>
    <row r="82" spans="2:12" ht="11.25">
      <c r="B82" s="5"/>
      <c r="C82" s="5"/>
      <c r="D82" s="9"/>
      <c r="E82" s="10"/>
      <c r="F82" s="10"/>
      <c r="G82" s="3" t="s">
        <v>24</v>
      </c>
      <c r="H82" s="47">
        <v>0</v>
      </c>
      <c r="I82" s="27">
        <v>3363.32</v>
      </c>
      <c r="J82" s="47">
        <f>E74*H82</f>
        <v>0</v>
      </c>
      <c r="K82" s="43">
        <f t="shared" si="13"/>
        <v>794.4825735567971</v>
      </c>
      <c r="L82" s="43">
        <f t="shared" si="12"/>
        <v>794.4825735567971</v>
      </c>
    </row>
    <row r="83" spans="2:12" ht="11.25">
      <c r="B83" s="5"/>
      <c r="C83" s="5"/>
      <c r="D83" s="9"/>
      <c r="E83" s="10"/>
      <c r="F83" s="10"/>
      <c r="G83" s="3" t="s">
        <v>25</v>
      </c>
      <c r="H83" s="47">
        <v>0</v>
      </c>
      <c r="I83" s="27">
        <v>1681.66</v>
      </c>
      <c r="J83" s="47">
        <f>E74*H83</f>
        <v>0</v>
      </c>
      <c r="K83" s="43">
        <f t="shared" si="13"/>
        <v>397.24128677839855</v>
      </c>
      <c r="L83" s="43">
        <f t="shared" si="12"/>
        <v>397.24128677839855</v>
      </c>
    </row>
    <row r="84" spans="2:12" ht="11.25">
      <c r="B84" s="5"/>
      <c r="C84" s="5"/>
      <c r="D84" s="9"/>
      <c r="E84" s="10"/>
      <c r="F84" s="10"/>
      <c r="G84" s="3" t="s">
        <v>26</v>
      </c>
      <c r="H84" s="47">
        <v>0</v>
      </c>
      <c r="I84" s="27">
        <v>844.3</v>
      </c>
      <c r="J84" s="47">
        <f>E74*H84</f>
        <v>0</v>
      </c>
      <c r="K84" s="43">
        <f t="shared" si="13"/>
        <v>199.44032588454377</v>
      </c>
      <c r="L84" s="43">
        <f t="shared" si="12"/>
        <v>199.44032588454377</v>
      </c>
    </row>
    <row r="85" spans="2:13" ht="11.25">
      <c r="B85" s="5"/>
      <c r="C85" s="5"/>
      <c r="D85" s="9"/>
      <c r="E85" s="10"/>
      <c r="F85" s="10"/>
      <c r="G85" s="3" t="s">
        <v>27</v>
      </c>
      <c r="H85" s="47">
        <v>0</v>
      </c>
      <c r="I85" s="27">
        <v>844.3</v>
      </c>
      <c r="J85" s="47">
        <f>E74*H85</f>
        <v>0</v>
      </c>
      <c r="K85" s="43">
        <f t="shared" si="13"/>
        <v>199.44032588454377</v>
      </c>
      <c r="L85" s="43">
        <f t="shared" si="12"/>
        <v>199.44032588454377</v>
      </c>
      <c r="M85" s="49"/>
    </row>
    <row r="86" spans="8:10" ht="11.25">
      <c r="H86" s="47"/>
      <c r="I86" s="27"/>
      <c r="J86" s="26"/>
    </row>
    <row r="87" spans="8:10" ht="11.25">
      <c r="H87" s="26"/>
      <c r="I87" s="27"/>
      <c r="J87" s="26"/>
    </row>
    <row r="88" spans="8:12" ht="11.25">
      <c r="H88" s="26"/>
      <c r="I88" s="27"/>
      <c r="J88" s="26"/>
      <c r="L88" s="49">
        <f>SUM(L9:L86)</f>
        <v>153936.48476681684</v>
      </c>
    </row>
    <row r="89" spans="8:12" ht="11.25">
      <c r="H89" s="26"/>
      <c r="I89" s="27"/>
      <c r="J89" s="26"/>
      <c r="L89" s="32"/>
    </row>
    <row r="90" spans="8:12" ht="11.25">
      <c r="H90" s="26"/>
      <c r="I90" s="27"/>
      <c r="J90" s="26"/>
      <c r="L90" s="49"/>
    </row>
    <row r="91" spans="8:10" ht="11.25">
      <c r="H91" s="26"/>
      <c r="I91" s="27"/>
      <c r="J91" s="26"/>
    </row>
    <row r="92" spans="8:10" ht="11.25">
      <c r="H92" s="26"/>
      <c r="I92" s="27"/>
      <c r="J92" s="26"/>
    </row>
    <row r="93" spans="8:10" ht="11.25">
      <c r="H93" s="26"/>
      <c r="I93" s="27"/>
      <c r="J93" s="26"/>
    </row>
    <row r="94" spans="8:10" ht="11.25">
      <c r="H94" s="26"/>
      <c r="I94" s="27"/>
      <c r="J94" s="26"/>
    </row>
    <row r="95" spans="8:10" ht="11.25">
      <c r="H95" s="26"/>
      <c r="I95" s="27"/>
      <c r="J95" s="26"/>
    </row>
    <row r="96" spans="8:10" ht="11.25">
      <c r="H96" s="26"/>
      <c r="I96" s="27"/>
      <c r="J96" s="26"/>
    </row>
    <row r="97" spans="8:10" ht="11.25">
      <c r="H97" s="26"/>
      <c r="I97" s="27"/>
      <c r="J97" s="26"/>
    </row>
    <row r="98" spans="8:10" ht="11.25">
      <c r="H98" s="26"/>
      <c r="I98" s="27"/>
      <c r="J98" s="26"/>
    </row>
    <row r="99" spans="8:10" ht="11.25">
      <c r="H99" s="26"/>
      <c r="I99" s="27"/>
      <c r="J99" s="26"/>
    </row>
    <row r="100" spans="8:10" ht="11.25">
      <c r="H100" s="26"/>
      <c r="I100" s="27"/>
      <c r="J100" s="26"/>
    </row>
    <row r="101" spans="8:10" ht="11.25">
      <c r="H101" s="26"/>
      <c r="I101" s="27"/>
      <c r="J101" s="26"/>
    </row>
    <row r="102" spans="8:10" ht="11.25">
      <c r="H102" s="26"/>
      <c r="I102" s="27"/>
      <c r="J102" s="26"/>
    </row>
    <row r="103" spans="8:10" ht="11.25">
      <c r="H103" s="26"/>
      <c r="I103" s="27"/>
      <c r="J103" s="26"/>
    </row>
    <row r="104" spans="8:10" ht="11.25">
      <c r="H104" s="26"/>
      <c r="I104" s="27"/>
      <c r="J104" s="26"/>
    </row>
    <row r="105" spans="8:10" ht="11.25">
      <c r="H105" s="26"/>
      <c r="I105" s="27"/>
      <c r="J105" s="26"/>
    </row>
    <row r="106" spans="8:10" ht="11.25">
      <c r="H106" s="26"/>
      <c r="I106" s="27"/>
      <c r="J106" s="26"/>
    </row>
    <row r="107" spans="8:10" ht="11.25">
      <c r="H107" s="26"/>
      <c r="I107" s="27"/>
      <c r="J107" s="26"/>
    </row>
    <row r="108" spans="8:10" ht="11.25">
      <c r="H108" s="26"/>
      <c r="I108" s="27"/>
      <c r="J108" s="26"/>
    </row>
    <row r="109" spans="8:10" ht="11.25">
      <c r="H109" s="26"/>
      <c r="I109" s="27"/>
      <c r="J109" s="26"/>
    </row>
    <row r="110" spans="8:10" ht="11.25">
      <c r="H110" s="26"/>
      <c r="I110" s="27"/>
      <c r="J110" s="26"/>
    </row>
    <row r="111" spans="8:10" ht="11.25">
      <c r="H111" s="26"/>
      <c r="I111" s="27"/>
      <c r="J111" s="26"/>
    </row>
    <row r="112" spans="8:10" ht="11.25">
      <c r="H112" s="26"/>
      <c r="I112" s="27"/>
      <c r="J112" s="26"/>
    </row>
    <row r="113" spans="8:10" ht="11.25">
      <c r="H113" s="26"/>
      <c r="I113" s="27"/>
      <c r="J113" s="26"/>
    </row>
    <row r="114" spans="8:10" ht="11.25">
      <c r="H114" s="26"/>
      <c r="I114" s="27"/>
      <c r="J114" s="26"/>
    </row>
    <row r="115" spans="8:10" ht="11.25">
      <c r="H115" s="26"/>
      <c r="I115" s="27"/>
      <c r="J115" s="26"/>
    </row>
    <row r="116" spans="8:10" ht="11.25">
      <c r="H116" s="26"/>
      <c r="I116" s="27"/>
      <c r="J116" s="26"/>
    </row>
    <row r="117" spans="8:10" ht="11.25">
      <c r="H117" s="26"/>
      <c r="I117" s="27"/>
      <c r="J117" s="26"/>
    </row>
    <row r="118" spans="8:10" ht="11.25">
      <c r="H118" s="26"/>
      <c r="I118" s="27"/>
      <c r="J118" s="26"/>
    </row>
    <row r="119" spans="8:10" ht="11.25">
      <c r="H119" s="26"/>
      <c r="I119" s="27"/>
      <c r="J119" s="26"/>
    </row>
    <row r="120" spans="8:10" ht="11.25">
      <c r="H120" s="26"/>
      <c r="I120" s="27"/>
      <c r="J120" s="26"/>
    </row>
    <row r="121" spans="8:10" ht="11.25">
      <c r="H121" s="26"/>
      <c r="I121" s="27"/>
      <c r="J121" s="26"/>
    </row>
  </sheetData>
  <sheetProtection/>
  <mergeCells count="6">
    <mergeCell ref="D52:H52"/>
    <mergeCell ref="D53:H53"/>
    <mergeCell ref="D1:H1"/>
    <mergeCell ref="D2:H2"/>
    <mergeCell ref="D3:H3"/>
    <mergeCell ref="D51:H51"/>
  </mergeCells>
  <printOptions/>
  <pageMargins left="0.7" right="0.7" top="0.75" bottom="0.75" header="0.3" footer="0.3"/>
  <pageSetup fitToHeight="0" fitToWidth="1" orientation="landscape" scale="90" r:id="rId1"/>
  <rowBreaks count="1" manualBreakCount="1">
    <brk id="4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8.00390625" style="0" customWidth="1"/>
    <col min="2" max="11" width="10.28125" style="0" customWidth="1"/>
  </cols>
  <sheetData>
    <row r="1" spans="1:11" ht="18">
      <c r="A1" s="68" t="s">
        <v>113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.75">
      <c r="A2" s="64"/>
      <c r="B2" s="102" t="s">
        <v>114</v>
      </c>
      <c r="C2" s="102"/>
      <c r="D2" s="102" t="s">
        <v>115</v>
      </c>
      <c r="E2" s="102"/>
      <c r="F2" s="62" t="s">
        <v>116</v>
      </c>
      <c r="G2" s="62" t="s">
        <v>117</v>
      </c>
      <c r="H2" s="62" t="s">
        <v>118</v>
      </c>
      <c r="I2" s="62" t="s">
        <v>119</v>
      </c>
      <c r="J2" s="102" t="s">
        <v>120</v>
      </c>
      <c r="K2" s="102"/>
    </row>
    <row r="3" spans="1:11" ht="12.75">
      <c r="A3" s="64"/>
      <c r="B3" s="101" t="s">
        <v>121</v>
      </c>
      <c r="C3" s="101"/>
      <c r="D3" s="100" t="s">
        <v>122</v>
      </c>
      <c r="E3" s="100"/>
      <c r="F3" s="61" t="s">
        <v>123</v>
      </c>
      <c r="G3" s="61" t="s">
        <v>124</v>
      </c>
      <c r="H3" s="61" t="s">
        <v>125</v>
      </c>
      <c r="I3" s="61" t="s">
        <v>126</v>
      </c>
      <c r="J3" s="100" t="s">
        <v>127</v>
      </c>
      <c r="K3" s="100"/>
    </row>
    <row r="4" spans="1:11" ht="12.75">
      <c r="A4" s="64"/>
      <c r="B4" s="61" t="s">
        <v>72</v>
      </c>
      <c r="C4" s="61" t="s">
        <v>73</v>
      </c>
      <c r="D4" s="61" t="s">
        <v>72</v>
      </c>
      <c r="E4" s="61" t="s">
        <v>73</v>
      </c>
      <c r="F4" s="61" t="s">
        <v>73</v>
      </c>
      <c r="G4" s="61" t="s">
        <v>73</v>
      </c>
      <c r="H4" s="61" t="s">
        <v>73</v>
      </c>
      <c r="I4" s="61" t="s">
        <v>73</v>
      </c>
      <c r="J4" s="61" t="s">
        <v>72</v>
      </c>
      <c r="K4" s="61" t="s">
        <v>73</v>
      </c>
    </row>
    <row r="5" spans="1:11" ht="12.75">
      <c r="A5" s="64" t="s">
        <v>128</v>
      </c>
      <c r="B5" s="112">
        <v>9.83</v>
      </c>
      <c r="C5" s="113">
        <v>0.0135</v>
      </c>
      <c r="D5" s="114">
        <v>1.1617</v>
      </c>
      <c r="E5" s="114">
        <v>0.0016</v>
      </c>
      <c r="F5" s="114">
        <v>0.0031</v>
      </c>
      <c r="G5" s="114">
        <v>0.0019</v>
      </c>
      <c r="H5" s="114">
        <v>0.001</v>
      </c>
      <c r="I5" s="112">
        <v>0</v>
      </c>
      <c r="J5" s="66">
        <v>10.9917</v>
      </c>
      <c r="K5" s="65">
        <v>0.0211</v>
      </c>
    </row>
    <row r="6" spans="1:11" ht="12.75">
      <c r="A6" s="64" t="s">
        <v>129</v>
      </c>
      <c r="B6" s="112">
        <v>10.86</v>
      </c>
      <c r="C6" s="113">
        <v>0.01</v>
      </c>
      <c r="D6" s="114">
        <v>1.2842</v>
      </c>
      <c r="E6" s="114">
        <v>0.0012</v>
      </c>
      <c r="F6" s="114">
        <v>0.0014</v>
      </c>
      <c r="G6" s="114">
        <v>0.0019</v>
      </c>
      <c r="H6" s="114">
        <v>0.0005</v>
      </c>
      <c r="I6" s="112">
        <v>0</v>
      </c>
      <c r="J6" s="66">
        <v>12.1442</v>
      </c>
      <c r="K6" s="65">
        <v>0.015000000000000001</v>
      </c>
    </row>
    <row r="7" spans="1:11" ht="12.75">
      <c r="A7" s="64" t="s">
        <v>130</v>
      </c>
      <c r="B7" s="112">
        <v>12.21</v>
      </c>
      <c r="C7" s="113">
        <v>1.472</v>
      </c>
      <c r="D7" s="114">
        <v>1.4372</v>
      </c>
      <c r="E7" s="114">
        <v>0.174</v>
      </c>
      <c r="F7" s="114">
        <v>0.1717</v>
      </c>
      <c r="G7" s="114">
        <v>0.7893</v>
      </c>
      <c r="H7" s="114">
        <v>0.0598</v>
      </c>
      <c r="I7" s="112">
        <v>0</v>
      </c>
      <c r="J7" s="66">
        <v>13.647200000000002</v>
      </c>
      <c r="K7" s="65">
        <v>2.6668</v>
      </c>
    </row>
    <row r="8" spans="1:11" ht="12.75">
      <c r="A8" s="64" t="s">
        <v>131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66">
        <v>0</v>
      </c>
      <c r="K8" s="65">
        <v>0</v>
      </c>
    </row>
    <row r="9" spans="1:11" ht="12.75">
      <c r="A9" s="64" t="s">
        <v>77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66">
        <v>0</v>
      </c>
      <c r="K9" s="65">
        <v>0</v>
      </c>
    </row>
    <row r="10" spans="1:11" ht="12.75">
      <c r="A10" s="64" t="s">
        <v>132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66">
        <v>0</v>
      </c>
      <c r="K10" s="65">
        <v>0</v>
      </c>
    </row>
    <row r="11" spans="1:11" ht="12.75">
      <c r="A11" s="64" t="s">
        <v>80</v>
      </c>
      <c r="B11" s="112">
        <v>1.2</v>
      </c>
      <c r="C11" s="113">
        <v>1.3484</v>
      </c>
      <c r="D11" s="114">
        <v>0.1418</v>
      </c>
      <c r="E11" s="114">
        <v>0.1593</v>
      </c>
      <c r="F11" s="114">
        <v>0.5133</v>
      </c>
      <c r="G11" s="114">
        <v>0.6872</v>
      </c>
      <c r="H11" s="114">
        <v>0.1848</v>
      </c>
      <c r="I11" s="112">
        <v>0</v>
      </c>
      <c r="J11" s="66">
        <v>1.3417999999999999</v>
      </c>
      <c r="K11" s="65">
        <v>2.893</v>
      </c>
    </row>
    <row r="12" spans="1:11" ht="12.75">
      <c r="A12" s="64" t="s">
        <v>133</v>
      </c>
      <c r="B12" s="112">
        <v>0.86</v>
      </c>
      <c r="C12" s="113">
        <v>1.0825</v>
      </c>
      <c r="D12" s="114">
        <v>0.1008</v>
      </c>
      <c r="E12" s="114">
        <v>0.1279</v>
      </c>
      <c r="F12" s="114">
        <v>0.7611</v>
      </c>
      <c r="G12" s="114">
        <v>0.9765</v>
      </c>
      <c r="H12" s="114">
        <v>0.274</v>
      </c>
      <c r="I12" s="112">
        <v>0</v>
      </c>
      <c r="J12" s="66">
        <v>0.9608</v>
      </c>
      <c r="K12" s="65">
        <v>3.222</v>
      </c>
    </row>
    <row r="13" spans="1:11" ht="12.75">
      <c r="A13" s="64" t="s">
        <v>81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66">
        <v>0</v>
      </c>
      <c r="K13" s="65">
        <v>0</v>
      </c>
    </row>
    <row r="14" spans="2:9" ht="12.75">
      <c r="B14" s="115"/>
      <c r="C14" s="115"/>
      <c r="D14" s="115"/>
      <c r="E14" s="115"/>
      <c r="F14" s="115"/>
      <c r="G14" s="115"/>
      <c r="H14" s="115"/>
      <c r="I14" s="115"/>
    </row>
    <row r="16" spans="1:11" ht="12.75">
      <c r="A16" s="61" t="s">
        <v>134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2.75">
      <c r="A17" s="64" t="s">
        <v>128</v>
      </c>
      <c r="B17" s="64"/>
      <c r="C17" s="67">
        <v>0.6398104265402843</v>
      </c>
      <c r="D17" s="67"/>
      <c r="E17" s="67">
        <v>0.07582938388625593</v>
      </c>
      <c r="F17" s="67">
        <v>0.14691943127962084</v>
      </c>
      <c r="G17" s="67">
        <v>0.09004739336492891</v>
      </c>
      <c r="H17" s="67">
        <v>0.04739336492890995</v>
      </c>
      <c r="I17" s="67">
        <v>0</v>
      </c>
      <c r="J17" s="67"/>
      <c r="K17" s="67">
        <v>1</v>
      </c>
    </row>
    <row r="18" spans="1:11" ht="12.75">
      <c r="A18" s="64" t="s">
        <v>129</v>
      </c>
      <c r="B18" s="64"/>
      <c r="C18" s="67">
        <v>0.6666666666666666</v>
      </c>
      <c r="D18" s="67"/>
      <c r="E18" s="67">
        <v>0.07999999999999999</v>
      </c>
      <c r="F18" s="67">
        <v>0.09333333333333332</v>
      </c>
      <c r="G18" s="67">
        <v>0.12666666666666665</v>
      </c>
      <c r="H18" s="67">
        <v>0.03333333333333333</v>
      </c>
      <c r="I18" s="67">
        <v>0</v>
      </c>
      <c r="J18" s="67"/>
      <c r="K18" s="67">
        <v>0.9999999999999999</v>
      </c>
    </row>
    <row r="19" spans="1:11" ht="12.75">
      <c r="A19" s="64" t="s">
        <v>130</v>
      </c>
      <c r="B19" s="64"/>
      <c r="C19" s="67">
        <v>0.551972401379931</v>
      </c>
      <c r="D19" s="67"/>
      <c r="E19" s="67">
        <v>0.06524673766311684</v>
      </c>
      <c r="F19" s="67">
        <v>0.0643842807859607</v>
      </c>
      <c r="G19" s="67">
        <v>0.29597270136493176</v>
      </c>
      <c r="H19" s="67">
        <v>0.0224238788060597</v>
      </c>
      <c r="I19" s="67">
        <v>0</v>
      </c>
      <c r="J19" s="67"/>
      <c r="K19" s="67">
        <v>0.9999999999999999</v>
      </c>
    </row>
    <row r="20" spans="1:11" ht="12.75">
      <c r="A20" s="64" t="s">
        <v>131</v>
      </c>
      <c r="B20" s="64"/>
      <c r="C20" s="67">
        <v>0</v>
      </c>
      <c r="D20" s="67"/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/>
      <c r="K20" s="67">
        <v>0</v>
      </c>
    </row>
    <row r="21" spans="1:11" ht="12.75">
      <c r="A21" s="64" t="s">
        <v>77</v>
      </c>
      <c r="B21" s="64"/>
      <c r="C21" s="67">
        <v>0</v>
      </c>
      <c r="D21" s="67"/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/>
      <c r="K21" s="67">
        <v>0</v>
      </c>
    </row>
    <row r="22" spans="1:11" ht="12.75">
      <c r="A22" s="64" t="s">
        <v>132</v>
      </c>
      <c r="B22" s="64"/>
      <c r="C22" s="67">
        <v>0</v>
      </c>
      <c r="D22" s="67"/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/>
      <c r="K22" s="67">
        <v>0</v>
      </c>
    </row>
    <row r="23" spans="1:11" ht="12.75">
      <c r="A23" s="64" t="s">
        <v>80</v>
      </c>
      <c r="B23" s="64"/>
      <c r="C23" s="67">
        <v>0.46609056342896654</v>
      </c>
      <c r="D23" s="67"/>
      <c r="E23" s="67">
        <v>0.05506394745938473</v>
      </c>
      <c r="F23" s="67">
        <v>0.17742827514690634</v>
      </c>
      <c r="G23" s="67">
        <v>0.2375388869685448</v>
      </c>
      <c r="H23" s="67">
        <v>0.06387832699619772</v>
      </c>
      <c r="I23" s="67">
        <v>0</v>
      </c>
      <c r="J23" s="67"/>
      <c r="K23" s="67">
        <v>1.0000000000000002</v>
      </c>
    </row>
    <row r="24" spans="1:11" ht="12.75">
      <c r="A24" s="64" t="s">
        <v>133</v>
      </c>
      <c r="B24" s="64"/>
      <c r="C24" s="67">
        <v>0.33597144630664183</v>
      </c>
      <c r="D24" s="67"/>
      <c r="E24" s="67">
        <v>0.039695841092489144</v>
      </c>
      <c r="F24" s="67">
        <v>0.236219739292365</v>
      </c>
      <c r="G24" s="67">
        <v>0.30307262569832405</v>
      </c>
      <c r="H24" s="67">
        <v>0.08504034761018002</v>
      </c>
      <c r="I24" s="67">
        <v>0</v>
      </c>
      <c r="J24" s="67"/>
      <c r="K24" s="67">
        <v>1</v>
      </c>
    </row>
    <row r="25" spans="1:11" ht="12.75">
      <c r="A25" s="64" t="s">
        <v>81</v>
      </c>
      <c r="B25" s="64"/>
      <c r="C25" s="67">
        <v>0</v>
      </c>
      <c r="D25" s="67"/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/>
      <c r="K25" s="67">
        <v>0</v>
      </c>
    </row>
    <row r="26" spans="1:11" ht="12.75">
      <c r="A26" s="64"/>
      <c r="B26" s="64"/>
      <c r="C26" s="67"/>
      <c r="D26" s="67"/>
      <c r="E26" s="67"/>
      <c r="F26" s="67"/>
      <c r="G26" s="67"/>
      <c r="H26" s="67"/>
      <c r="I26" s="67"/>
      <c r="J26" s="67"/>
      <c r="K26" s="67"/>
    </row>
    <row r="27" spans="1:11" ht="12.75">
      <c r="A27" s="64"/>
      <c r="B27" s="64"/>
      <c r="C27" s="67"/>
      <c r="D27" s="67"/>
      <c r="E27" s="67"/>
      <c r="F27" s="67"/>
      <c r="G27" s="67"/>
      <c r="H27" s="67"/>
      <c r="I27" s="67"/>
      <c r="J27" s="67"/>
      <c r="K27" s="67"/>
    </row>
    <row r="28" spans="1:11" ht="12.75">
      <c r="A28" s="61" t="s">
        <v>135</v>
      </c>
      <c r="B28" s="64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2.75">
      <c r="A29" s="64" t="s">
        <v>128</v>
      </c>
      <c r="B29" s="67">
        <v>0.8943111620586442</v>
      </c>
      <c r="C29" s="67"/>
      <c r="D29" s="67">
        <v>0.10568883794135575</v>
      </c>
      <c r="E29" s="67"/>
      <c r="F29" s="67"/>
      <c r="G29" s="67"/>
      <c r="H29" s="67"/>
      <c r="I29" s="67"/>
      <c r="J29" s="67"/>
      <c r="K29" s="67">
        <v>1</v>
      </c>
    </row>
    <row r="30" spans="1:11" ht="12.75">
      <c r="A30" s="64" t="s">
        <v>129</v>
      </c>
      <c r="B30" s="67">
        <v>0.8942540471994862</v>
      </c>
      <c r="C30" s="67"/>
      <c r="D30" s="67">
        <v>0.10574595280051383</v>
      </c>
      <c r="E30" s="67"/>
      <c r="F30" s="67"/>
      <c r="G30" s="67"/>
      <c r="H30" s="67"/>
      <c r="I30" s="67"/>
      <c r="J30" s="67"/>
      <c r="K30" s="67">
        <v>1</v>
      </c>
    </row>
    <row r="31" spans="1:11" ht="12.75">
      <c r="A31" s="64" t="s">
        <v>130</v>
      </c>
      <c r="B31" s="67">
        <v>0.894689020458409</v>
      </c>
      <c r="C31" s="67"/>
      <c r="D31" s="67">
        <v>0.10531097954159094</v>
      </c>
      <c r="E31" s="67"/>
      <c r="F31" s="67"/>
      <c r="G31" s="67"/>
      <c r="H31" s="67"/>
      <c r="I31" s="67"/>
      <c r="J31" s="67"/>
      <c r="K31" s="67">
        <v>1</v>
      </c>
    </row>
    <row r="32" spans="1:11" ht="12.75">
      <c r="A32" s="64" t="s">
        <v>131</v>
      </c>
      <c r="B32" s="67">
        <v>0</v>
      </c>
      <c r="C32" s="67"/>
      <c r="D32" s="67">
        <v>0</v>
      </c>
      <c r="E32" s="67"/>
      <c r="F32" s="67"/>
      <c r="G32" s="67"/>
      <c r="H32" s="67"/>
      <c r="I32" s="67"/>
      <c r="J32" s="67"/>
      <c r="K32" s="67">
        <v>0</v>
      </c>
    </row>
    <row r="33" spans="1:11" ht="12.75">
      <c r="A33" s="64" t="s">
        <v>77</v>
      </c>
      <c r="B33" s="67">
        <v>0</v>
      </c>
      <c r="C33" s="67"/>
      <c r="D33" s="67">
        <v>0</v>
      </c>
      <c r="E33" s="67"/>
      <c r="F33" s="67"/>
      <c r="G33" s="67"/>
      <c r="H33" s="67"/>
      <c r="I33" s="67"/>
      <c r="J33" s="67"/>
      <c r="K33" s="67">
        <v>0</v>
      </c>
    </row>
    <row r="34" spans="1:11" ht="12.75">
      <c r="A34" s="64" t="s">
        <v>132</v>
      </c>
      <c r="B34" s="67">
        <v>0</v>
      </c>
      <c r="C34" s="67"/>
      <c r="D34" s="67">
        <v>0</v>
      </c>
      <c r="E34" s="67"/>
      <c r="F34" s="67"/>
      <c r="G34" s="67"/>
      <c r="H34" s="67"/>
      <c r="I34" s="67"/>
      <c r="J34" s="67"/>
      <c r="K34" s="67">
        <v>0</v>
      </c>
    </row>
    <row r="35" spans="1:11" ht="12.75">
      <c r="A35" s="64" t="s">
        <v>80</v>
      </c>
      <c r="B35" s="67">
        <v>0.8943210612609928</v>
      </c>
      <c r="C35" s="67"/>
      <c r="D35" s="67">
        <v>0.10567893873900731</v>
      </c>
      <c r="E35" s="67"/>
      <c r="F35" s="67"/>
      <c r="G35" s="67"/>
      <c r="H35" s="67"/>
      <c r="I35" s="67"/>
      <c r="J35" s="67"/>
      <c r="K35" s="67">
        <v>1</v>
      </c>
    </row>
    <row r="36" spans="1:11" ht="12.75">
      <c r="A36" s="64" t="s">
        <v>133</v>
      </c>
      <c r="B36" s="67">
        <v>0.8950874271440467</v>
      </c>
      <c r="C36" s="67"/>
      <c r="D36" s="67">
        <v>0.10491257285595337</v>
      </c>
      <c r="E36" s="67"/>
      <c r="F36" s="67"/>
      <c r="G36" s="67"/>
      <c r="H36" s="67"/>
      <c r="I36" s="67"/>
      <c r="J36" s="67"/>
      <c r="K36" s="67">
        <v>1</v>
      </c>
    </row>
    <row r="37" spans="1:11" ht="12.75">
      <c r="A37" s="64" t="s">
        <v>81</v>
      </c>
      <c r="B37" s="67">
        <v>0</v>
      </c>
      <c r="C37" s="67"/>
      <c r="D37" s="67">
        <v>0</v>
      </c>
      <c r="E37" s="67"/>
      <c r="F37" s="67"/>
      <c r="G37" s="67"/>
      <c r="H37" s="67"/>
      <c r="I37" s="67"/>
      <c r="J37" s="67"/>
      <c r="K37" s="67">
        <v>0</v>
      </c>
    </row>
  </sheetData>
  <sheetProtection/>
  <mergeCells count="6">
    <mergeCell ref="D3:E3"/>
    <mergeCell ref="B3:C3"/>
    <mergeCell ref="J3:K3"/>
    <mergeCell ref="B2:C2"/>
    <mergeCell ref="D2:E2"/>
    <mergeCell ref="J2:K2"/>
  </mergeCells>
  <printOptions/>
  <pageMargins left="0.7" right="0.7" top="0.75" bottom="0.75" header="0.3" footer="0.3"/>
  <pageSetup fitToHeight="0" fitToWidth="1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6"/>
  <sheetViews>
    <sheetView zoomScalePageLayoutView="0" workbookViewId="0" topLeftCell="A1">
      <selection activeCell="D1" sqref="D1:G3"/>
    </sheetView>
  </sheetViews>
  <sheetFormatPr defaultColWidth="9.140625" defaultRowHeight="12.75"/>
  <cols>
    <col min="2" max="2" width="11.7109375" style="0" customWidth="1"/>
    <col min="3" max="3" width="10.57421875" style="0" customWidth="1"/>
    <col min="4" max="4" width="10.28125" style="0" customWidth="1"/>
    <col min="5" max="5" width="10.7109375" style="0" customWidth="1"/>
    <col min="6" max="6" width="12.8515625" style="0" customWidth="1"/>
    <col min="7" max="7" width="12.28125" style="0" customWidth="1"/>
    <col min="8" max="8" width="11.8515625" style="0" customWidth="1"/>
    <col min="11" max="11" width="12.28125" style="0" bestFit="1" customWidth="1"/>
  </cols>
  <sheetData>
    <row r="1" spans="2:8" ht="12.75">
      <c r="B1" s="1"/>
      <c r="C1" s="6"/>
      <c r="D1" s="103" t="s">
        <v>53</v>
      </c>
      <c r="E1" s="103"/>
      <c r="F1" s="105"/>
      <c r="G1" s="105"/>
      <c r="H1" s="1"/>
    </row>
    <row r="2" spans="2:8" ht="12.75">
      <c r="B2" s="1"/>
      <c r="C2" s="2"/>
      <c r="D2" s="103" t="s">
        <v>136</v>
      </c>
      <c r="E2" s="103"/>
      <c r="F2" s="105"/>
      <c r="G2" s="105"/>
      <c r="H2" s="1"/>
    </row>
    <row r="3" spans="2:8" ht="12.75">
      <c r="B3" s="1"/>
      <c r="C3" s="1"/>
      <c r="D3" s="103" t="s">
        <v>43</v>
      </c>
      <c r="E3" s="103"/>
      <c r="F3" s="105"/>
      <c r="G3" s="105"/>
      <c r="H3" s="1"/>
    </row>
    <row r="4" spans="2:8" ht="12.75">
      <c r="B4" s="1"/>
      <c r="C4" s="1"/>
      <c r="D4" s="1"/>
      <c r="E4" s="1"/>
      <c r="F4" s="1"/>
      <c r="G4" s="1"/>
      <c r="H4" s="1"/>
    </row>
    <row r="5" spans="1:8" ht="12.75">
      <c r="A5" s="11" t="s">
        <v>5</v>
      </c>
      <c r="B5" s="53" t="s">
        <v>44</v>
      </c>
      <c r="C5" s="53" t="s">
        <v>45</v>
      </c>
      <c r="D5" s="53" t="s">
        <v>46</v>
      </c>
      <c r="E5" s="53" t="s">
        <v>47</v>
      </c>
      <c r="F5" s="53" t="s">
        <v>48</v>
      </c>
      <c r="G5" s="53" t="s">
        <v>9</v>
      </c>
      <c r="H5" s="54" t="s">
        <v>49</v>
      </c>
    </row>
    <row r="6" spans="1:8" ht="12.75">
      <c r="A6" s="3"/>
      <c r="B6" s="49"/>
      <c r="C6" s="49"/>
      <c r="D6" s="49"/>
      <c r="E6" s="49"/>
      <c r="F6" s="49"/>
      <c r="G6" s="49"/>
      <c r="H6" s="49"/>
    </row>
    <row r="7" spans="1:8" ht="12.75">
      <c r="A7" s="3" t="s">
        <v>40</v>
      </c>
      <c r="B7" s="43">
        <f>'2005 Jan-Mar Recovery'!L10+'2005 Mar-Dec Recovery'!L10</f>
        <v>13794.886801342454</v>
      </c>
      <c r="C7" s="49">
        <f>'2005 Jan-Mar Recovery'!L23+'2005 Mar-Dec Recovery'!L23</f>
        <v>6169.778838655692</v>
      </c>
      <c r="D7" s="49">
        <f>'2005 Jan-Mar Recovery'!L36+'2005 Mar-Dec Recovery'!L36</f>
        <v>6784.943383559233</v>
      </c>
      <c r="E7" s="49">
        <f>'2005 Jan-Mar Recovery'!L61+'2005 Mar-Dec Recovery'!L61</f>
        <v>9.240262681171625</v>
      </c>
      <c r="F7" s="49">
        <f>'2005 Jan-Mar Recovery'!L74+'2005 Mar-Dec Recovery'!L74</f>
        <v>42.98387000357795</v>
      </c>
      <c r="G7" s="49">
        <f aca="true" t="shared" si="0" ref="G7:G18">SUM(B7:F7)</f>
        <v>26801.833156242126</v>
      </c>
      <c r="H7" s="49">
        <f>G7</f>
        <v>26801.833156242126</v>
      </c>
    </row>
    <row r="8" spans="1:8" ht="12.75">
      <c r="A8" s="3" t="s">
        <v>39</v>
      </c>
      <c r="B8" s="43">
        <f>'2005 Jan-Mar Recovery'!L11+'2005 Mar-Dec Recovery'!L11</f>
        <v>15501.149871348676</v>
      </c>
      <c r="C8" s="49">
        <f>'2005 Jan-Mar Recovery'!L24+'2005 Mar-Dec Recovery'!L24</f>
        <v>6311.1992319701585</v>
      </c>
      <c r="D8" s="49">
        <f>'2005 Jan-Mar Recovery'!L37+'2005 Mar-Dec Recovery'!L37</f>
        <v>5807.789318788285</v>
      </c>
      <c r="E8" s="49">
        <f>'2005 Jan-Mar Recovery'!L62+'2005 Mar-Dec Recovery'!L62</f>
        <v>40.6530229910998</v>
      </c>
      <c r="F8" s="49">
        <f>'2005 Jan-Mar Recovery'!L75+'2005 Mar-Dec Recovery'!L75</f>
        <v>42.98387000357795</v>
      </c>
      <c r="G8" s="49">
        <f t="shared" si="0"/>
        <v>27703.775315101793</v>
      </c>
      <c r="H8" s="49">
        <f>H7+G8</f>
        <v>54505.60847134392</v>
      </c>
    </row>
    <row r="9" spans="1:8" ht="12.75">
      <c r="A9" s="3" t="s">
        <v>18</v>
      </c>
      <c r="B9" s="43">
        <f>'2005 Jan-Mar Recovery'!L12+'2005 Mar-Dec Recovery'!L12</f>
        <v>14052.495794905679</v>
      </c>
      <c r="C9" s="49">
        <f>'2005 Jan-Mar Recovery'!L25+'2005 Mar-Dec Recovery'!L25</f>
        <v>6485.695870967351</v>
      </c>
      <c r="D9" s="49">
        <f>'2005 Jan-Mar Recovery'!L38+'2005 Mar-Dec Recovery'!L38</f>
        <v>7031.652480751601</v>
      </c>
      <c r="E9" s="49">
        <f>'2005 Jan-Mar Recovery'!L63+'2005 Mar-Dec Recovery'!L63</f>
        <v>16.390086162325897</v>
      </c>
      <c r="F9" s="49">
        <f>'2005 Jan-Mar Recovery'!L76+'2005 Mar-Dec Recovery'!L76</f>
        <v>42.98387000357795</v>
      </c>
      <c r="G9" s="49">
        <f t="shared" si="0"/>
        <v>27629.21810279053</v>
      </c>
      <c r="H9" s="49">
        <f>H8+G9</f>
        <v>82134.82657413445</v>
      </c>
    </row>
    <row r="10" spans="1:8" ht="12.75">
      <c r="A10" s="3" t="s">
        <v>19</v>
      </c>
      <c r="B10" s="43">
        <f>'2005 Jan-Mar Recovery'!L13+'2005 Mar-Dec Recovery'!L13</f>
        <v>13600.767622527905</v>
      </c>
      <c r="C10" s="49">
        <f>'2005 Jan-Mar Recovery'!L26+'2005 Mar-Dec Recovery'!L26</f>
        <v>6188.83406872057</v>
      </c>
      <c r="D10" s="49">
        <f>'2005 Jan-Mar Recovery'!L39+'2005 Mar-Dec Recovery'!L39</f>
        <v>6548.603839144183</v>
      </c>
      <c r="E10" s="49">
        <f>'2005 Jan-Mar Recovery'!L64+'2005 Mar-Dec Recovery'!L64</f>
        <v>16.346140062432486</v>
      </c>
      <c r="F10" s="49">
        <f>'2005 Jan-Mar Recovery'!L77+'2005 Mar-Dec Recovery'!L77</f>
        <v>42.98387000357795</v>
      </c>
      <c r="G10" s="49">
        <f t="shared" si="0"/>
        <v>26397.535540458666</v>
      </c>
      <c r="H10" s="49">
        <f aca="true" t="shared" si="1" ref="H10:H18">H9+G10</f>
        <v>108532.36211459312</v>
      </c>
    </row>
    <row r="11" spans="1:8" ht="12.75">
      <c r="A11" s="3" t="s">
        <v>20</v>
      </c>
      <c r="B11" s="43">
        <f>'2005 Jan-Mar Recovery'!L14+'2005 Mar-Dec Recovery'!L14</f>
        <v>11685.018158440374</v>
      </c>
      <c r="C11" s="49">
        <f>'2005 Jan-Mar Recovery'!L27+'2005 Mar-Dec Recovery'!L27</f>
        <v>3717.385114241568</v>
      </c>
      <c r="D11" s="49">
        <f>'2005 Jan-Mar Recovery'!L40+'2005 Mar-Dec Recovery'!L40</f>
        <v>4637.353060445961</v>
      </c>
      <c r="E11" s="49">
        <f>'2005 Jan-Mar Recovery'!L65+'2005 Mar-Dec Recovery'!L65</f>
        <v>4.30345665647863</v>
      </c>
      <c r="F11" s="49">
        <f>'2005 Jan-Mar Recovery'!L78+'2005 Mar-Dec Recovery'!L78</f>
        <v>88.01075046554935</v>
      </c>
      <c r="G11" s="49">
        <f t="shared" si="0"/>
        <v>20132.07054024993</v>
      </c>
      <c r="H11" s="49">
        <f t="shared" si="1"/>
        <v>128664.43265484305</v>
      </c>
    </row>
    <row r="12" spans="1:8" ht="12.75">
      <c r="A12" s="3" t="s">
        <v>21</v>
      </c>
      <c r="B12" s="43">
        <f>'2005 Jan-Mar Recovery'!L15+'2005 Mar-Dec Recovery'!L15</f>
        <v>10255.707079820979</v>
      </c>
      <c r="C12" s="49">
        <f>'2005 Jan-Mar Recovery'!L28+'2005 Mar-Dec Recovery'!L28</f>
        <v>2773.033826623203</v>
      </c>
      <c r="D12" s="49">
        <f>'2005 Jan-Mar Recovery'!L41+'2005 Mar-Dec Recovery'!L41</f>
        <v>5730.578345333747</v>
      </c>
      <c r="E12" s="49">
        <f>'2005 Jan-Mar Recovery'!L66+'2005 Mar-Dec Recovery'!L66</f>
        <v>14.90978992255002</v>
      </c>
      <c r="F12" s="49">
        <f>'2005 Jan-Mar Recovery'!L79+'2005 Mar-Dec Recovery'!L79</f>
        <v>88.01075046554935</v>
      </c>
      <c r="G12" s="49">
        <f t="shared" si="0"/>
        <v>18862.239792166027</v>
      </c>
      <c r="H12" s="49">
        <f t="shared" si="1"/>
        <v>147526.67244700907</v>
      </c>
    </row>
    <row r="13" spans="1:8" ht="12.75">
      <c r="A13" s="3" t="s">
        <v>22</v>
      </c>
      <c r="B13" s="43">
        <f>'2005 Jan-Mar Recovery'!L16+'2005 Mar-Dec Recovery'!L16</f>
        <v>10867.70968895323</v>
      </c>
      <c r="C13" s="49">
        <f>'2005 Jan-Mar Recovery'!L29+'2005 Mar-Dec Recovery'!L29</f>
        <v>3032.3841963121963</v>
      </c>
      <c r="D13" s="49">
        <f>'2005 Jan-Mar Recovery'!L42+'2005 Mar-Dec Recovery'!L42</f>
        <v>5433.755802084896</v>
      </c>
      <c r="E13" s="49">
        <f>'2005 Jan-Mar Recovery'!L67+'2005 Mar-Dec Recovery'!L67</f>
        <v>4.412641202903561</v>
      </c>
      <c r="F13" s="49">
        <f>'2005 Jan-Mar Recovery'!L80+'2005 Mar-Dec Recovery'!L80</f>
        <v>88.01075046554935</v>
      </c>
      <c r="G13" s="49">
        <f t="shared" si="0"/>
        <v>19426.273079018774</v>
      </c>
      <c r="H13" s="49">
        <f t="shared" si="1"/>
        <v>166952.94552602785</v>
      </c>
    </row>
    <row r="14" spans="1:8" ht="12.75">
      <c r="A14" s="3" t="s">
        <v>23</v>
      </c>
      <c r="B14" s="43">
        <f>'2005 Jan-Mar Recovery'!L17+'2005 Mar-Dec Recovery'!L17</f>
        <v>13652.450998458913</v>
      </c>
      <c r="C14" s="49">
        <f>'2005 Jan-Mar Recovery'!L30+'2005 Mar-Dec Recovery'!L30</f>
        <v>3670.3775999076133</v>
      </c>
      <c r="D14" s="49">
        <f>'2005 Jan-Mar Recovery'!L43+'2005 Mar-Dec Recovery'!L43</f>
        <v>5375.040428846618</v>
      </c>
      <c r="E14" s="49">
        <f>'2005 Jan-Mar Recovery'!L68+'2005 Mar-Dec Recovery'!L68</f>
        <v>4.290215693052195</v>
      </c>
      <c r="F14" s="49">
        <f>'2005 Jan-Mar Recovery'!L81+'2005 Mar-Dec Recovery'!L81</f>
        <v>90.80995437616389</v>
      </c>
      <c r="G14" s="49">
        <f t="shared" si="0"/>
        <v>22792.969197282357</v>
      </c>
      <c r="H14" s="49">
        <f t="shared" si="1"/>
        <v>189745.9147233102</v>
      </c>
    </row>
    <row r="15" spans="1:8" ht="12.75">
      <c r="A15" s="3" t="s">
        <v>24</v>
      </c>
      <c r="B15" s="43">
        <f>'2005 Jan-Mar Recovery'!L18+'2005 Mar-Dec Recovery'!L18</f>
        <v>12603.589194312795</v>
      </c>
      <c r="C15" s="49">
        <f>'2005 Jan-Mar Recovery'!L31+'2005 Mar-Dec Recovery'!L31</f>
        <v>3545.424304780308</v>
      </c>
      <c r="D15" s="49">
        <f>'2005 Jan-Mar Recovery'!L44+'2005 Mar-Dec Recovery'!L44</f>
        <v>5410.220283177382</v>
      </c>
      <c r="E15" s="49">
        <f>'2005 Jan-Mar Recovery'!L69+'2005 Mar-Dec Recovery'!L69</f>
        <v>-1169.246823707616</v>
      </c>
      <c r="F15" s="49">
        <f>'2005 Jan-Mar Recovery'!L82+'2005 Mar-Dec Recovery'!L82</f>
        <v>794.4825735567971</v>
      </c>
      <c r="G15" s="49">
        <f t="shared" si="0"/>
        <v>21184.469532119667</v>
      </c>
      <c r="H15" s="49">
        <f t="shared" si="1"/>
        <v>210930.38425542988</v>
      </c>
    </row>
    <row r="16" spans="1:8" ht="12.75">
      <c r="A16" s="3" t="s">
        <v>25</v>
      </c>
      <c r="B16" s="43">
        <f>'2005 Jan-Mar Recovery'!L19+'2005 Mar-Dec Recovery'!L19</f>
        <v>10744.356113744076</v>
      </c>
      <c r="C16" s="49">
        <f>'2005 Jan-Mar Recovery'!L32+'2005 Mar-Dec Recovery'!L32</f>
        <v>3109.580133333333</v>
      </c>
      <c r="D16" s="49">
        <f>'2005 Jan-Mar Recovery'!L45+'2005 Mar-Dec Recovery'!L45</f>
        <v>4879.704599895005</v>
      </c>
      <c r="E16" s="49">
        <f>'2005 Jan-Mar Recovery'!L70+'2005 Mar-Dec Recovery'!L70</f>
        <v>4.472966816453509</v>
      </c>
      <c r="F16" s="49">
        <f>'2005 Jan-Mar Recovery'!L83+'2005 Mar-Dec Recovery'!L83</f>
        <v>397.24128677839855</v>
      </c>
      <c r="G16" s="49">
        <f t="shared" si="0"/>
        <v>19135.355100567263</v>
      </c>
      <c r="H16" s="49">
        <f t="shared" si="1"/>
        <v>230065.73935599712</v>
      </c>
    </row>
    <row r="17" spans="1:8" ht="12.75">
      <c r="A17" s="3" t="s">
        <v>26</v>
      </c>
      <c r="B17" s="43">
        <f>'2005 Jan-Mar Recovery'!L20+'2005 Mar-Dec Recovery'!L20</f>
        <v>10651.292938388624</v>
      </c>
      <c r="C17" s="49">
        <f>'2005 Jan-Mar Recovery'!L33+'2005 Mar-Dec Recovery'!L33</f>
        <v>2909.4435999999996</v>
      </c>
      <c r="D17" s="49">
        <f>'2005 Jan-Mar Recovery'!L46+'2005 Mar-Dec Recovery'!L46</f>
        <v>5971.627878356082</v>
      </c>
      <c r="E17" s="49">
        <f>'2005 Jan-Mar Recovery'!L71+'2005 Mar-Dec Recovery'!L71</f>
        <v>4.60426374006222</v>
      </c>
      <c r="F17" s="49">
        <f>'2005 Jan-Mar Recovery'!L84+'2005 Mar-Dec Recovery'!L84</f>
        <v>199.44032588454377</v>
      </c>
      <c r="G17" s="49">
        <f t="shared" si="0"/>
        <v>19736.40900636931</v>
      </c>
      <c r="H17" s="49">
        <f t="shared" si="1"/>
        <v>249802.14836236642</v>
      </c>
    </row>
    <row r="18" spans="1:8" ht="12.75">
      <c r="A18" s="3" t="s">
        <v>27</v>
      </c>
      <c r="B18" s="63">
        <f>'2005 Jan-Mar Recovery'!L21+'2005 Mar-Dec Recovery'!L21</f>
        <v>10536.872085308058</v>
      </c>
      <c r="C18" s="57">
        <f>'2005 Jan-Mar Recovery'!L34+'2005 Mar-Dec Recovery'!L34</f>
        <v>2724.9730666666665</v>
      </c>
      <c r="D18" s="57">
        <f>'2005 Jan-Mar Recovery'!L47+'2005 Mar-Dec Recovery'!L47</f>
        <v>5226.846614294285</v>
      </c>
      <c r="E18" s="57">
        <f>'2005 Jan-Mar Recovery'!L72+'2005 Mar-Dec Recovery'!L72</f>
        <v>3.5006598686484622</v>
      </c>
      <c r="F18" s="57">
        <f>'2005 Jan-Mar Recovery'!L85+'2005 Mar-Dec Recovery'!L85</f>
        <v>199.44032588454377</v>
      </c>
      <c r="G18" s="57">
        <f t="shared" si="0"/>
        <v>18691.632752022204</v>
      </c>
      <c r="H18" s="57">
        <f t="shared" si="1"/>
        <v>268493.7811143886</v>
      </c>
    </row>
    <row r="19" spans="1:8" ht="12.75">
      <c r="A19" s="3"/>
      <c r="B19" s="49"/>
      <c r="C19" s="49"/>
      <c r="D19" s="49"/>
      <c r="E19" s="49"/>
      <c r="F19" s="49"/>
      <c r="G19" s="49"/>
      <c r="H19" s="49"/>
    </row>
    <row r="20" spans="1:8" ht="12.75">
      <c r="A20" s="3" t="s">
        <v>50</v>
      </c>
      <c r="B20" s="49">
        <f>SUM(B7:B16)</f>
        <v>126758.13132385506</v>
      </c>
      <c r="C20" s="49">
        <f>SUM(C7:C16)</f>
        <v>45003.69318551199</v>
      </c>
      <c r="D20" s="49">
        <f>SUM(D7:D16)</f>
        <v>57639.64154202691</v>
      </c>
      <c r="E20" s="49">
        <f>SUM(E7:E16)</f>
        <v>-1054.2282415191482</v>
      </c>
      <c r="F20" s="49">
        <f>SUM(F7:F16)</f>
        <v>1718.5015461223193</v>
      </c>
      <c r="G20" s="49">
        <f>SUM(G7:G18)</f>
        <v>268493.7811143886</v>
      </c>
      <c r="H20" s="49"/>
    </row>
    <row r="26" ht="12.75">
      <c r="K26" s="1"/>
    </row>
  </sheetData>
  <sheetProtection/>
  <mergeCells count="3">
    <mergeCell ref="D1:G1"/>
    <mergeCell ref="D2:G2"/>
    <mergeCell ref="D3:G3"/>
  </mergeCells>
  <printOptions/>
  <pageMargins left="0.7" right="0.7" top="0.75" bottom="0.75" header="0.3" footer="0.3"/>
  <pageSetup fitToHeight="0" fitToWidth="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zoomScalePageLayoutView="0" workbookViewId="0" topLeftCell="A40">
      <selection activeCell="D51" sqref="D51:H53"/>
    </sheetView>
  </sheetViews>
  <sheetFormatPr defaultColWidth="9.140625" defaultRowHeight="12.75"/>
  <cols>
    <col min="1" max="1" width="9.140625" style="3" customWidth="1"/>
    <col min="2" max="2" width="12.140625" style="3" customWidth="1"/>
    <col min="3" max="3" width="14.140625" style="3" customWidth="1"/>
    <col min="4" max="4" width="10.57421875" style="3" customWidth="1"/>
    <col min="5" max="6" width="10.8515625" style="3" customWidth="1"/>
    <col min="7" max="7" width="9.8515625" style="3" customWidth="1"/>
    <col min="8" max="8" width="12.7109375" style="3" customWidth="1"/>
    <col min="9" max="9" width="14.421875" style="5" customWidth="1"/>
    <col min="10" max="10" width="11.28125" style="3" customWidth="1"/>
    <col min="11" max="11" width="11.421875" style="3" customWidth="1"/>
    <col min="12" max="12" width="10.8515625" style="3" customWidth="1"/>
    <col min="13" max="13" width="9.8515625" style="3" bestFit="1" customWidth="1"/>
    <col min="14" max="16384" width="9.140625" style="3" customWidth="1"/>
  </cols>
  <sheetData>
    <row r="1" spans="1:12" ht="11.25">
      <c r="A1" s="4" t="s">
        <v>52</v>
      </c>
      <c r="C1" s="5"/>
      <c r="D1" s="103" t="s">
        <v>53</v>
      </c>
      <c r="E1" s="103"/>
      <c r="F1" s="103"/>
      <c r="G1" s="103"/>
      <c r="H1" s="103"/>
      <c r="J1" s="43"/>
      <c r="K1" s="43"/>
      <c r="L1" s="43"/>
    </row>
    <row r="2" spans="2:12" ht="11.25">
      <c r="B2" s="5"/>
      <c r="C2" s="5"/>
      <c r="D2" s="103" t="s">
        <v>137</v>
      </c>
      <c r="E2" s="103"/>
      <c r="F2" s="103"/>
      <c r="G2" s="103"/>
      <c r="H2" s="103"/>
      <c r="J2" s="43"/>
      <c r="K2" s="43"/>
      <c r="L2" s="43"/>
    </row>
    <row r="3" spans="2:12" ht="11.25">
      <c r="B3" s="5"/>
      <c r="C3" s="5"/>
      <c r="D3" s="103" t="s">
        <v>43</v>
      </c>
      <c r="E3" s="104"/>
      <c r="F3" s="104"/>
      <c r="G3" s="104"/>
      <c r="H3" s="104"/>
      <c r="J3" s="43"/>
      <c r="K3" s="43"/>
      <c r="L3" s="43"/>
    </row>
    <row r="4" spans="2:12" ht="11.25">
      <c r="B4" s="5"/>
      <c r="C4" s="5"/>
      <c r="D4" s="9"/>
      <c r="E4" s="10"/>
      <c r="F4" s="10"/>
      <c r="H4" s="43"/>
      <c r="J4" s="43"/>
      <c r="K4" s="43"/>
      <c r="L4" s="43"/>
    </row>
    <row r="5" spans="1:12" ht="11.25">
      <c r="A5" s="4" t="s">
        <v>177</v>
      </c>
      <c r="B5" s="5"/>
      <c r="C5" s="5"/>
      <c r="D5" s="9"/>
      <c r="E5" s="10"/>
      <c r="F5" s="10"/>
      <c r="H5" s="43"/>
      <c r="J5" s="43"/>
      <c r="K5" s="43"/>
      <c r="L5" s="43"/>
    </row>
    <row r="6" spans="2:12" ht="11.25">
      <c r="B6" s="5"/>
      <c r="C6" s="5"/>
      <c r="D6" s="9"/>
      <c r="E6" s="10"/>
      <c r="F6" s="10"/>
      <c r="H6" s="43"/>
      <c r="J6" s="43"/>
      <c r="K6" s="43"/>
      <c r="L6" s="43"/>
    </row>
    <row r="7" spans="1:12" ht="11.25">
      <c r="A7" s="4" t="s">
        <v>0</v>
      </c>
      <c r="B7" s="12" t="s">
        <v>1</v>
      </c>
      <c r="C7" s="12" t="s">
        <v>2</v>
      </c>
      <c r="D7" s="13" t="s">
        <v>3</v>
      </c>
      <c r="E7" s="14" t="s">
        <v>4</v>
      </c>
      <c r="F7" s="14" t="s">
        <v>4</v>
      </c>
      <c r="G7" s="11" t="s">
        <v>5</v>
      </c>
      <c r="H7" s="45" t="s">
        <v>3</v>
      </c>
      <c r="I7" s="12" t="s">
        <v>110</v>
      </c>
      <c r="J7" s="45" t="s">
        <v>7</v>
      </c>
      <c r="K7" s="45" t="s">
        <v>8</v>
      </c>
      <c r="L7" s="45" t="s">
        <v>9</v>
      </c>
    </row>
    <row r="8" spans="1:12" ht="11.25">
      <c r="A8" s="4"/>
      <c r="B8" s="12" t="s">
        <v>10</v>
      </c>
      <c r="C8" s="12" t="s">
        <v>11</v>
      </c>
      <c r="D8" s="13" t="s">
        <v>12</v>
      </c>
      <c r="E8" s="14" t="s">
        <v>13</v>
      </c>
      <c r="F8" s="14" t="s">
        <v>109</v>
      </c>
      <c r="G8" s="11"/>
      <c r="H8" s="45" t="s">
        <v>14</v>
      </c>
      <c r="I8" s="12" t="s">
        <v>111</v>
      </c>
      <c r="J8" s="45" t="s">
        <v>16</v>
      </c>
      <c r="K8" s="45" t="s">
        <v>16</v>
      </c>
      <c r="L8" s="45" t="s">
        <v>16</v>
      </c>
    </row>
    <row r="9" spans="2:12" ht="11.25">
      <c r="B9" s="5"/>
      <c r="C9" s="5"/>
      <c r="D9" s="9"/>
      <c r="E9" s="10"/>
      <c r="F9" s="10"/>
      <c r="H9" s="43"/>
      <c r="J9" s="43"/>
      <c r="K9" s="43"/>
      <c r="L9" s="43"/>
    </row>
    <row r="10" spans="1:12" ht="11.25">
      <c r="A10" s="11" t="s">
        <v>17</v>
      </c>
      <c r="B10" s="41">
        <v>0</v>
      </c>
      <c r="C10" s="41">
        <f>'2005 Mar-Dec Fixed Variable Cal'!F5</f>
        <v>0.0031</v>
      </c>
      <c r="D10" s="9">
        <v>0</v>
      </c>
      <c r="E10" s="10">
        <v>0</v>
      </c>
      <c r="F10" s="10">
        <f>'2005 Mar-Dec Fixed Variable Cal'!F17</f>
        <v>0.14691943127962084</v>
      </c>
      <c r="G10" s="3" t="s">
        <v>38</v>
      </c>
      <c r="H10" s="47">
        <v>0</v>
      </c>
      <c r="I10" s="27">
        <v>97834.05</v>
      </c>
      <c r="J10" s="47">
        <f>E10*H10</f>
        <v>0</v>
      </c>
      <c r="K10" s="43">
        <f aca="true" t="shared" si="0" ref="K10:K21">$F$10*I10</f>
        <v>14373.72298578199</v>
      </c>
      <c r="L10" s="43">
        <f aca="true" t="shared" si="1" ref="L10:L21">+J10+K10</f>
        <v>14373.72298578199</v>
      </c>
    </row>
    <row r="11" spans="2:12" ht="11.25">
      <c r="B11" s="5"/>
      <c r="C11" s="5"/>
      <c r="D11" s="9"/>
      <c r="E11" s="10"/>
      <c r="F11" s="10"/>
      <c r="G11" s="3" t="s">
        <v>39</v>
      </c>
      <c r="H11" s="47">
        <v>0</v>
      </c>
      <c r="I11" s="27">
        <v>104852.41</v>
      </c>
      <c r="J11" s="47">
        <f>E10*H11</f>
        <v>0</v>
      </c>
      <c r="K11" s="43">
        <f t="shared" si="0"/>
        <v>15404.85644549763</v>
      </c>
      <c r="L11" s="43">
        <f t="shared" si="1"/>
        <v>15404.85644549763</v>
      </c>
    </row>
    <row r="12" spans="2:12" ht="11.25">
      <c r="B12" s="5"/>
      <c r="C12" s="5"/>
      <c r="D12" s="9"/>
      <c r="E12" s="10"/>
      <c r="F12" s="10"/>
      <c r="G12" s="3" t="s">
        <v>18</v>
      </c>
      <c r="H12" s="47">
        <v>0</v>
      </c>
      <c r="I12" s="27">
        <v>97547.53</v>
      </c>
      <c r="J12" s="47">
        <f>+$E$10*H12</f>
        <v>0</v>
      </c>
      <c r="K12" s="43">
        <f t="shared" si="0"/>
        <v>14331.627630331752</v>
      </c>
      <c r="L12" s="43">
        <f t="shared" si="1"/>
        <v>14331.627630331752</v>
      </c>
    </row>
    <row r="13" spans="2:12" ht="11.25">
      <c r="B13" s="5"/>
      <c r="C13" s="5"/>
      <c r="D13" s="9"/>
      <c r="E13" s="10"/>
      <c r="F13" s="10"/>
      <c r="G13" s="3" t="s">
        <v>19</v>
      </c>
      <c r="H13" s="47">
        <v>0</v>
      </c>
      <c r="I13" s="27">
        <v>85465.82</v>
      </c>
      <c r="J13" s="47">
        <f aca="true" t="shared" si="2" ref="J13:J21">+$E$10*H13</f>
        <v>0</v>
      </c>
      <c r="K13" s="43">
        <f t="shared" si="0"/>
        <v>12556.589668246446</v>
      </c>
      <c r="L13" s="43">
        <f t="shared" si="1"/>
        <v>12556.589668246446</v>
      </c>
    </row>
    <row r="14" spans="2:12" ht="11.25">
      <c r="B14" s="5"/>
      <c r="C14" s="5"/>
      <c r="D14" s="9"/>
      <c r="E14" s="10"/>
      <c r="F14" s="10"/>
      <c r="G14" s="3" t="s">
        <v>20</v>
      </c>
      <c r="H14" s="47">
        <v>0</v>
      </c>
      <c r="I14" s="27">
        <v>89776.57</v>
      </c>
      <c r="J14" s="47">
        <f t="shared" si="2"/>
        <v>0</v>
      </c>
      <c r="K14" s="43">
        <f t="shared" si="0"/>
        <v>13189.922606635071</v>
      </c>
      <c r="L14" s="43">
        <f t="shared" si="1"/>
        <v>13189.922606635071</v>
      </c>
    </row>
    <row r="15" spans="2:12" ht="11.25">
      <c r="B15" s="5"/>
      <c r="C15" s="40"/>
      <c r="D15" s="32"/>
      <c r="E15" s="10"/>
      <c r="F15" s="10"/>
      <c r="G15" s="3" t="s">
        <v>21</v>
      </c>
      <c r="H15" s="47">
        <v>0</v>
      </c>
      <c r="I15" s="27">
        <v>14982.91</v>
      </c>
      <c r="J15" s="47">
        <f t="shared" si="2"/>
        <v>0</v>
      </c>
      <c r="K15" s="43">
        <f t="shared" si="0"/>
        <v>2201.2806161137437</v>
      </c>
      <c r="L15" s="43">
        <f t="shared" si="1"/>
        <v>2201.2806161137437</v>
      </c>
    </row>
    <row r="16" spans="2:12" ht="11.25">
      <c r="B16" s="5"/>
      <c r="C16" s="40"/>
      <c r="D16" s="32"/>
      <c r="E16" s="10"/>
      <c r="F16" s="10"/>
      <c r="G16" s="3" t="s">
        <v>22</v>
      </c>
      <c r="H16" s="47">
        <v>0</v>
      </c>
      <c r="I16" s="27">
        <v>0.58</v>
      </c>
      <c r="J16" s="47">
        <f t="shared" si="2"/>
        <v>0</v>
      </c>
      <c r="K16" s="43">
        <f t="shared" si="0"/>
        <v>0.08521327014218008</v>
      </c>
      <c r="L16" s="43">
        <f t="shared" si="1"/>
        <v>0.08521327014218008</v>
      </c>
    </row>
    <row r="17" spans="2:12" ht="11.25">
      <c r="B17" s="5"/>
      <c r="C17" s="40"/>
      <c r="D17" s="32"/>
      <c r="E17" s="10"/>
      <c r="F17" s="10"/>
      <c r="G17" s="3" t="s">
        <v>23</v>
      </c>
      <c r="H17" s="47">
        <v>0</v>
      </c>
      <c r="I17" s="27">
        <v>0</v>
      </c>
      <c r="J17" s="47">
        <f t="shared" si="2"/>
        <v>0</v>
      </c>
      <c r="K17" s="43">
        <f t="shared" si="0"/>
        <v>0</v>
      </c>
      <c r="L17" s="43">
        <f t="shared" si="1"/>
        <v>0</v>
      </c>
    </row>
    <row r="18" spans="2:12" ht="11.25">
      <c r="B18" s="5"/>
      <c r="C18" s="40"/>
      <c r="D18" s="32"/>
      <c r="E18" s="10"/>
      <c r="F18" s="10"/>
      <c r="G18" s="3" t="s">
        <v>24</v>
      </c>
      <c r="H18" s="47">
        <v>0</v>
      </c>
      <c r="I18" s="27">
        <v>0</v>
      </c>
      <c r="J18" s="47">
        <f t="shared" si="2"/>
        <v>0</v>
      </c>
      <c r="K18" s="43">
        <f t="shared" si="0"/>
        <v>0</v>
      </c>
      <c r="L18" s="43">
        <f t="shared" si="1"/>
        <v>0</v>
      </c>
    </row>
    <row r="19" spans="2:12" ht="11.25">
      <c r="B19" s="5"/>
      <c r="C19" s="5"/>
      <c r="D19" s="9"/>
      <c r="E19" s="10"/>
      <c r="F19" s="10"/>
      <c r="G19" s="3" t="s">
        <v>25</v>
      </c>
      <c r="H19" s="47">
        <v>0</v>
      </c>
      <c r="I19" s="27">
        <v>0</v>
      </c>
      <c r="J19" s="47">
        <f t="shared" si="2"/>
        <v>0</v>
      </c>
      <c r="K19" s="43">
        <f t="shared" si="0"/>
        <v>0</v>
      </c>
      <c r="L19" s="43">
        <f t="shared" si="1"/>
        <v>0</v>
      </c>
    </row>
    <row r="20" spans="2:12" ht="11.25">
      <c r="B20" s="5"/>
      <c r="C20" s="5"/>
      <c r="D20" s="9"/>
      <c r="E20" s="10"/>
      <c r="F20" s="10"/>
      <c r="G20" s="3" t="s">
        <v>26</v>
      </c>
      <c r="H20" s="47">
        <v>0</v>
      </c>
      <c r="I20" s="27">
        <v>0</v>
      </c>
      <c r="J20" s="47">
        <f t="shared" si="2"/>
        <v>0</v>
      </c>
      <c r="K20" s="43">
        <f t="shared" si="0"/>
        <v>0</v>
      </c>
      <c r="L20" s="43">
        <f t="shared" si="1"/>
        <v>0</v>
      </c>
    </row>
    <row r="21" spans="2:13" ht="11.25">
      <c r="B21" s="5"/>
      <c r="C21" s="5"/>
      <c r="D21" s="9"/>
      <c r="E21" s="10"/>
      <c r="F21" s="10"/>
      <c r="G21" s="3" t="s">
        <v>27</v>
      </c>
      <c r="H21" s="47">
        <v>0</v>
      </c>
      <c r="I21" s="27">
        <v>0</v>
      </c>
      <c r="J21" s="47">
        <f t="shared" si="2"/>
        <v>0</v>
      </c>
      <c r="K21" s="43">
        <f t="shared" si="0"/>
        <v>0</v>
      </c>
      <c r="L21" s="43">
        <f t="shared" si="1"/>
        <v>0</v>
      </c>
      <c r="M21" s="49"/>
    </row>
    <row r="22" spans="2:12" ht="11.25">
      <c r="B22" s="5"/>
      <c r="C22" s="5"/>
      <c r="D22" s="9"/>
      <c r="E22" s="10"/>
      <c r="F22" s="10"/>
      <c r="H22" s="47"/>
      <c r="I22" s="27"/>
      <c r="J22" s="47"/>
      <c r="K22" s="43"/>
      <c r="L22" s="43"/>
    </row>
    <row r="23" spans="1:12" ht="11.25">
      <c r="A23" s="11" t="s">
        <v>28</v>
      </c>
      <c r="B23" s="41">
        <v>0</v>
      </c>
      <c r="C23" s="41">
        <f>'2005 Mar-Dec Fixed Variable Cal'!F6</f>
        <v>0.0014</v>
      </c>
      <c r="D23" s="9">
        <v>0</v>
      </c>
      <c r="E23" s="10">
        <v>0</v>
      </c>
      <c r="F23" s="10">
        <f>'2005 Mar-Dec Fixed Variable Cal'!F18</f>
        <v>0.09333333333333332</v>
      </c>
      <c r="G23" s="3" t="s">
        <v>40</v>
      </c>
      <c r="H23" s="47">
        <v>0</v>
      </c>
      <c r="I23" s="27">
        <v>35004.41</v>
      </c>
      <c r="J23" s="47">
        <f>E23*H23</f>
        <v>0</v>
      </c>
      <c r="K23" s="43">
        <f>$F$23*I23</f>
        <v>3267.078266666667</v>
      </c>
      <c r="L23" s="43">
        <f aca="true" t="shared" si="3" ref="L23:L34">+J23+K23</f>
        <v>3267.078266666667</v>
      </c>
    </row>
    <row r="24" spans="2:12" ht="11.25">
      <c r="B24" s="5"/>
      <c r="C24" s="5"/>
      <c r="D24" s="9"/>
      <c r="E24" s="10"/>
      <c r="F24" s="10"/>
      <c r="G24" s="3" t="s">
        <v>39</v>
      </c>
      <c r="H24" s="47">
        <v>0</v>
      </c>
      <c r="I24" s="27">
        <v>34665.7</v>
      </c>
      <c r="J24" s="47">
        <f>E23*H24</f>
        <v>0</v>
      </c>
      <c r="K24" s="43">
        <f aca="true" t="shared" si="4" ref="K24:K34">$F$23*I24</f>
        <v>3235.4653333333326</v>
      </c>
      <c r="L24" s="43">
        <f t="shared" si="3"/>
        <v>3235.4653333333326</v>
      </c>
    </row>
    <row r="25" spans="2:12" ht="11.25">
      <c r="B25" s="5"/>
      <c r="C25" s="5"/>
      <c r="D25" s="9"/>
      <c r="E25" s="10"/>
      <c r="F25" s="10"/>
      <c r="G25" s="3" t="s">
        <v>18</v>
      </c>
      <c r="H25" s="47">
        <v>0</v>
      </c>
      <c r="I25" s="27">
        <v>34267.8</v>
      </c>
      <c r="J25" s="47">
        <f>+$E$23*H25</f>
        <v>0</v>
      </c>
      <c r="K25" s="43">
        <f t="shared" si="4"/>
        <v>3198.328</v>
      </c>
      <c r="L25" s="43">
        <f t="shared" si="3"/>
        <v>3198.328</v>
      </c>
    </row>
    <row r="26" spans="2:12" ht="11.25">
      <c r="B26" s="5"/>
      <c r="C26" s="5"/>
      <c r="D26" s="9"/>
      <c r="E26" s="10"/>
      <c r="F26" s="10"/>
      <c r="G26" s="3" t="s">
        <v>19</v>
      </c>
      <c r="H26" s="47">
        <v>0</v>
      </c>
      <c r="I26" s="27">
        <v>30689.26</v>
      </c>
      <c r="J26" s="47">
        <f aca="true" t="shared" si="5" ref="J26:J34">+$E$23*H26</f>
        <v>0</v>
      </c>
      <c r="K26" s="43">
        <f t="shared" si="4"/>
        <v>2864.3309333333327</v>
      </c>
      <c r="L26" s="43">
        <f t="shared" si="3"/>
        <v>2864.3309333333327</v>
      </c>
    </row>
    <row r="27" spans="2:12" ht="11.25">
      <c r="B27" s="5"/>
      <c r="C27" s="5"/>
      <c r="D27" s="9"/>
      <c r="E27" s="10"/>
      <c r="F27" s="10"/>
      <c r="G27" s="3" t="s">
        <v>20</v>
      </c>
      <c r="H27" s="47">
        <v>0</v>
      </c>
      <c r="I27" s="27">
        <v>33894.4</v>
      </c>
      <c r="J27" s="47">
        <f t="shared" si="5"/>
        <v>0</v>
      </c>
      <c r="K27" s="43">
        <f t="shared" si="4"/>
        <v>3163.4773333333333</v>
      </c>
      <c r="L27" s="43">
        <f t="shared" si="3"/>
        <v>3163.4773333333333</v>
      </c>
    </row>
    <row r="28" spans="2:12" ht="11.25">
      <c r="B28" s="5"/>
      <c r="C28" s="27"/>
      <c r="D28" s="24"/>
      <c r="E28" s="10"/>
      <c r="F28" s="10"/>
      <c r="G28" s="3" t="s">
        <v>21</v>
      </c>
      <c r="H28" s="47">
        <v>0</v>
      </c>
      <c r="I28" s="27">
        <v>7454.86</v>
      </c>
      <c r="J28" s="47">
        <f t="shared" si="5"/>
        <v>0</v>
      </c>
      <c r="K28" s="43">
        <f t="shared" si="4"/>
        <v>695.7869333333332</v>
      </c>
      <c r="L28" s="43">
        <f t="shared" si="3"/>
        <v>695.7869333333332</v>
      </c>
    </row>
    <row r="29" spans="2:12" ht="11.25">
      <c r="B29" s="5"/>
      <c r="C29" s="27"/>
      <c r="D29" s="32"/>
      <c r="E29" s="10"/>
      <c r="F29" s="10"/>
      <c r="G29" s="3" t="s">
        <v>22</v>
      </c>
      <c r="H29" s="47">
        <v>0</v>
      </c>
      <c r="I29" s="27">
        <v>-3.16</v>
      </c>
      <c r="J29" s="47">
        <f t="shared" si="5"/>
        <v>0</v>
      </c>
      <c r="K29" s="43">
        <f t="shared" si="4"/>
        <v>-0.2949333333333333</v>
      </c>
      <c r="L29" s="43">
        <f t="shared" si="3"/>
        <v>-0.2949333333333333</v>
      </c>
    </row>
    <row r="30" spans="2:12" ht="11.25">
      <c r="B30" s="5"/>
      <c r="C30" s="27"/>
      <c r="D30" s="32"/>
      <c r="E30" s="10"/>
      <c r="F30" s="10"/>
      <c r="G30" s="3" t="s">
        <v>23</v>
      </c>
      <c r="H30" s="47">
        <v>0</v>
      </c>
      <c r="I30" s="27">
        <v>0</v>
      </c>
      <c r="J30" s="47">
        <f t="shared" si="5"/>
        <v>0</v>
      </c>
      <c r="K30" s="43">
        <f t="shared" si="4"/>
        <v>0</v>
      </c>
      <c r="L30" s="43">
        <f t="shared" si="3"/>
        <v>0</v>
      </c>
    </row>
    <row r="31" spans="2:12" ht="11.25">
      <c r="B31" s="5"/>
      <c r="C31" s="27"/>
      <c r="D31" s="24"/>
      <c r="E31" s="10"/>
      <c r="F31" s="10"/>
      <c r="G31" s="3" t="s">
        <v>24</v>
      </c>
      <c r="H31" s="47">
        <v>0</v>
      </c>
      <c r="I31" s="27">
        <v>0</v>
      </c>
      <c r="J31" s="47">
        <f t="shared" si="5"/>
        <v>0</v>
      </c>
      <c r="K31" s="43">
        <f t="shared" si="4"/>
        <v>0</v>
      </c>
      <c r="L31" s="43">
        <f t="shared" si="3"/>
        <v>0</v>
      </c>
    </row>
    <row r="32" spans="2:12" ht="11.25">
      <c r="B32" s="5"/>
      <c r="C32" s="5"/>
      <c r="D32" s="9"/>
      <c r="E32" s="10"/>
      <c r="F32" s="10"/>
      <c r="G32" s="3" t="s">
        <v>25</v>
      </c>
      <c r="H32" s="47">
        <v>0</v>
      </c>
      <c r="I32" s="27">
        <v>0</v>
      </c>
      <c r="J32" s="47">
        <f t="shared" si="5"/>
        <v>0</v>
      </c>
      <c r="K32" s="43">
        <f t="shared" si="4"/>
        <v>0</v>
      </c>
      <c r="L32" s="43">
        <f t="shared" si="3"/>
        <v>0</v>
      </c>
    </row>
    <row r="33" spans="2:12" ht="11.25">
      <c r="B33" s="5"/>
      <c r="C33" s="5"/>
      <c r="D33" s="9"/>
      <c r="E33" s="10"/>
      <c r="F33" s="10"/>
      <c r="G33" s="3" t="s">
        <v>26</v>
      </c>
      <c r="H33" s="47">
        <v>0</v>
      </c>
      <c r="I33" s="27">
        <v>0</v>
      </c>
      <c r="J33" s="47">
        <f t="shared" si="5"/>
        <v>0</v>
      </c>
      <c r="K33" s="43">
        <f t="shared" si="4"/>
        <v>0</v>
      </c>
      <c r="L33" s="43">
        <f t="shared" si="3"/>
        <v>0</v>
      </c>
    </row>
    <row r="34" spans="2:13" ht="11.25">
      <c r="B34" s="5"/>
      <c r="C34" s="5"/>
      <c r="D34" s="9"/>
      <c r="E34" s="10"/>
      <c r="F34" s="10"/>
      <c r="G34" s="3" t="s">
        <v>27</v>
      </c>
      <c r="H34" s="47">
        <v>0</v>
      </c>
      <c r="I34" s="27">
        <v>0</v>
      </c>
      <c r="J34" s="47">
        <f t="shared" si="5"/>
        <v>0</v>
      </c>
      <c r="K34" s="43">
        <f t="shared" si="4"/>
        <v>0</v>
      </c>
      <c r="L34" s="43">
        <f t="shared" si="3"/>
        <v>0</v>
      </c>
      <c r="M34" s="49"/>
    </row>
    <row r="35" spans="2:12" ht="11.25">
      <c r="B35" s="5"/>
      <c r="C35" s="5"/>
      <c r="D35" s="9"/>
      <c r="E35" s="10"/>
      <c r="F35" s="10"/>
      <c r="H35" s="47"/>
      <c r="I35" s="27"/>
      <c r="J35" s="47"/>
      <c r="K35" s="43"/>
      <c r="L35" s="43"/>
    </row>
    <row r="36" spans="1:12" ht="11.25">
      <c r="A36" s="11" t="s">
        <v>30</v>
      </c>
      <c r="B36" s="41">
        <v>0</v>
      </c>
      <c r="C36" s="41">
        <f>'2005 Mar-Dec Fixed Variable Cal'!F7</f>
        <v>0.1717</v>
      </c>
      <c r="D36" s="9">
        <v>0</v>
      </c>
      <c r="E36" s="10">
        <v>0</v>
      </c>
      <c r="F36" s="10">
        <f>'2005 Mar-Dec Fixed Variable Cal'!F19</f>
        <v>0.0643842807859607</v>
      </c>
      <c r="G36" s="3" t="s">
        <v>40</v>
      </c>
      <c r="H36" s="47">
        <v>0</v>
      </c>
      <c r="I36" s="27">
        <v>71034.87</v>
      </c>
      <c r="J36" s="47">
        <f>E36*H36</f>
        <v>0</v>
      </c>
      <c r="K36" s="43">
        <f>$F$36*I36</f>
        <v>4573.529015674216</v>
      </c>
      <c r="L36" s="43">
        <f aca="true" t="shared" si="6" ref="L36:L47">+J36+K36</f>
        <v>4573.529015674216</v>
      </c>
    </row>
    <row r="37" spans="2:12" ht="11.25">
      <c r="B37" s="5"/>
      <c r="C37" s="5"/>
      <c r="D37" s="9"/>
      <c r="E37" s="10"/>
      <c r="F37" s="10"/>
      <c r="G37" s="3" t="s">
        <v>39</v>
      </c>
      <c r="H37" s="47">
        <v>0</v>
      </c>
      <c r="I37" s="27">
        <v>86346.32</v>
      </c>
      <c r="J37" s="47">
        <f>E36*H37</f>
        <v>0</v>
      </c>
      <c r="K37" s="43">
        <f aca="true" t="shared" si="7" ref="K37:K47">$F$36*I37</f>
        <v>5559.345711714414</v>
      </c>
      <c r="L37" s="43">
        <f t="shared" si="6"/>
        <v>5559.345711714414</v>
      </c>
    </row>
    <row r="38" spans="2:12" ht="11.25">
      <c r="B38" s="5"/>
      <c r="C38" s="5"/>
      <c r="D38" s="9"/>
      <c r="E38" s="10"/>
      <c r="F38" s="10"/>
      <c r="G38" s="3" t="s">
        <v>18</v>
      </c>
      <c r="H38" s="47">
        <v>0</v>
      </c>
      <c r="I38" s="27">
        <v>83805.23</v>
      </c>
      <c r="J38" s="47">
        <f aca="true" t="shared" si="8" ref="J38:J47">$E$36*H38</f>
        <v>0</v>
      </c>
      <c r="K38" s="43">
        <f t="shared" si="7"/>
        <v>5395.739459652017</v>
      </c>
      <c r="L38" s="43">
        <f t="shared" si="6"/>
        <v>5395.739459652017</v>
      </c>
    </row>
    <row r="39" spans="2:12" ht="11.25">
      <c r="B39" s="5"/>
      <c r="C39" s="5"/>
      <c r="D39" s="9"/>
      <c r="E39" s="10"/>
      <c r="F39" s="10"/>
      <c r="G39" s="3" t="s">
        <v>19</v>
      </c>
      <c r="H39" s="47">
        <v>0</v>
      </c>
      <c r="I39" s="27">
        <v>78048.48</v>
      </c>
      <c r="J39" s="47">
        <f t="shared" si="8"/>
        <v>0</v>
      </c>
      <c r="K39" s="43">
        <f t="shared" si="7"/>
        <v>5025.095251237438</v>
      </c>
      <c r="L39" s="43">
        <f t="shared" si="6"/>
        <v>5025.095251237438</v>
      </c>
    </row>
    <row r="40" spans="2:12" ht="11.25">
      <c r="B40" s="5"/>
      <c r="C40" s="5"/>
      <c r="D40" s="9"/>
      <c r="E40" s="10"/>
      <c r="F40" s="10"/>
      <c r="G40" s="3" t="s">
        <v>20</v>
      </c>
      <c r="H40" s="47">
        <v>0</v>
      </c>
      <c r="I40" s="27">
        <v>81084.6</v>
      </c>
      <c r="J40" s="47">
        <f t="shared" si="8"/>
        <v>0</v>
      </c>
      <c r="K40" s="43">
        <f t="shared" si="7"/>
        <v>5220.57365381731</v>
      </c>
      <c r="L40" s="43">
        <f t="shared" si="6"/>
        <v>5220.57365381731</v>
      </c>
    </row>
    <row r="41" spans="2:12" ht="11.25">
      <c r="B41" s="5"/>
      <c r="C41" s="5"/>
      <c r="D41" s="9"/>
      <c r="E41" s="10"/>
      <c r="F41" s="10"/>
      <c r="G41" s="3" t="s">
        <v>21</v>
      </c>
      <c r="H41" s="47">
        <v>0</v>
      </c>
      <c r="I41" s="27">
        <v>5656.36</v>
      </c>
      <c r="J41" s="47">
        <f t="shared" si="8"/>
        <v>0</v>
      </c>
      <c r="K41" s="43">
        <f t="shared" si="7"/>
        <v>364.18067046647667</v>
      </c>
      <c r="L41" s="43">
        <f t="shared" si="6"/>
        <v>364.18067046647667</v>
      </c>
    </row>
    <row r="42" spans="2:12" ht="11.25">
      <c r="B42" s="5"/>
      <c r="C42" s="40"/>
      <c r="D42" s="32"/>
      <c r="E42" s="10"/>
      <c r="F42" s="10"/>
      <c r="G42" s="3" t="s">
        <v>22</v>
      </c>
      <c r="H42" s="47">
        <v>0</v>
      </c>
      <c r="I42" s="27">
        <v>-4188.71</v>
      </c>
      <c r="J42" s="47">
        <f t="shared" si="8"/>
        <v>0</v>
      </c>
      <c r="K42" s="43">
        <f t="shared" si="7"/>
        <v>-269.6870807709615</v>
      </c>
      <c r="L42" s="43">
        <f t="shared" si="6"/>
        <v>-269.6870807709615</v>
      </c>
    </row>
    <row r="43" spans="2:12" ht="11.25">
      <c r="B43" s="5"/>
      <c r="C43" s="40"/>
      <c r="D43" s="32"/>
      <c r="E43" s="10"/>
      <c r="F43" s="10"/>
      <c r="G43" s="3" t="s">
        <v>23</v>
      </c>
      <c r="H43" s="47">
        <v>0</v>
      </c>
      <c r="I43" s="27">
        <v>4778.91</v>
      </c>
      <c r="J43" s="47">
        <f t="shared" si="8"/>
        <v>0</v>
      </c>
      <c r="K43" s="43">
        <f t="shared" si="7"/>
        <v>307.68668329083545</v>
      </c>
      <c r="L43" s="43">
        <f t="shared" si="6"/>
        <v>307.68668329083545</v>
      </c>
    </row>
    <row r="44" spans="2:12" ht="11.25">
      <c r="B44" s="5"/>
      <c r="C44" s="5"/>
      <c r="D44" s="9"/>
      <c r="E44" s="10"/>
      <c r="F44" s="10"/>
      <c r="G44" s="3" t="s">
        <v>24</v>
      </c>
      <c r="H44" s="47">
        <v>0</v>
      </c>
      <c r="I44" s="27">
        <v>0</v>
      </c>
      <c r="J44" s="47">
        <f t="shared" si="8"/>
        <v>0</v>
      </c>
      <c r="K44" s="43">
        <f t="shared" si="7"/>
        <v>0</v>
      </c>
      <c r="L44" s="43">
        <f t="shared" si="6"/>
        <v>0</v>
      </c>
    </row>
    <row r="45" spans="2:12" ht="11.25">
      <c r="B45" s="5"/>
      <c r="C45" s="5"/>
      <c r="D45" s="9"/>
      <c r="E45" s="10"/>
      <c r="F45" s="10"/>
      <c r="G45" s="3" t="s">
        <v>25</v>
      </c>
      <c r="H45" s="47">
        <v>0</v>
      </c>
      <c r="I45" s="27">
        <v>0</v>
      </c>
      <c r="J45" s="47">
        <f t="shared" si="8"/>
        <v>0</v>
      </c>
      <c r="K45" s="43">
        <f t="shared" si="7"/>
        <v>0</v>
      </c>
      <c r="L45" s="43">
        <f t="shared" si="6"/>
        <v>0</v>
      </c>
    </row>
    <row r="46" spans="2:12" ht="11.25">
      <c r="B46" s="5"/>
      <c r="C46" s="5"/>
      <c r="D46" s="9"/>
      <c r="E46" s="10"/>
      <c r="F46" s="10"/>
      <c r="G46" s="3" t="s">
        <v>26</v>
      </c>
      <c r="H46" s="47">
        <v>0</v>
      </c>
      <c r="I46" s="27">
        <v>0</v>
      </c>
      <c r="J46" s="47">
        <f t="shared" si="8"/>
        <v>0</v>
      </c>
      <c r="K46" s="43">
        <f t="shared" si="7"/>
        <v>0</v>
      </c>
      <c r="L46" s="43">
        <f t="shared" si="6"/>
        <v>0</v>
      </c>
    </row>
    <row r="47" spans="2:13" ht="11.25">
      <c r="B47" s="5"/>
      <c r="C47" s="5"/>
      <c r="D47" s="9"/>
      <c r="E47" s="10"/>
      <c r="F47" s="10"/>
      <c r="G47" s="3" t="s">
        <v>27</v>
      </c>
      <c r="H47" s="47">
        <v>0</v>
      </c>
      <c r="I47" s="27">
        <v>0</v>
      </c>
      <c r="J47" s="47">
        <f t="shared" si="8"/>
        <v>0</v>
      </c>
      <c r="K47" s="43">
        <f t="shared" si="7"/>
        <v>0</v>
      </c>
      <c r="L47" s="43">
        <f t="shared" si="6"/>
        <v>0</v>
      </c>
      <c r="M47" s="49"/>
    </row>
    <row r="48" spans="2:12" ht="11.25">
      <c r="B48" s="5"/>
      <c r="C48" s="5"/>
      <c r="D48" s="9"/>
      <c r="E48" s="10"/>
      <c r="F48" s="10"/>
      <c r="H48" s="47"/>
      <c r="I48" s="27"/>
      <c r="J48" s="47"/>
      <c r="K48" s="43"/>
      <c r="L48" s="43"/>
    </row>
    <row r="49" spans="2:12" ht="11.25">
      <c r="B49" s="5"/>
      <c r="C49" s="5"/>
      <c r="D49" s="9"/>
      <c r="E49" s="10"/>
      <c r="F49" s="10"/>
      <c r="H49" s="47"/>
      <c r="I49" s="27"/>
      <c r="J49" s="47"/>
      <c r="K49" s="43"/>
      <c r="L49" s="43"/>
    </row>
    <row r="50" spans="2:12" ht="11.25">
      <c r="B50" s="5"/>
      <c r="C50" s="5"/>
      <c r="D50" s="9"/>
      <c r="E50" s="10"/>
      <c r="F50" s="10"/>
      <c r="H50" s="47"/>
      <c r="I50" s="27"/>
      <c r="J50" s="47"/>
      <c r="K50" s="43"/>
      <c r="L50" s="43"/>
    </row>
    <row r="51" spans="1:12" ht="11.25">
      <c r="A51" s="4" t="s">
        <v>51</v>
      </c>
      <c r="C51" s="5"/>
      <c r="D51" s="103" t="s">
        <v>53</v>
      </c>
      <c r="E51" s="103"/>
      <c r="F51" s="103"/>
      <c r="G51" s="103"/>
      <c r="H51" s="103"/>
      <c r="I51" s="27"/>
      <c r="J51" s="47"/>
      <c r="K51" s="43"/>
      <c r="L51" s="43"/>
    </row>
    <row r="52" spans="2:12" ht="11.25">
      <c r="B52" s="5"/>
      <c r="C52" s="5"/>
      <c r="D52" s="103" t="s">
        <v>137</v>
      </c>
      <c r="E52" s="103"/>
      <c r="F52" s="103"/>
      <c r="G52" s="103"/>
      <c r="H52" s="103"/>
      <c r="I52" s="27"/>
      <c r="J52" s="47"/>
      <c r="K52" s="43"/>
      <c r="L52" s="43"/>
    </row>
    <row r="53" spans="2:12" ht="11.25">
      <c r="B53" s="5"/>
      <c r="C53" s="5"/>
      <c r="D53" s="103" t="s">
        <v>43</v>
      </c>
      <c r="E53" s="104"/>
      <c r="F53" s="104"/>
      <c r="G53" s="104"/>
      <c r="H53" s="104"/>
      <c r="I53" s="27"/>
      <c r="J53" s="47"/>
      <c r="K53" s="43"/>
      <c r="L53" s="43"/>
    </row>
    <row r="54" spans="2:12" ht="11.25">
      <c r="B54" s="5"/>
      <c r="C54" s="5"/>
      <c r="D54" s="9"/>
      <c r="E54" s="10"/>
      <c r="F54" s="10"/>
      <c r="H54" s="47"/>
      <c r="I54" s="27"/>
      <c r="J54" s="47"/>
      <c r="K54" s="43"/>
      <c r="L54" s="43"/>
    </row>
    <row r="55" spans="1:12" ht="11.25">
      <c r="A55" s="4" t="s">
        <v>177</v>
      </c>
      <c r="B55" s="5"/>
      <c r="C55" s="5"/>
      <c r="D55" s="9"/>
      <c r="E55" s="10"/>
      <c r="F55" s="10"/>
      <c r="H55" s="47"/>
      <c r="I55" s="27"/>
      <c r="J55" s="47"/>
      <c r="K55" s="43"/>
      <c r="L55" s="43"/>
    </row>
    <row r="56" spans="2:12" ht="11.25">
      <c r="B56" s="5"/>
      <c r="C56" s="5"/>
      <c r="D56" s="9"/>
      <c r="E56" s="10"/>
      <c r="F56" s="10"/>
      <c r="H56" s="47"/>
      <c r="I56" s="27"/>
      <c r="J56" s="47"/>
      <c r="K56" s="43"/>
      <c r="L56" s="43"/>
    </row>
    <row r="57" spans="1:12" ht="11.25">
      <c r="A57" s="4" t="s">
        <v>0</v>
      </c>
      <c r="B57" s="18" t="s">
        <v>1</v>
      </c>
      <c r="C57" s="18" t="s">
        <v>2</v>
      </c>
      <c r="D57" s="19" t="s">
        <v>3</v>
      </c>
      <c r="E57" s="6" t="s">
        <v>4</v>
      </c>
      <c r="F57" s="14" t="s">
        <v>4</v>
      </c>
      <c r="G57" s="4" t="s">
        <v>5</v>
      </c>
      <c r="H57" s="51" t="s">
        <v>3</v>
      </c>
      <c r="I57" s="12" t="s">
        <v>110</v>
      </c>
      <c r="J57" s="51" t="s">
        <v>7</v>
      </c>
      <c r="K57" s="48" t="s">
        <v>8</v>
      </c>
      <c r="L57" s="48" t="s">
        <v>9</v>
      </c>
    </row>
    <row r="58" spans="1:12" ht="11.25">
      <c r="A58" s="4"/>
      <c r="B58" s="18" t="s">
        <v>10</v>
      </c>
      <c r="C58" s="18" t="s">
        <v>11</v>
      </c>
      <c r="D58" s="19" t="s">
        <v>12</v>
      </c>
      <c r="E58" s="6" t="s">
        <v>13</v>
      </c>
      <c r="F58" s="14" t="s">
        <v>109</v>
      </c>
      <c r="G58" s="4"/>
      <c r="H58" s="51" t="s">
        <v>14</v>
      </c>
      <c r="I58" s="12" t="s">
        <v>111</v>
      </c>
      <c r="J58" s="51" t="s">
        <v>16</v>
      </c>
      <c r="K58" s="48" t="s">
        <v>16</v>
      </c>
      <c r="L58" s="48" t="s">
        <v>16</v>
      </c>
    </row>
    <row r="59" spans="2:12" ht="11.25">
      <c r="B59" s="5"/>
      <c r="C59" s="5"/>
      <c r="D59" s="9"/>
      <c r="E59" s="10"/>
      <c r="F59" s="10"/>
      <c r="H59" s="47"/>
      <c r="I59" s="27"/>
      <c r="J59" s="47"/>
      <c r="K59" s="43"/>
      <c r="L59" s="43"/>
    </row>
    <row r="60" spans="2:12" ht="11.25">
      <c r="B60" s="5"/>
      <c r="C60" s="5"/>
      <c r="D60" s="9"/>
      <c r="E60" s="10"/>
      <c r="F60" s="10"/>
      <c r="H60" s="47"/>
      <c r="I60" s="27"/>
      <c r="J60" s="47"/>
      <c r="K60" s="43"/>
      <c r="L60" s="43"/>
    </row>
    <row r="61" spans="1:12" ht="11.25">
      <c r="A61" s="11" t="s">
        <v>31</v>
      </c>
      <c r="B61" s="41">
        <v>0</v>
      </c>
      <c r="C61" s="41">
        <f>'2005 Mar-Dec Fixed Variable Cal'!F11</f>
        <v>0.5133</v>
      </c>
      <c r="D61" s="9">
        <v>0</v>
      </c>
      <c r="E61" s="10">
        <v>0</v>
      </c>
      <c r="F61" s="10">
        <f>'2005 Mar-Dec Fixed Variable Cal'!F23</f>
        <v>0.17742827514690634</v>
      </c>
      <c r="G61" s="3" t="s">
        <v>40</v>
      </c>
      <c r="H61" s="47">
        <v>0</v>
      </c>
      <c r="I61" s="27">
        <f>26.2</f>
        <v>26.2</v>
      </c>
      <c r="J61" s="47">
        <f>H61*E$61</f>
        <v>0</v>
      </c>
      <c r="K61" s="43">
        <f>$F$61*I61</f>
        <v>4.648620808848946</v>
      </c>
      <c r="L61" s="43">
        <f>SUM(J61:K61)</f>
        <v>4.648620808848946</v>
      </c>
    </row>
    <row r="62" spans="1:12" ht="11.25">
      <c r="A62" s="11" t="s">
        <v>32</v>
      </c>
      <c r="B62" s="5"/>
      <c r="C62" s="5"/>
      <c r="D62" s="9"/>
      <c r="E62" s="10"/>
      <c r="F62" s="10"/>
      <c r="G62" s="3" t="s">
        <v>39</v>
      </c>
      <c r="H62" s="47">
        <v>0</v>
      </c>
      <c r="I62" s="27">
        <v>3.05</v>
      </c>
      <c r="J62" s="47">
        <f>H62*E$61</f>
        <v>0</v>
      </c>
      <c r="K62" s="43">
        <f aca="true" t="shared" si="9" ref="K62:K72">$F$61*I62</f>
        <v>0.5411562391980643</v>
      </c>
      <c r="L62" s="43">
        <f>SUM(J62:K62)</f>
        <v>0.5411562391980643</v>
      </c>
    </row>
    <row r="63" spans="2:12" ht="11.25">
      <c r="B63" s="5"/>
      <c r="C63" s="5"/>
      <c r="D63" s="9"/>
      <c r="E63" s="10"/>
      <c r="F63" s="10"/>
      <c r="G63" s="3" t="s">
        <v>18</v>
      </c>
      <c r="H63" s="47">
        <v>0</v>
      </c>
      <c r="I63" s="27">
        <v>17.3</v>
      </c>
      <c r="J63" s="47">
        <f>H63*$E$61</f>
        <v>0</v>
      </c>
      <c r="K63" s="43">
        <f t="shared" si="9"/>
        <v>3.0695091600414797</v>
      </c>
      <c r="L63" s="43">
        <f>SUM(J63:K63)</f>
        <v>3.0695091600414797</v>
      </c>
    </row>
    <row r="64" spans="2:12" ht="11.25">
      <c r="B64" s="5"/>
      <c r="C64" s="5"/>
      <c r="D64" s="9"/>
      <c r="E64" s="10"/>
      <c r="F64" s="10"/>
      <c r="G64" s="3" t="s">
        <v>19</v>
      </c>
      <c r="H64" s="47">
        <v>0</v>
      </c>
      <c r="I64" s="27">
        <v>15.57</v>
      </c>
      <c r="J64" s="47">
        <f aca="true" t="shared" si="10" ref="J64:J72">H64*$E$61</f>
        <v>0</v>
      </c>
      <c r="K64" s="43">
        <f t="shared" si="9"/>
        <v>2.762558244037332</v>
      </c>
      <c r="L64" s="43">
        <f>SUM(J64:K64)</f>
        <v>2.762558244037332</v>
      </c>
    </row>
    <row r="65" spans="2:12" ht="11.25">
      <c r="B65" s="5"/>
      <c r="C65" s="5"/>
      <c r="D65" s="9"/>
      <c r="E65" s="10"/>
      <c r="F65" s="10"/>
      <c r="G65" s="3" t="s">
        <v>20</v>
      </c>
      <c r="H65" s="47">
        <v>0</v>
      </c>
      <c r="I65" s="27">
        <v>15.57</v>
      </c>
      <c r="J65" s="47">
        <f t="shared" si="10"/>
        <v>0</v>
      </c>
      <c r="K65" s="43">
        <f t="shared" si="9"/>
        <v>2.762558244037332</v>
      </c>
      <c r="L65" s="43">
        <f>SUM(J65:K65)</f>
        <v>2.762558244037332</v>
      </c>
    </row>
    <row r="66" spans="2:12" ht="11.25">
      <c r="B66" s="5"/>
      <c r="C66" s="5"/>
      <c r="D66" s="9"/>
      <c r="E66" s="10"/>
      <c r="F66" s="10"/>
      <c r="G66" s="3" t="s">
        <v>21</v>
      </c>
      <c r="H66" s="47">
        <v>0</v>
      </c>
      <c r="I66" s="27">
        <v>1.55</v>
      </c>
      <c r="J66" s="47">
        <f t="shared" si="10"/>
        <v>0</v>
      </c>
      <c r="K66" s="43">
        <f t="shared" si="9"/>
        <v>0.27501382647770484</v>
      </c>
      <c r="L66" s="43">
        <f aca="true" t="shared" si="11" ref="L66:L71">SUM(J66:K66)</f>
        <v>0.27501382647770484</v>
      </c>
    </row>
    <row r="67" spans="2:12" ht="11.25">
      <c r="B67" s="5"/>
      <c r="C67" s="40"/>
      <c r="D67" s="32"/>
      <c r="E67" s="10"/>
      <c r="F67" s="10"/>
      <c r="G67" s="3" t="s">
        <v>22</v>
      </c>
      <c r="H67" s="47">
        <v>0</v>
      </c>
      <c r="I67" s="27">
        <v>0</v>
      </c>
      <c r="J67" s="47">
        <f t="shared" si="10"/>
        <v>0</v>
      </c>
      <c r="K67" s="43">
        <f t="shared" si="9"/>
        <v>0</v>
      </c>
      <c r="L67" s="43">
        <f t="shared" si="11"/>
        <v>0</v>
      </c>
    </row>
    <row r="68" spans="2:12" ht="11.25">
      <c r="B68" s="5"/>
      <c r="C68" s="40"/>
      <c r="D68" s="32"/>
      <c r="E68" s="10"/>
      <c r="F68" s="10"/>
      <c r="G68" s="3" t="s">
        <v>23</v>
      </c>
      <c r="H68" s="47">
        <v>0</v>
      </c>
      <c r="I68" s="27">
        <v>0</v>
      </c>
      <c r="J68" s="47">
        <f t="shared" si="10"/>
        <v>0</v>
      </c>
      <c r="K68" s="43">
        <f t="shared" si="9"/>
        <v>0</v>
      </c>
      <c r="L68" s="43">
        <f t="shared" si="11"/>
        <v>0</v>
      </c>
    </row>
    <row r="69" spans="2:12" ht="11.25">
      <c r="B69" s="5"/>
      <c r="C69" s="40"/>
      <c r="D69" s="32"/>
      <c r="E69" s="10"/>
      <c r="F69" s="10"/>
      <c r="G69" s="3" t="s">
        <v>24</v>
      </c>
      <c r="H69" s="47">
        <v>0</v>
      </c>
      <c r="I69" s="27">
        <v>0</v>
      </c>
      <c r="J69" s="47">
        <f t="shared" si="10"/>
        <v>0</v>
      </c>
      <c r="K69" s="43">
        <f t="shared" si="9"/>
        <v>0</v>
      </c>
      <c r="L69" s="43">
        <f t="shared" si="11"/>
        <v>0</v>
      </c>
    </row>
    <row r="70" spans="2:12" ht="11.25">
      <c r="B70" s="5"/>
      <c r="C70" s="5"/>
      <c r="D70" s="9"/>
      <c r="E70" s="10"/>
      <c r="F70" s="10"/>
      <c r="G70" s="3" t="s">
        <v>25</v>
      </c>
      <c r="H70" s="47">
        <v>0</v>
      </c>
      <c r="I70" s="27">
        <v>0</v>
      </c>
      <c r="J70" s="47">
        <f t="shared" si="10"/>
        <v>0</v>
      </c>
      <c r="K70" s="43">
        <f t="shared" si="9"/>
        <v>0</v>
      </c>
      <c r="L70" s="43">
        <f t="shared" si="11"/>
        <v>0</v>
      </c>
    </row>
    <row r="71" spans="2:12" ht="11.25">
      <c r="B71" s="5"/>
      <c r="C71" s="5"/>
      <c r="D71" s="9"/>
      <c r="E71" s="10"/>
      <c r="F71" s="10"/>
      <c r="G71" s="3" t="s">
        <v>26</v>
      </c>
      <c r="H71" s="47">
        <v>0</v>
      </c>
      <c r="I71" s="27">
        <v>0</v>
      </c>
      <c r="J71" s="47">
        <f t="shared" si="10"/>
        <v>0</v>
      </c>
      <c r="K71" s="43">
        <f t="shared" si="9"/>
        <v>0</v>
      </c>
      <c r="L71" s="43">
        <f t="shared" si="11"/>
        <v>0</v>
      </c>
    </row>
    <row r="72" spans="2:13" ht="11.25">
      <c r="B72" s="5"/>
      <c r="C72" s="5"/>
      <c r="D72" s="9"/>
      <c r="E72" s="10"/>
      <c r="F72" s="10"/>
      <c r="G72" s="3" t="s">
        <v>27</v>
      </c>
      <c r="H72" s="47">
        <v>0</v>
      </c>
      <c r="I72" s="27">
        <v>0</v>
      </c>
      <c r="J72" s="47">
        <f t="shared" si="10"/>
        <v>0</v>
      </c>
      <c r="K72" s="43">
        <f t="shared" si="9"/>
        <v>0</v>
      </c>
      <c r="L72" s="43">
        <f>SUM(J72:K72)</f>
        <v>0</v>
      </c>
      <c r="M72" s="49"/>
    </row>
    <row r="73" spans="1:12" ht="11.25">
      <c r="A73" s="4"/>
      <c r="B73" s="18"/>
      <c r="C73" s="18"/>
      <c r="D73" s="19"/>
      <c r="E73" s="6"/>
      <c r="F73" s="6"/>
      <c r="G73" s="4"/>
      <c r="H73" s="47"/>
      <c r="I73" s="36"/>
      <c r="J73" s="51"/>
      <c r="K73" s="48"/>
      <c r="L73" s="48"/>
    </row>
    <row r="74" spans="1:12" ht="11.25">
      <c r="A74" s="4" t="s">
        <v>33</v>
      </c>
      <c r="B74" s="41">
        <v>0</v>
      </c>
      <c r="C74" s="41">
        <f>'2005 Mar-Dec Fixed Variable Cal'!F11</f>
        <v>0.5133</v>
      </c>
      <c r="D74" s="9">
        <v>0</v>
      </c>
      <c r="E74" s="10">
        <v>0</v>
      </c>
      <c r="F74" s="10">
        <f>'2005 Mar-Dec Fixed Variable Cal'!F24</f>
        <v>0.236219739292365</v>
      </c>
      <c r="G74" s="3" t="s">
        <v>40</v>
      </c>
      <c r="H74" s="47">
        <v>0</v>
      </c>
      <c r="I74" s="27">
        <v>829.66</v>
      </c>
      <c r="J74" s="47">
        <f>E74*H74</f>
        <v>0</v>
      </c>
      <c r="K74" s="43">
        <f>$F$74*I74</f>
        <v>195.98206890130353</v>
      </c>
      <c r="L74" s="43">
        <f>SUM(J74:K74)</f>
        <v>195.98206890130353</v>
      </c>
    </row>
    <row r="75" spans="1:12" ht="11.25">
      <c r="A75" s="4" t="s">
        <v>34</v>
      </c>
      <c r="B75" s="5"/>
      <c r="C75" s="5"/>
      <c r="D75" s="9"/>
      <c r="E75" s="10"/>
      <c r="F75" s="10"/>
      <c r="G75" s="3" t="s">
        <v>39</v>
      </c>
      <c r="H75" s="47">
        <v>0</v>
      </c>
      <c r="I75" s="27">
        <v>829.66</v>
      </c>
      <c r="J75" s="47">
        <f>E74*H75</f>
        <v>0</v>
      </c>
      <c r="K75" s="43">
        <f aca="true" t="shared" si="12" ref="K75:K85">$F$74*I75</f>
        <v>195.98206890130353</v>
      </c>
      <c r="L75" s="43">
        <f aca="true" t="shared" si="13" ref="L75:L85">+J75+K75</f>
        <v>195.98206890130353</v>
      </c>
    </row>
    <row r="76" spans="2:12" ht="11.25">
      <c r="B76" s="5"/>
      <c r="C76" s="5"/>
      <c r="D76" s="9"/>
      <c r="E76" s="10"/>
      <c r="F76" s="10"/>
      <c r="G76" s="3" t="s">
        <v>18</v>
      </c>
      <c r="H76" s="47">
        <v>0</v>
      </c>
      <c r="I76" s="27">
        <v>829.66</v>
      </c>
      <c r="J76" s="47">
        <f>+E74*H76</f>
        <v>0</v>
      </c>
      <c r="K76" s="43">
        <f t="shared" si="12"/>
        <v>195.98206890130353</v>
      </c>
      <c r="L76" s="43">
        <f t="shared" si="13"/>
        <v>195.98206890130353</v>
      </c>
    </row>
    <row r="77" spans="2:12" ht="11.25">
      <c r="B77" s="5"/>
      <c r="C77" s="5"/>
      <c r="D77" s="9"/>
      <c r="E77" s="10"/>
      <c r="F77" s="10"/>
      <c r="G77" s="3" t="s">
        <v>19</v>
      </c>
      <c r="H77" s="47">
        <v>0</v>
      </c>
      <c r="I77" s="27">
        <v>834.99</v>
      </c>
      <c r="J77" s="47">
        <f>+H77*E74</f>
        <v>0</v>
      </c>
      <c r="K77" s="43">
        <f t="shared" si="12"/>
        <v>197.24112011173185</v>
      </c>
      <c r="L77" s="43">
        <f t="shared" si="13"/>
        <v>197.24112011173185</v>
      </c>
    </row>
    <row r="78" spans="2:12" ht="11.25">
      <c r="B78" s="5"/>
      <c r="C78" s="5"/>
      <c r="D78" s="9"/>
      <c r="E78" s="10"/>
      <c r="F78" s="10"/>
      <c r="G78" s="3" t="s">
        <v>20</v>
      </c>
      <c r="H78" s="47">
        <v>0</v>
      </c>
      <c r="I78" s="27">
        <v>0</v>
      </c>
      <c r="J78" s="47">
        <f>E74*H78</f>
        <v>0</v>
      </c>
      <c r="K78" s="43">
        <f t="shared" si="12"/>
        <v>0</v>
      </c>
      <c r="L78" s="43">
        <f t="shared" si="13"/>
        <v>0</v>
      </c>
    </row>
    <row r="79" spans="2:12" ht="11.25">
      <c r="B79" s="5"/>
      <c r="C79" s="5"/>
      <c r="D79" s="9"/>
      <c r="E79" s="10"/>
      <c r="F79" s="10"/>
      <c r="G79" s="3" t="s">
        <v>21</v>
      </c>
      <c r="H79" s="47">
        <v>0</v>
      </c>
      <c r="I79" s="27">
        <v>0</v>
      </c>
      <c r="J79" s="47">
        <f>+E74*H79</f>
        <v>0</v>
      </c>
      <c r="K79" s="43">
        <f t="shared" si="12"/>
        <v>0</v>
      </c>
      <c r="L79" s="43">
        <f t="shared" si="13"/>
        <v>0</v>
      </c>
    </row>
    <row r="80" spans="2:12" ht="11.25">
      <c r="B80" s="5"/>
      <c r="C80" s="40"/>
      <c r="D80" s="32"/>
      <c r="E80" s="10"/>
      <c r="F80" s="10"/>
      <c r="G80" s="3" t="s">
        <v>22</v>
      </c>
      <c r="H80" s="47">
        <v>0</v>
      </c>
      <c r="I80" s="27">
        <v>0</v>
      </c>
      <c r="J80" s="47">
        <f>E74*H80</f>
        <v>0</v>
      </c>
      <c r="K80" s="43">
        <f t="shared" si="12"/>
        <v>0</v>
      </c>
      <c r="L80" s="43">
        <f t="shared" si="13"/>
        <v>0</v>
      </c>
    </row>
    <row r="81" spans="2:12" ht="11.25">
      <c r="B81" s="5"/>
      <c r="C81" s="40"/>
      <c r="D81" s="32"/>
      <c r="E81" s="10"/>
      <c r="F81" s="10"/>
      <c r="G81" s="3" t="s">
        <v>23</v>
      </c>
      <c r="H81" s="47">
        <v>0</v>
      </c>
      <c r="I81" s="27">
        <v>0</v>
      </c>
      <c r="J81" s="47">
        <f>E74*H81</f>
        <v>0</v>
      </c>
      <c r="K81" s="43">
        <f t="shared" si="12"/>
        <v>0</v>
      </c>
      <c r="L81" s="43">
        <f t="shared" si="13"/>
        <v>0</v>
      </c>
    </row>
    <row r="82" spans="2:12" ht="11.25">
      <c r="B82" s="5"/>
      <c r="C82" s="5"/>
      <c r="D82" s="9"/>
      <c r="E82" s="10"/>
      <c r="F82" s="10"/>
      <c r="G82" s="3" t="s">
        <v>24</v>
      </c>
      <c r="H82" s="47">
        <v>0</v>
      </c>
      <c r="I82" s="27">
        <v>0</v>
      </c>
      <c r="J82" s="47">
        <f>E74*H82</f>
        <v>0</v>
      </c>
      <c r="K82" s="43">
        <f t="shared" si="12"/>
        <v>0</v>
      </c>
      <c r="L82" s="43">
        <f t="shared" si="13"/>
        <v>0</v>
      </c>
    </row>
    <row r="83" spans="2:12" ht="11.25">
      <c r="B83" s="5"/>
      <c r="C83" s="5"/>
      <c r="D83" s="9"/>
      <c r="E83" s="10"/>
      <c r="F83" s="10"/>
      <c r="G83" s="3" t="s">
        <v>25</v>
      </c>
      <c r="H83" s="47">
        <v>0</v>
      </c>
      <c r="I83" s="27">
        <v>0</v>
      </c>
      <c r="J83" s="47">
        <f>E74*H83</f>
        <v>0</v>
      </c>
      <c r="K83" s="43">
        <f t="shared" si="12"/>
        <v>0</v>
      </c>
      <c r="L83" s="43">
        <f t="shared" si="13"/>
        <v>0</v>
      </c>
    </row>
    <row r="84" spans="2:12" ht="11.25">
      <c r="B84" s="5"/>
      <c r="C84" s="5"/>
      <c r="D84" s="9"/>
      <c r="E84" s="10"/>
      <c r="F84" s="10"/>
      <c r="G84" s="3" t="s">
        <v>26</v>
      </c>
      <c r="H84" s="47">
        <v>0</v>
      </c>
      <c r="I84" s="27">
        <v>0</v>
      </c>
      <c r="J84" s="47">
        <f>E74*H84</f>
        <v>0</v>
      </c>
      <c r="K84" s="43">
        <f t="shared" si="12"/>
        <v>0</v>
      </c>
      <c r="L84" s="43">
        <f t="shared" si="13"/>
        <v>0</v>
      </c>
    </row>
    <row r="85" spans="2:13" ht="11.25">
      <c r="B85" s="5"/>
      <c r="C85" s="5"/>
      <c r="D85" s="9"/>
      <c r="E85" s="10"/>
      <c r="F85" s="10"/>
      <c r="G85" s="3" t="s">
        <v>27</v>
      </c>
      <c r="H85" s="47">
        <v>0</v>
      </c>
      <c r="I85" s="27">
        <v>0</v>
      </c>
      <c r="J85" s="47">
        <f>E74*H85</f>
        <v>0</v>
      </c>
      <c r="K85" s="43">
        <f t="shared" si="12"/>
        <v>0</v>
      </c>
      <c r="L85" s="43">
        <f t="shared" si="13"/>
        <v>0</v>
      </c>
      <c r="M85" s="49"/>
    </row>
    <row r="86" spans="8:10" ht="11.25">
      <c r="H86" s="47"/>
      <c r="I86" s="27"/>
      <c r="J86" s="26"/>
    </row>
    <row r="87" spans="8:10" ht="11.25">
      <c r="H87" s="26"/>
      <c r="I87" s="27"/>
      <c r="J87" s="26"/>
    </row>
    <row r="88" spans="8:12" ht="11.25">
      <c r="H88" s="26"/>
      <c r="I88" s="27"/>
      <c r="J88" s="26"/>
      <c r="L88" s="49">
        <f>SUM(L9:L86)</f>
        <v>115457.96714096342</v>
      </c>
    </row>
    <row r="89" spans="8:12" ht="11.25">
      <c r="H89" s="26"/>
      <c r="I89" s="27"/>
      <c r="J89" s="26"/>
      <c r="L89" s="32"/>
    </row>
    <row r="90" spans="8:12" ht="11.25">
      <c r="H90" s="26"/>
      <c r="I90" s="27"/>
      <c r="J90" s="26"/>
      <c r="L90" s="49"/>
    </row>
    <row r="91" spans="8:10" ht="11.25">
      <c r="H91" s="26"/>
      <c r="I91" s="27"/>
      <c r="J91" s="26"/>
    </row>
    <row r="92" spans="8:10" ht="11.25">
      <c r="H92" s="26"/>
      <c r="I92" s="27"/>
      <c r="J92" s="26"/>
    </row>
    <row r="93" spans="8:10" ht="11.25">
      <c r="H93" s="26"/>
      <c r="I93" s="27"/>
      <c r="J93" s="26"/>
    </row>
    <row r="94" spans="8:10" ht="11.25">
      <c r="H94" s="26"/>
      <c r="I94" s="27"/>
      <c r="J94" s="26"/>
    </row>
    <row r="95" spans="8:10" ht="11.25">
      <c r="H95" s="26"/>
      <c r="I95" s="27"/>
      <c r="J95" s="26"/>
    </row>
    <row r="96" spans="8:10" ht="11.25">
      <c r="H96" s="26"/>
      <c r="I96" s="27"/>
      <c r="J96" s="26"/>
    </row>
    <row r="97" spans="8:10" ht="11.25">
      <c r="H97" s="26"/>
      <c r="I97" s="27"/>
      <c r="J97" s="26"/>
    </row>
    <row r="98" spans="8:10" ht="11.25">
      <c r="H98" s="26"/>
      <c r="I98" s="27"/>
      <c r="J98" s="26"/>
    </row>
    <row r="99" spans="8:10" ht="11.25">
      <c r="H99" s="26"/>
      <c r="I99" s="27"/>
      <c r="J99" s="26"/>
    </row>
    <row r="100" spans="8:10" ht="11.25">
      <c r="H100" s="26"/>
      <c r="I100" s="27"/>
      <c r="J100" s="26"/>
    </row>
    <row r="101" spans="8:10" ht="11.25">
      <c r="H101" s="26"/>
      <c r="I101" s="27"/>
      <c r="J101" s="26"/>
    </row>
    <row r="102" spans="8:10" ht="11.25">
      <c r="H102" s="26"/>
      <c r="I102" s="27"/>
      <c r="J102" s="26"/>
    </row>
    <row r="103" spans="8:10" ht="11.25">
      <c r="H103" s="26"/>
      <c r="I103" s="27"/>
      <c r="J103" s="26"/>
    </row>
    <row r="104" spans="8:10" ht="11.25">
      <c r="H104" s="26"/>
      <c r="I104" s="27"/>
      <c r="J104" s="26"/>
    </row>
    <row r="105" spans="8:10" ht="11.25">
      <c r="H105" s="26"/>
      <c r="I105" s="27"/>
      <c r="J105" s="26"/>
    </row>
    <row r="106" spans="8:10" ht="11.25">
      <c r="H106" s="26"/>
      <c r="I106" s="27"/>
      <c r="J106" s="26"/>
    </row>
    <row r="107" spans="8:10" ht="11.25">
      <c r="H107" s="26"/>
      <c r="I107" s="27"/>
      <c r="J107" s="26"/>
    </row>
    <row r="108" spans="8:10" ht="11.25">
      <c r="H108" s="26"/>
      <c r="I108" s="27"/>
      <c r="J108" s="26"/>
    </row>
    <row r="109" spans="8:10" ht="11.25">
      <c r="H109" s="26"/>
      <c r="I109" s="27"/>
      <c r="J109" s="26"/>
    </row>
    <row r="110" spans="8:10" ht="11.25">
      <c r="H110" s="26"/>
      <c r="I110" s="27"/>
      <c r="J110" s="26"/>
    </row>
    <row r="111" spans="8:10" ht="11.25">
      <c r="H111" s="26"/>
      <c r="I111" s="27"/>
      <c r="J111" s="26"/>
    </row>
    <row r="112" spans="8:10" ht="11.25">
      <c r="H112" s="26"/>
      <c r="I112" s="27"/>
      <c r="J112" s="26"/>
    </row>
    <row r="113" spans="8:10" ht="11.25">
      <c r="H113" s="26"/>
      <c r="I113" s="27"/>
      <c r="J113" s="26"/>
    </row>
    <row r="114" spans="8:10" ht="11.25">
      <c r="H114" s="26"/>
      <c r="I114" s="27"/>
      <c r="J114" s="26"/>
    </row>
    <row r="115" spans="8:10" ht="11.25">
      <c r="H115" s="26"/>
      <c r="I115" s="27"/>
      <c r="J115" s="26"/>
    </row>
    <row r="116" spans="8:10" ht="11.25">
      <c r="H116" s="26"/>
      <c r="I116" s="27"/>
      <c r="J116" s="26"/>
    </row>
    <row r="117" spans="8:10" ht="11.25">
      <c r="H117" s="26"/>
      <c r="I117" s="27"/>
      <c r="J117" s="26"/>
    </row>
    <row r="118" spans="8:10" ht="11.25">
      <c r="H118" s="26"/>
      <c r="I118" s="27"/>
      <c r="J118" s="26"/>
    </row>
    <row r="119" spans="8:10" ht="11.25">
      <c r="H119" s="26"/>
      <c r="I119" s="27"/>
      <c r="J119" s="26"/>
    </row>
    <row r="120" spans="8:10" ht="11.25">
      <c r="H120" s="26"/>
      <c r="I120" s="27"/>
      <c r="J120" s="26"/>
    </row>
    <row r="121" spans="8:10" ht="11.25">
      <c r="H121" s="26"/>
      <c r="I121" s="27"/>
      <c r="J121" s="26"/>
    </row>
  </sheetData>
  <sheetProtection/>
  <mergeCells count="6">
    <mergeCell ref="D52:H52"/>
    <mergeCell ref="D53:H53"/>
    <mergeCell ref="D1:H1"/>
    <mergeCell ref="D2:H2"/>
    <mergeCell ref="D3:H3"/>
    <mergeCell ref="D51:H51"/>
  </mergeCells>
  <printOptions/>
  <pageMargins left="0.7" right="0.7" top="0.75" bottom="0.75" header="0.3" footer="0.3"/>
  <pageSetup fitToHeight="0" fitToWidth="1" orientation="landscape" scale="90" r:id="rId1"/>
  <rowBreaks count="1" manualBreakCount="1">
    <brk id="4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0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11.7109375" style="0" customWidth="1"/>
    <col min="3" max="3" width="11.28125" style="0" customWidth="1"/>
    <col min="4" max="4" width="12.00390625" style="0" customWidth="1"/>
    <col min="5" max="5" width="11.421875" style="0" customWidth="1"/>
    <col min="6" max="6" width="12.7109375" style="0" customWidth="1"/>
    <col min="7" max="7" width="11.7109375" style="0" customWidth="1"/>
    <col min="8" max="8" width="12.140625" style="0" customWidth="1"/>
  </cols>
  <sheetData>
    <row r="1" spans="2:8" ht="12.75">
      <c r="B1" s="1"/>
      <c r="C1" s="6"/>
      <c r="D1" s="103" t="s">
        <v>53</v>
      </c>
      <c r="E1" s="103"/>
      <c r="F1" s="105"/>
      <c r="G1" s="105"/>
      <c r="H1" s="1"/>
    </row>
    <row r="2" spans="2:8" ht="12.75">
      <c r="B2" s="1"/>
      <c r="C2" s="2"/>
      <c r="D2" s="103" t="s">
        <v>136</v>
      </c>
      <c r="E2" s="103"/>
      <c r="F2" s="105"/>
      <c r="G2" s="105"/>
      <c r="H2" s="1"/>
    </row>
    <row r="3" spans="2:8" ht="12.75">
      <c r="B3" s="1"/>
      <c r="C3" s="1"/>
      <c r="D3" s="103" t="s">
        <v>43</v>
      </c>
      <c r="E3" s="103"/>
      <c r="F3" s="105"/>
      <c r="G3" s="105"/>
      <c r="H3" s="1"/>
    </row>
    <row r="4" spans="2:8" ht="12.75">
      <c r="B4" s="1"/>
      <c r="C4" s="1"/>
      <c r="D4" s="1"/>
      <c r="E4" s="1"/>
      <c r="F4" s="1"/>
      <c r="G4" s="1"/>
      <c r="H4" s="1"/>
    </row>
    <row r="5" spans="1:8" ht="12.75">
      <c r="A5" s="11" t="s">
        <v>5</v>
      </c>
      <c r="B5" s="53" t="s">
        <v>44</v>
      </c>
      <c r="C5" s="53" t="s">
        <v>45</v>
      </c>
      <c r="D5" s="53" t="s">
        <v>46</v>
      </c>
      <c r="E5" s="53" t="s">
        <v>47</v>
      </c>
      <c r="F5" s="53" t="s">
        <v>48</v>
      </c>
      <c r="G5" s="53" t="s">
        <v>9</v>
      </c>
      <c r="H5" s="54" t="s">
        <v>49</v>
      </c>
    </row>
    <row r="6" spans="1:8" ht="12.75">
      <c r="A6" s="3"/>
      <c r="B6" s="49"/>
      <c r="C6" s="49"/>
      <c r="D6" s="49"/>
      <c r="E6" s="49"/>
      <c r="F6" s="49"/>
      <c r="G6" s="49"/>
      <c r="H6" s="49"/>
    </row>
    <row r="7" spans="1:8" ht="12.75">
      <c r="A7" s="3" t="s">
        <v>40</v>
      </c>
      <c r="B7" s="43">
        <f>'2006 Monthy Recovery'!L10</f>
        <v>14373.72298578199</v>
      </c>
      <c r="C7" s="49">
        <f>'2006 Monthy Recovery'!L23</f>
        <v>3267.078266666667</v>
      </c>
      <c r="D7" s="49">
        <f>'2006 Monthy Recovery'!L36</f>
        <v>4573.529015674216</v>
      </c>
      <c r="E7" s="49">
        <f>'2006 Monthy Recovery'!L61</f>
        <v>4.648620808848946</v>
      </c>
      <c r="F7" s="49">
        <f>'2006 Monthy Recovery'!L74</f>
        <v>195.98206890130353</v>
      </c>
      <c r="G7" s="49">
        <f aca="true" t="shared" si="0" ref="G7:G18">SUM(B7:F7)</f>
        <v>22414.960957833024</v>
      </c>
      <c r="H7" s="49">
        <f>G7</f>
        <v>22414.960957833024</v>
      </c>
    </row>
    <row r="8" spans="1:8" ht="12.75">
      <c r="A8" s="3" t="s">
        <v>39</v>
      </c>
      <c r="B8" s="43">
        <f>'2006 Monthy Recovery'!L11</f>
        <v>15404.85644549763</v>
      </c>
      <c r="C8" s="49">
        <f>'2006 Monthy Recovery'!L24</f>
        <v>3235.4653333333326</v>
      </c>
      <c r="D8" s="49">
        <f>'2006 Monthy Recovery'!L37</f>
        <v>5559.345711714414</v>
      </c>
      <c r="E8" s="49">
        <f>'2006 Monthy Recovery'!L62</f>
        <v>0.5411562391980643</v>
      </c>
      <c r="F8" s="49">
        <f>'2006 Monthy Recovery'!L75</f>
        <v>195.98206890130353</v>
      </c>
      <c r="G8" s="49">
        <f t="shared" si="0"/>
        <v>24396.190715685876</v>
      </c>
      <c r="H8" s="49">
        <f>H7+G8</f>
        <v>46811.1516735189</v>
      </c>
    </row>
    <row r="9" spans="1:8" ht="12.75">
      <c r="A9" s="3" t="s">
        <v>18</v>
      </c>
      <c r="B9" s="43">
        <f>'2006 Monthy Recovery'!L12</f>
        <v>14331.627630331752</v>
      </c>
      <c r="C9" s="49">
        <f>'2006 Monthy Recovery'!L25</f>
        <v>3198.328</v>
      </c>
      <c r="D9" s="49">
        <f>'2006 Monthy Recovery'!L38</f>
        <v>5395.739459652017</v>
      </c>
      <c r="E9" s="49">
        <f>'2006 Monthy Recovery'!L63</f>
        <v>3.0695091600414797</v>
      </c>
      <c r="F9" s="49">
        <f>'2006 Monthy Recovery'!L76</f>
        <v>195.98206890130353</v>
      </c>
      <c r="G9" s="49">
        <f t="shared" si="0"/>
        <v>23124.746668045114</v>
      </c>
      <c r="H9" s="49">
        <f>H8+G9</f>
        <v>69935.89834156401</v>
      </c>
    </row>
    <row r="10" spans="1:8" ht="12.75">
      <c r="A10" s="3" t="s">
        <v>19</v>
      </c>
      <c r="B10" s="43">
        <f>'2006 Monthy Recovery'!L13</f>
        <v>12556.589668246446</v>
      </c>
      <c r="C10" s="49">
        <f>'2006 Monthy Recovery'!L26</f>
        <v>2864.3309333333327</v>
      </c>
      <c r="D10" s="49">
        <f>'2006 Monthy Recovery'!L39</f>
        <v>5025.095251237438</v>
      </c>
      <c r="E10" s="49">
        <f>'2006 Monthy Recovery'!L64</f>
        <v>2.762558244037332</v>
      </c>
      <c r="F10" s="49">
        <f>'2006 Monthy Recovery'!L77</f>
        <v>197.24112011173185</v>
      </c>
      <c r="G10" s="49">
        <f t="shared" si="0"/>
        <v>20646.019531172988</v>
      </c>
      <c r="H10" s="49">
        <f aca="true" t="shared" si="1" ref="H10:H18">H9+G10</f>
        <v>90581.917872737</v>
      </c>
    </row>
    <row r="11" spans="1:8" ht="12.75">
      <c r="A11" s="3" t="s">
        <v>20</v>
      </c>
      <c r="B11" s="43">
        <f>'2006 Monthy Recovery'!L14</f>
        <v>13189.922606635071</v>
      </c>
      <c r="C11" s="49">
        <f>'2006 Monthy Recovery'!L27</f>
        <v>3163.4773333333333</v>
      </c>
      <c r="D11" s="49">
        <f>'2006 Monthy Recovery'!L40</f>
        <v>5220.57365381731</v>
      </c>
      <c r="E11" s="49">
        <f>'2006 Monthy Recovery'!L65</f>
        <v>2.762558244037332</v>
      </c>
      <c r="F11" s="49">
        <f>'2006 Monthy Recovery'!L78</f>
        <v>0</v>
      </c>
      <c r="G11" s="49">
        <f t="shared" si="0"/>
        <v>21576.73615202975</v>
      </c>
      <c r="H11" s="49">
        <f t="shared" si="1"/>
        <v>112158.65402476676</v>
      </c>
    </row>
    <row r="12" spans="1:8" ht="12.75">
      <c r="A12" s="3" t="s">
        <v>21</v>
      </c>
      <c r="B12" s="43">
        <f>'2006 Monthy Recovery'!L15</f>
        <v>2201.2806161137437</v>
      </c>
      <c r="C12" s="49">
        <f>'2006 Monthy Recovery'!L28</f>
        <v>695.7869333333332</v>
      </c>
      <c r="D12" s="49">
        <f>'2006 Monthy Recovery'!L41</f>
        <v>364.18067046647667</v>
      </c>
      <c r="E12" s="49">
        <f>'2006 Monthy Recovery'!L66</f>
        <v>0.27501382647770484</v>
      </c>
      <c r="F12" s="49">
        <f>'2006 Monthy Recovery'!L79</f>
        <v>0</v>
      </c>
      <c r="G12" s="49">
        <f t="shared" si="0"/>
        <v>3261.5232337400316</v>
      </c>
      <c r="H12" s="49">
        <f t="shared" si="1"/>
        <v>115420.1772585068</v>
      </c>
    </row>
    <row r="13" spans="1:8" ht="12.75">
      <c r="A13" s="3" t="s">
        <v>22</v>
      </c>
      <c r="B13" s="43">
        <f>'2006 Monthy Recovery'!L16</f>
        <v>0.08521327014218008</v>
      </c>
      <c r="C13" s="49">
        <f>'2006 Monthy Recovery'!L29</f>
        <v>-0.2949333333333333</v>
      </c>
      <c r="D13" s="49">
        <f>'2006 Monthy Recovery'!L42</f>
        <v>-269.6870807709615</v>
      </c>
      <c r="E13" s="49">
        <f>'2006 Monthy Recovery'!L67</f>
        <v>0</v>
      </c>
      <c r="F13" s="49">
        <f>'2006 Monthy Recovery'!L80</f>
        <v>0</v>
      </c>
      <c r="G13" s="49">
        <f t="shared" si="0"/>
        <v>-269.8968008341526</v>
      </c>
      <c r="H13" s="49">
        <f t="shared" si="1"/>
        <v>115150.28045767265</v>
      </c>
    </row>
    <row r="14" spans="1:8" ht="12.75">
      <c r="A14" s="3" t="s">
        <v>23</v>
      </c>
      <c r="B14" s="43">
        <f>'2006 Monthy Recovery'!L17</f>
        <v>0</v>
      </c>
      <c r="C14" s="49">
        <f>'2006 Monthy Recovery'!L30</f>
        <v>0</v>
      </c>
      <c r="D14" s="49">
        <f>'2006 Monthy Recovery'!L43</f>
        <v>307.68668329083545</v>
      </c>
      <c r="E14" s="49">
        <f>'2006 Monthy Recovery'!L68</f>
        <v>0</v>
      </c>
      <c r="F14" s="49">
        <f>'2006 Monthy Recovery'!L81</f>
        <v>0</v>
      </c>
      <c r="G14" s="49">
        <f t="shared" si="0"/>
        <v>307.68668329083545</v>
      </c>
      <c r="H14" s="49">
        <f t="shared" si="1"/>
        <v>115457.96714096349</v>
      </c>
    </row>
    <row r="15" spans="1:8" ht="12.75">
      <c r="A15" s="3" t="s">
        <v>24</v>
      </c>
      <c r="B15" s="43">
        <f>'2006 Monthy Recovery'!L18</f>
        <v>0</v>
      </c>
      <c r="C15" s="49">
        <f>'2006 Monthy Recovery'!L31</f>
        <v>0</v>
      </c>
      <c r="D15" s="49">
        <f>'2006 Monthy Recovery'!L44</f>
        <v>0</v>
      </c>
      <c r="E15" s="49">
        <f>'2006 Monthy Recovery'!L69</f>
        <v>0</v>
      </c>
      <c r="F15" s="49">
        <f>'2006 Monthy Recovery'!L82</f>
        <v>0</v>
      </c>
      <c r="G15" s="49">
        <f t="shared" si="0"/>
        <v>0</v>
      </c>
      <c r="H15" s="49">
        <f t="shared" si="1"/>
        <v>115457.96714096349</v>
      </c>
    </row>
    <row r="16" spans="1:8" ht="12.75">
      <c r="A16" s="3" t="s">
        <v>25</v>
      </c>
      <c r="B16" s="43">
        <f>'2006 Monthy Recovery'!L19</f>
        <v>0</v>
      </c>
      <c r="C16" s="49">
        <f>'2006 Monthy Recovery'!L32</f>
        <v>0</v>
      </c>
      <c r="D16" s="49">
        <f>'2006 Monthy Recovery'!L45</f>
        <v>0</v>
      </c>
      <c r="E16" s="49">
        <f>'2006 Monthy Recovery'!L70</f>
        <v>0</v>
      </c>
      <c r="F16" s="49">
        <f>'2006 Monthy Recovery'!L83</f>
        <v>0</v>
      </c>
      <c r="G16" s="49">
        <f t="shared" si="0"/>
        <v>0</v>
      </c>
      <c r="H16" s="49">
        <f t="shared" si="1"/>
        <v>115457.96714096349</v>
      </c>
    </row>
    <row r="17" spans="1:8" ht="12.75">
      <c r="A17" s="3" t="s">
        <v>26</v>
      </c>
      <c r="B17" s="43">
        <f>'2006 Monthy Recovery'!L20</f>
        <v>0</v>
      </c>
      <c r="C17" s="49">
        <f>'2006 Monthy Recovery'!L33</f>
        <v>0</v>
      </c>
      <c r="D17" s="49">
        <f>'2006 Monthy Recovery'!L46</f>
        <v>0</v>
      </c>
      <c r="E17" s="49">
        <f>'2006 Monthy Recovery'!L71</f>
        <v>0</v>
      </c>
      <c r="F17" s="49">
        <f>'2006 Monthy Recovery'!L84</f>
        <v>0</v>
      </c>
      <c r="G17" s="49">
        <f t="shared" si="0"/>
        <v>0</v>
      </c>
      <c r="H17" s="49">
        <f t="shared" si="1"/>
        <v>115457.96714096349</v>
      </c>
    </row>
    <row r="18" spans="1:8" ht="12.75">
      <c r="A18" s="3" t="s">
        <v>27</v>
      </c>
      <c r="B18" s="63">
        <f>'2006 Monthy Recovery'!L21</f>
        <v>0</v>
      </c>
      <c r="C18" s="57">
        <f>'2006 Monthy Recovery'!L34</f>
        <v>0</v>
      </c>
      <c r="D18" s="57">
        <f>'2006 Monthy Recovery'!L47</f>
        <v>0</v>
      </c>
      <c r="E18" s="57">
        <f>'2006 Monthy Recovery'!L72</f>
        <v>0</v>
      </c>
      <c r="F18" s="57">
        <f>'2006 Monthy Recovery'!L85</f>
        <v>0</v>
      </c>
      <c r="G18" s="57">
        <f t="shared" si="0"/>
        <v>0</v>
      </c>
      <c r="H18" s="57">
        <f t="shared" si="1"/>
        <v>115457.96714096349</v>
      </c>
    </row>
    <row r="19" spans="1:8" ht="12.75">
      <c r="A19" s="3"/>
      <c r="B19" s="49"/>
      <c r="C19" s="49"/>
      <c r="D19" s="49"/>
      <c r="E19" s="49"/>
      <c r="F19" s="49">
        <f>'2006 Monthy Recovery'!L86</f>
        <v>0</v>
      </c>
      <c r="G19" s="49"/>
      <c r="H19" s="49"/>
    </row>
    <row r="20" spans="1:8" ht="12.75">
      <c r="A20" s="3" t="s">
        <v>50</v>
      </c>
      <c r="B20" s="49">
        <f>SUM(B7:B16)</f>
        <v>72058.08516587676</v>
      </c>
      <c r="C20" s="49">
        <f>SUM(C7:C16)</f>
        <v>16424.171866666664</v>
      </c>
      <c r="D20" s="49">
        <f>SUM(D7:D16)</f>
        <v>26176.463365081745</v>
      </c>
      <c r="E20" s="49">
        <f>SUM(E7:E16)</f>
        <v>14.059416522640861</v>
      </c>
      <c r="F20" s="49">
        <f>SUM(F7:F16)</f>
        <v>785.1873268156423</v>
      </c>
      <c r="G20" s="49">
        <f>SUM(G7:G18)</f>
        <v>115457.96714096349</v>
      </c>
      <c r="H20" s="49"/>
    </row>
  </sheetData>
  <sheetProtection/>
  <mergeCells count="3">
    <mergeCell ref="D1:G1"/>
    <mergeCell ref="D2:G2"/>
    <mergeCell ref="D3:G3"/>
  </mergeCells>
  <printOptions/>
  <pageMargins left="0.7" right="0.7" top="0.75" bottom="0.75" header="0.3" footer="0.3"/>
  <pageSetup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43">
      <selection activeCell="D51" sqref="D51:H51"/>
    </sheetView>
  </sheetViews>
  <sheetFormatPr defaultColWidth="9.140625" defaultRowHeight="12.75"/>
  <cols>
    <col min="1" max="1" width="9.00390625" style="0" customWidth="1"/>
    <col min="2" max="2" width="12.57421875" style="0" customWidth="1"/>
    <col min="3" max="3" width="11.00390625" style="0" customWidth="1"/>
    <col min="4" max="4" width="11.7109375" style="0" customWidth="1"/>
    <col min="5" max="5" width="11.140625" style="0" customWidth="1"/>
    <col min="6" max="6" width="9.57421875" style="0" customWidth="1"/>
    <col min="7" max="7" width="13.00390625" style="0" customWidth="1"/>
    <col min="8" max="9" width="11.8515625" style="0" customWidth="1"/>
    <col min="10" max="10" width="12.00390625" style="0" customWidth="1"/>
    <col min="11" max="11" width="13.7109375" style="0" customWidth="1"/>
  </cols>
  <sheetData>
    <row r="1" spans="1:11" ht="12.75">
      <c r="A1" s="4" t="s">
        <v>52</v>
      </c>
      <c r="B1" s="3"/>
      <c r="C1" s="5"/>
      <c r="D1" s="103" t="s">
        <v>53</v>
      </c>
      <c r="E1" s="103"/>
      <c r="F1" s="103"/>
      <c r="G1" s="103"/>
      <c r="H1" s="103"/>
      <c r="I1" s="7"/>
      <c r="J1" s="7"/>
      <c r="K1" s="7"/>
    </row>
    <row r="2" spans="1:11" ht="12.75">
      <c r="A2" s="3"/>
      <c r="B2" s="5"/>
      <c r="C2" s="5"/>
      <c r="D2" s="103" t="s">
        <v>139</v>
      </c>
      <c r="E2" s="103"/>
      <c r="F2" s="103"/>
      <c r="G2" s="103"/>
      <c r="H2" s="103"/>
      <c r="I2" s="7"/>
      <c r="J2" s="7"/>
      <c r="K2" s="7"/>
    </row>
    <row r="3" spans="1:11" ht="12.75">
      <c r="A3" s="3"/>
      <c r="B3" s="5"/>
      <c r="C3" s="5"/>
      <c r="D3" s="103" t="s">
        <v>43</v>
      </c>
      <c r="E3" s="104"/>
      <c r="F3" s="104"/>
      <c r="G3" s="104"/>
      <c r="H3" s="104"/>
      <c r="I3" s="7"/>
      <c r="J3" s="7"/>
      <c r="K3" s="7"/>
    </row>
    <row r="4" spans="1:11" ht="12.75">
      <c r="A4" s="3"/>
      <c r="B4" s="5"/>
      <c r="C4" s="5"/>
      <c r="D4" s="9"/>
      <c r="E4" s="10"/>
      <c r="F4" s="3"/>
      <c r="G4" s="7"/>
      <c r="H4" s="8"/>
      <c r="I4" s="7"/>
      <c r="J4" s="7"/>
      <c r="K4" s="7"/>
    </row>
    <row r="5" spans="1:11" ht="12.75">
      <c r="A5" s="4" t="s">
        <v>54</v>
      </c>
      <c r="B5" s="5"/>
      <c r="C5" s="5"/>
      <c r="D5" s="9"/>
      <c r="E5" s="10"/>
      <c r="F5" s="3"/>
      <c r="G5" s="7"/>
      <c r="H5" s="8"/>
      <c r="I5" s="7"/>
      <c r="J5" s="7"/>
      <c r="K5" s="7"/>
    </row>
    <row r="6" spans="1:11" ht="12.75">
      <c r="A6" s="3"/>
      <c r="B6" s="5"/>
      <c r="C6" s="5"/>
      <c r="D6" s="9"/>
      <c r="E6" s="10"/>
      <c r="F6" s="3"/>
      <c r="G6" s="7"/>
      <c r="H6" s="8"/>
      <c r="I6" s="7"/>
      <c r="J6" s="7"/>
      <c r="K6" s="7"/>
    </row>
    <row r="7" spans="1:11" ht="12.75">
      <c r="A7" s="11" t="s">
        <v>0</v>
      </c>
      <c r="B7" s="12" t="s">
        <v>1</v>
      </c>
      <c r="C7" s="12" t="s">
        <v>2</v>
      </c>
      <c r="D7" s="13" t="s">
        <v>3</v>
      </c>
      <c r="E7" s="14" t="s">
        <v>4</v>
      </c>
      <c r="F7" s="11" t="s">
        <v>5</v>
      </c>
      <c r="G7" s="15" t="s">
        <v>3</v>
      </c>
      <c r="H7" s="16" t="s">
        <v>6</v>
      </c>
      <c r="I7" s="15" t="s">
        <v>7</v>
      </c>
      <c r="J7" s="15" t="s">
        <v>8</v>
      </c>
      <c r="K7" s="15" t="s">
        <v>9</v>
      </c>
    </row>
    <row r="8" spans="1:11" ht="12.75">
      <c r="A8" s="11"/>
      <c r="B8" s="12" t="s">
        <v>10</v>
      </c>
      <c r="C8" s="12" t="s">
        <v>11</v>
      </c>
      <c r="D8" s="13" t="s">
        <v>12</v>
      </c>
      <c r="E8" s="14" t="s">
        <v>13</v>
      </c>
      <c r="F8" s="11"/>
      <c r="G8" s="15" t="s">
        <v>14</v>
      </c>
      <c r="H8" s="16" t="s">
        <v>15</v>
      </c>
      <c r="I8" s="15" t="s">
        <v>16</v>
      </c>
      <c r="J8" s="15" t="s">
        <v>16</v>
      </c>
      <c r="K8" s="15" t="s">
        <v>16</v>
      </c>
    </row>
    <row r="9" spans="1:11" ht="12.75">
      <c r="A9" s="3"/>
      <c r="B9" s="5"/>
      <c r="C9" s="5"/>
      <c r="D9" s="9"/>
      <c r="E9" s="10"/>
      <c r="F9" s="3"/>
      <c r="G9" s="7"/>
      <c r="H9" s="8"/>
      <c r="I9" s="7"/>
      <c r="J9" s="7"/>
      <c r="K9" s="7"/>
    </row>
    <row r="10" spans="1:11" ht="12.75">
      <c r="A10" s="3" t="s">
        <v>17</v>
      </c>
      <c r="B10" s="41">
        <f>(1.1448+0.2615)</f>
        <v>1.4063</v>
      </c>
      <c r="C10" s="41">
        <f>(0.001464+0.000334)</f>
        <v>0.0017980000000000001</v>
      </c>
      <c r="D10" s="9">
        <v>12.08</v>
      </c>
      <c r="E10" s="10">
        <f>B10/D10</f>
        <v>0.1164155629139073</v>
      </c>
      <c r="F10" s="3" t="s">
        <v>18</v>
      </c>
      <c r="G10" s="7">
        <v>0</v>
      </c>
      <c r="H10" s="8">
        <v>0</v>
      </c>
      <c r="I10" s="7">
        <v>0</v>
      </c>
      <c r="J10" s="7">
        <v>0</v>
      </c>
      <c r="K10" s="7">
        <f aca="true" t="shared" si="0" ref="K10:K19">+I10+J10</f>
        <v>0</v>
      </c>
    </row>
    <row r="11" spans="1:11" ht="12.75">
      <c r="A11" s="3"/>
      <c r="B11" s="5"/>
      <c r="C11" s="5"/>
      <c r="D11" s="9"/>
      <c r="E11" s="10"/>
      <c r="F11" s="3" t="s">
        <v>19</v>
      </c>
      <c r="G11" s="7">
        <v>36838.9</v>
      </c>
      <c r="H11" s="8">
        <v>2578146</v>
      </c>
      <c r="I11" s="7">
        <f>E10*G11</f>
        <v>4288.62128062914</v>
      </c>
      <c r="J11" s="7">
        <f>H11*C10</f>
        <v>4635.506508</v>
      </c>
      <c r="K11" s="7">
        <f t="shared" si="0"/>
        <v>8924.12778862914</v>
      </c>
    </row>
    <row r="12" spans="1:11" ht="12.75">
      <c r="A12" s="3"/>
      <c r="B12" s="5"/>
      <c r="C12" s="5"/>
      <c r="D12" s="17"/>
      <c r="E12" s="8"/>
      <c r="F12" s="3" t="s">
        <v>20</v>
      </c>
      <c r="G12" s="7">
        <f>58492.8+7860.46</f>
        <v>66353.26000000001</v>
      </c>
      <c r="H12" s="8">
        <f>2444943+592829</f>
        <v>3037772</v>
      </c>
      <c r="I12" s="7">
        <f>+E10*G12</f>
        <v>7724.55211407285</v>
      </c>
      <c r="J12" s="7">
        <f>H12*C10</f>
        <v>5461.9140560000005</v>
      </c>
      <c r="K12" s="7">
        <f t="shared" si="0"/>
        <v>13186.46617007285</v>
      </c>
    </row>
    <row r="13" spans="1:11" ht="12.75">
      <c r="A13" s="3"/>
      <c r="B13" s="5"/>
      <c r="C13" s="5"/>
      <c r="D13" s="17"/>
      <c r="E13" s="8"/>
      <c r="F13" s="3" t="s">
        <v>21</v>
      </c>
      <c r="G13" s="7">
        <f>43697.04+4403.57</f>
        <v>48100.61</v>
      </c>
      <c r="H13" s="8">
        <f>2071043+324369</f>
        <v>2395412</v>
      </c>
      <c r="I13" s="7">
        <f>+G13*E10</f>
        <v>5599.659589652319</v>
      </c>
      <c r="J13" s="7">
        <f>H13*C10</f>
        <v>4306.950776000001</v>
      </c>
      <c r="K13" s="7">
        <f t="shared" si="0"/>
        <v>9906.61036565232</v>
      </c>
    </row>
    <row r="14" spans="1:11" ht="12.75">
      <c r="A14" s="3"/>
      <c r="B14" s="5"/>
      <c r="C14" s="5"/>
      <c r="D14" s="9"/>
      <c r="E14" s="10"/>
      <c r="F14" s="3" t="s">
        <v>22</v>
      </c>
      <c r="G14" s="7">
        <f>10.88+24.16+14.5-25.94-31.34+31.34+10521.7+63828.47</f>
        <v>74373.77</v>
      </c>
      <c r="H14" s="8">
        <f>7634+148+2514+547030+3006626</f>
        <v>3563952</v>
      </c>
      <c r="I14" s="7">
        <f>E10*G14</f>
        <v>8658.26430057947</v>
      </c>
      <c r="J14" s="7">
        <f>H14*C10</f>
        <v>6407.985696000001</v>
      </c>
      <c r="K14" s="7">
        <f t="shared" si="0"/>
        <v>15066.24999657947</v>
      </c>
    </row>
    <row r="15" spans="1:11" ht="12.75">
      <c r="A15" s="3"/>
      <c r="B15" s="5"/>
      <c r="C15" s="5"/>
      <c r="D15" s="9"/>
      <c r="E15" s="10"/>
      <c r="F15" s="3" t="s">
        <v>23</v>
      </c>
      <c r="G15" s="7">
        <f>22.95+2898.41+29550.14</f>
        <v>32471.5</v>
      </c>
      <c r="H15" s="8">
        <f>12401+141706+1564159</f>
        <v>1718266</v>
      </c>
      <c r="I15" s="7">
        <f>+E10*G15</f>
        <v>3780.187951158941</v>
      </c>
      <c r="J15" s="7">
        <f>H15*C10</f>
        <v>3089.4422680000002</v>
      </c>
      <c r="K15" s="7">
        <f t="shared" si="0"/>
        <v>6869.630219158941</v>
      </c>
    </row>
    <row r="16" spans="1:11" ht="12.75">
      <c r="A16" s="3"/>
      <c r="B16" s="5"/>
      <c r="C16" s="5"/>
      <c r="D16" s="9"/>
      <c r="E16" s="10"/>
      <c r="F16" s="3" t="s">
        <v>24</v>
      </c>
      <c r="G16" s="7">
        <f>-10.47+9332.25+46840.3+27640+12.08</f>
        <v>83814.16</v>
      </c>
      <c r="H16" s="8">
        <f>16+507028+3015511+1815906+256</f>
        <v>5338717</v>
      </c>
      <c r="I16" s="7">
        <f>E10*G16</f>
        <v>9757.272616556293</v>
      </c>
      <c r="J16" s="7">
        <f>H16*C10</f>
        <v>9599.013166</v>
      </c>
      <c r="K16" s="7">
        <f t="shared" si="0"/>
        <v>19356.285782556293</v>
      </c>
    </row>
    <row r="17" spans="1:11" ht="12.75">
      <c r="A17" s="3"/>
      <c r="B17" s="5"/>
      <c r="C17" s="5"/>
      <c r="D17" s="9"/>
      <c r="E17" s="10"/>
      <c r="F17" s="3" t="s">
        <v>25</v>
      </c>
      <c r="G17" s="7">
        <f>-8.86+6715.29+-86.57+31098.81+18532.44</f>
        <v>56251.11</v>
      </c>
      <c r="H17" s="8">
        <f>1230+333483+2101+1604990+903600</f>
        <v>2845404</v>
      </c>
      <c r="I17" s="7">
        <f>E10*G17</f>
        <v>6548.50463518212</v>
      </c>
      <c r="J17" s="7">
        <f>H17*C10</f>
        <v>5116.036392</v>
      </c>
      <c r="K17" s="7">
        <f t="shared" si="0"/>
        <v>11664.54102718212</v>
      </c>
    </row>
    <row r="18" spans="1:11" ht="12.75">
      <c r="A18" s="3"/>
      <c r="B18" s="5"/>
      <c r="C18" s="5"/>
      <c r="D18" s="9"/>
      <c r="E18" s="10"/>
      <c r="F18" s="3" t="s">
        <v>26</v>
      </c>
      <c r="G18" s="7">
        <f>24.16+9560.97+-356.76+676.48+60065.53</f>
        <v>69970.38</v>
      </c>
      <c r="H18" s="8">
        <f>707+495625+3595+66818+2851455</f>
        <v>3418200</v>
      </c>
      <c r="I18" s="7">
        <f>E10*G18</f>
        <v>8145.641175000002</v>
      </c>
      <c r="J18" s="7">
        <f>H18*C10</f>
        <v>6145.9236</v>
      </c>
      <c r="K18" s="7">
        <f t="shared" si="0"/>
        <v>14291.564775000003</v>
      </c>
    </row>
    <row r="19" spans="1:11" ht="12.75">
      <c r="A19" s="3"/>
      <c r="B19" s="5"/>
      <c r="C19" s="5"/>
      <c r="D19" s="9"/>
      <c r="E19" s="10"/>
      <c r="F19" s="3" t="s">
        <v>27</v>
      </c>
      <c r="G19" s="7">
        <f>7475.94+30.21+738.9+54817.59</f>
        <v>63062.64</v>
      </c>
      <c r="H19" s="8">
        <f>562745+12688.84+85992.71+2731929.45</f>
        <v>3393356</v>
      </c>
      <c r="I19" s="7">
        <f>E10*G19</f>
        <v>7341.472734437087</v>
      </c>
      <c r="J19" s="7">
        <f>H19*C10</f>
        <v>6101.254088000001</v>
      </c>
      <c r="K19" s="7">
        <f t="shared" si="0"/>
        <v>13442.726822437087</v>
      </c>
    </row>
    <row r="20" spans="1:11" ht="12.75">
      <c r="A20" s="3"/>
      <c r="B20" s="5"/>
      <c r="C20" s="5"/>
      <c r="D20" s="9"/>
      <c r="E20" s="10"/>
      <c r="F20" s="3"/>
      <c r="G20" s="7"/>
      <c r="H20" s="8"/>
      <c r="I20" s="7"/>
      <c r="J20" s="7"/>
      <c r="K20" s="7"/>
    </row>
    <row r="21" spans="1:11" ht="12.75">
      <c r="A21" s="3" t="s">
        <v>28</v>
      </c>
      <c r="B21" s="41">
        <f>(1.0735+0.2452)</f>
        <v>1.3187</v>
      </c>
      <c r="C21" s="41">
        <f>(0.000806+0.000184)</f>
        <v>0.00099</v>
      </c>
      <c r="D21" s="9">
        <v>12.97</v>
      </c>
      <c r="E21" s="10">
        <f>B21/D21</f>
        <v>0.10167309175019275</v>
      </c>
      <c r="F21" s="3" t="s">
        <v>18</v>
      </c>
      <c r="G21" s="7"/>
      <c r="H21" s="8"/>
      <c r="I21" s="7"/>
      <c r="J21" s="7"/>
      <c r="K21" s="7"/>
    </row>
    <row r="22" spans="1:11" ht="12.75">
      <c r="A22" s="3"/>
      <c r="B22" s="5"/>
      <c r="C22" s="5"/>
      <c r="D22" s="9"/>
      <c r="E22" s="10"/>
      <c r="F22" s="3" t="s">
        <v>19</v>
      </c>
      <c r="G22" s="7">
        <v>799.37</v>
      </c>
      <c r="H22" s="8">
        <v>111397</v>
      </c>
      <c r="I22" s="7">
        <f>E21*G22</f>
        <v>81.27441935235157</v>
      </c>
      <c r="J22" s="7">
        <f>H22*C21</f>
        <v>110.28303</v>
      </c>
      <c r="K22" s="7">
        <f aca="true" t="shared" si="1" ref="K22:K30">+I22+J22</f>
        <v>191.55744935235157</v>
      </c>
    </row>
    <row r="23" spans="1:11" ht="12.75">
      <c r="A23" s="3"/>
      <c r="B23" s="5"/>
      <c r="C23" s="5"/>
      <c r="D23" s="17"/>
      <c r="E23" s="8"/>
      <c r="F23" s="3" t="s">
        <v>20</v>
      </c>
      <c r="G23" s="7">
        <v>9342.7</v>
      </c>
      <c r="H23" s="8">
        <v>2572232.6</v>
      </c>
      <c r="I23" s="7">
        <f>+E21*G23</f>
        <v>949.9011942945259</v>
      </c>
      <c r="J23" s="7">
        <f>H23*C21</f>
        <v>2546.510274</v>
      </c>
      <c r="K23" s="7">
        <f t="shared" si="1"/>
        <v>3496.411468294526</v>
      </c>
    </row>
    <row r="24" spans="1:11" ht="12.75">
      <c r="A24" s="3"/>
      <c r="B24" s="5"/>
      <c r="C24" s="5"/>
      <c r="D24" s="17"/>
      <c r="E24" s="8"/>
      <c r="F24" s="3" t="s">
        <v>21</v>
      </c>
      <c r="G24" s="7">
        <v>5017.65</v>
      </c>
      <c r="H24" s="8">
        <v>1001661.6</v>
      </c>
      <c r="I24" s="7">
        <f>+G24*E21</f>
        <v>510.1599888203546</v>
      </c>
      <c r="J24" s="7">
        <f>H24*C21</f>
        <v>991.644984</v>
      </c>
      <c r="K24" s="7">
        <f t="shared" si="1"/>
        <v>1501.8049728203546</v>
      </c>
    </row>
    <row r="25" spans="1:11" ht="12.75">
      <c r="A25" s="3"/>
      <c r="B25" s="5"/>
      <c r="C25" s="5"/>
      <c r="D25" s="9"/>
      <c r="E25" s="10"/>
      <c r="F25" s="3" t="s">
        <v>22</v>
      </c>
      <c r="G25" s="7">
        <v>10973.04</v>
      </c>
      <c r="H25" s="8">
        <v>2320384.6</v>
      </c>
      <c r="I25" s="7">
        <f>E21*G25</f>
        <v>1115.6629026985352</v>
      </c>
      <c r="J25" s="7">
        <f>H25*C21</f>
        <v>2297.180754</v>
      </c>
      <c r="K25" s="7">
        <f t="shared" si="1"/>
        <v>3412.843656698535</v>
      </c>
    </row>
    <row r="26" spans="1:11" ht="12.75">
      <c r="A26" s="3"/>
      <c r="B26" s="5"/>
      <c r="C26" s="5"/>
      <c r="D26" s="9"/>
      <c r="E26" s="10"/>
      <c r="F26" s="3" t="s">
        <v>23</v>
      </c>
      <c r="G26" s="7">
        <v>5823.09</v>
      </c>
      <c r="H26" s="8">
        <v>1490506.6</v>
      </c>
      <c r="I26" s="7">
        <f>+E21*G26</f>
        <v>592.0515638396299</v>
      </c>
      <c r="J26" s="7">
        <f>H26*C21</f>
        <v>1475.6015340000001</v>
      </c>
      <c r="K26" s="7">
        <f t="shared" si="1"/>
        <v>2067.65309783963</v>
      </c>
    </row>
    <row r="27" spans="1:11" ht="12.75">
      <c r="A27" s="3"/>
      <c r="B27" s="5"/>
      <c r="C27" s="5"/>
      <c r="D27" s="9"/>
      <c r="E27" s="10"/>
      <c r="F27" s="3" t="s">
        <v>24</v>
      </c>
      <c r="G27" s="7">
        <v>10422.68</v>
      </c>
      <c r="H27" s="8">
        <v>2831487.6</v>
      </c>
      <c r="I27" s="7">
        <f>E21*G27</f>
        <v>1059.706099922899</v>
      </c>
      <c r="J27" s="7">
        <f>H27*C21</f>
        <v>2803.172724</v>
      </c>
      <c r="K27" s="7">
        <f t="shared" si="1"/>
        <v>3862.878823922899</v>
      </c>
    </row>
    <row r="28" spans="1:11" ht="12.75">
      <c r="A28" s="3"/>
      <c r="B28" s="5"/>
      <c r="C28" s="5"/>
      <c r="D28" s="9"/>
      <c r="E28" s="10"/>
      <c r="F28" s="3" t="s">
        <v>25</v>
      </c>
      <c r="G28" s="7">
        <v>8292.14</v>
      </c>
      <c r="H28" s="8">
        <v>1881645.6</v>
      </c>
      <c r="I28" s="7">
        <f>E21*G28</f>
        <v>843.0875110254433</v>
      </c>
      <c r="J28" s="7">
        <f>H28*C21</f>
        <v>1862.829144</v>
      </c>
      <c r="K28" s="7">
        <f t="shared" si="1"/>
        <v>2705.916655025443</v>
      </c>
    </row>
    <row r="29" spans="1:11" ht="12.75">
      <c r="A29" s="3"/>
      <c r="B29" s="5"/>
      <c r="C29" s="5"/>
      <c r="D29" s="9"/>
      <c r="E29" s="10"/>
      <c r="F29" s="3" t="s">
        <v>26</v>
      </c>
      <c r="G29" s="7">
        <v>11701.19</v>
      </c>
      <c r="H29" s="8">
        <v>2616850.6</v>
      </c>
      <c r="I29" s="7">
        <f>E21*G29</f>
        <v>1189.6961644564378</v>
      </c>
      <c r="J29" s="7">
        <f>H29*C21</f>
        <v>2590.6820940000002</v>
      </c>
      <c r="K29" s="7">
        <f t="shared" si="1"/>
        <v>3780.378258456438</v>
      </c>
    </row>
    <row r="30" spans="1:11" ht="12.75">
      <c r="A30" s="3"/>
      <c r="B30" s="5"/>
      <c r="C30" s="5"/>
      <c r="D30" s="9"/>
      <c r="E30" s="10"/>
      <c r="F30" s="3" t="s">
        <v>27</v>
      </c>
      <c r="G30" s="7">
        <v>8748.32</v>
      </c>
      <c r="H30" s="8">
        <v>1850793.6</v>
      </c>
      <c r="I30" s="7">
        <f>E21*G30</f>
        <v>889.4687420200462</v>
      </c>
      <c r="J30" s="7">
        <f>H30*C21</f>
        <v>1832.285664</v>
      </c>
      <c r="K30" s="7">
        <f t="shared" si="1"/>
        <v>2721.754406020046</v>
      </c>
    </row>
    <row r="31" spans="1:11" ht="12.75">
      <c r="A31" s="3"/>
      <c r="B31" s="5"/>
      <c r="C31" s="5"/>
      <c r="D31" s="9"/>
      <c r="E31" s="10"/>
      <c r="F31" s="3"/>
      <c r="G31" s="7"/>
      <c r="H31" s="8"/>
      <c r="I31" s="7"/>
      <c r="J31" s="7"/>
      <c r="K31" s="7"/>
    </row>
    <row r="32" spans="1:11" ht="12.75">
      <c r="A32" s="3" t="s">
        <v>30</v>
      </c>
      <c r="B32" s="41">
        <f>(1.7606+0.4022)</f>
        <v>2.1628</v>
      </c>
      <c r="C32" s="41">
        <f>(0.223327+0.051019)</f>
        <v>0.274346</v>
      </c>
      <c r="D32" s="9">
        <v>15.67</v>
      </c>
      <c r="E32" s="10">
        <f>B32/D32</f>
        <v>0.13802169751116783</v>
      </c>
      <c r="F32" s="3" t="s">
        <v>18</v>
      </c>
      <c r="G32" s="7">
        <v>0</v>
      </c>
      <c r="H32" s="8">
        <v>0</v>
      </c>
      <c r="I32" s="7">
        <f>E32*G32</f>
        <v>0</v>
      </c>
      <c r="J32" s="7">
        <f>H32*C32</f>
        <v>0</v>
      </c>
      <c r="K32" s="7">
        <f>+I32+J32</f>
        <v>0</v>
      </c>
    </row>
    <row r="33" spans="1:11" ht="12.75">
      <c r="A33" s="3"/>
      <c r="B33" s="5"/>
      <c r="C33" s="5"/>
      <c r="D33" s="9"/>
      <c r="E33" s="10"/>
      <c r="F33" s="3" t="s">
        <v>19</v>
      </c>
      <c r="G33" s="7"/>
      <c r="H33" s="8"/>
      <c r="I33" s="7"/>
      <c r="J33" s="7"/>
      <c r="K33" s="7"/>
    </row>
    <row r="34" spans="1:11" ht="12.75">
      <c r="A34" s="3"/>
      <c r="B34" s="5"/>
      <c r="C34" s="5"/>
      <c r="D34" s="17"/>
      <c r="E34" s="8"/>
      <c r="F34" s="3" t="s">
        <v>20</v>
      </c>
      <c r="G34" s="7">
        <v>1724.74</v>
      </c>
      <c r="H34" s="8">
        <v>29952.1</v>
      </c>
      <c r="I34" s="7">
        <f>+E34*D32*E32</f>
        <v>0</v>
      </c>
      <c r="J34" s="7">
        <f>H34*C32</f>
        <v>8217.2388266</v>
      </c>
      <c r="K34" s="7">
        <f aca="true" t="shared" si="2" ref="K34:K41">+I34+J34</f>
        <v>8217.2388266</v>
      </c>
    </row>
    <row r="35" spans="1:11" ht="12.75">
      <c r="A35" s="3"/>
      <c r="B35" s="5"/>
      <c r="C35" s="5"/>
      <c r="D35" s="17"/>
      <c r="E35" s="8"/>
      <c r="F35" s="3" t="s">
        <v>21</v>
      </c>
      <c r="G35" s="7">
        <f>736.49+172.37</f>
        <v>908.86</v>
      </c>
      <c r="H35" s="8">
        <f>6447.9+14431.2</f>
        <v>20879.1</v>
      </c>
      <c r="I35" s="7">
        <f>+E35*D32*E32</f>
        <v>0</v>
      </c>
      <c r="J35" s="7">
        <f>H35*C32</f>
        <v>5728.097568599999</v>
      </c>
      <c r="K35" s="7">
        <f t="shared" si="2"/>
        <v>5728.097568599999</v>
      </c>
    </row>
    <row r="36" spans="1:11" ht="12.75">
      <c r="A36" s="3"/>
      <c r="B36" s="5"/>
      <c r="C36" s="5"/>
      <c r="D36" s="9"/>
      <c r="E36" s="10"/>
      <c r="F36" s="3" t="s">
        <v>22</v>
      </c>
      <c r="G36" s="7">
        <f>1818.76+62.68+172.37</f>
        <v>2053.81</v>
      </c>
      <c r="H36" s="8">
        <f>16832+1609.1+14431.2+358.8</f>
        <v>33231.100000000006</v>
      </c>
      <c r="I36" s="7">
        <f>E32*G36</f>
        <v>283.4703425654116</v>
      </c>
      <c r="J36" s="7">
        <f>H36*C32</f>
        <v>9116.8193606</v>
      </c>
      <c r="K36" s="7">
        <f t="shared" si="2"/>
        <v>9400.289703165412</v>
      </c>
    </row>
    <row r="37" spans="1:11" ht="12.75">
      <c r="A37" s="3"/>
      <c r="B37" s="5"/>
      <c r="C37" s="5"/>
      <c r="D37" s="9"/>
      <c r="E37" s="10"/>
      <c r="F37" s="3" t="s">
        <v>23</v>
      </c>
      <c r="G37" s="7">
        <f>15.67+778.28+47.01+172.37</f>
        <v>1013.3299999999999</v>
      </c>
      <c r="H37" s="8">
        <f>8611.5+913.4+14492.3</f>
        <v>24017.199999999997</v>
      </c>
      <c r="I37" s="7">
        <f>+E32*G37</f>
        <v>139.8615267389917</v>
      </c>
      <c r="J37" s="7">
        <f>H37*C32</f>
        <v>6589.022751199998</v>
      </c>
      <c r="K37" s="7">
        <f t="shared" si="2"/>
        <v>6728.88427793899</v>
      </c>
    </row>
    <row r="38" spans="1:11" ht="12.75">
      <c r="A38" s="3"/>
      <c r="B38" s="5"/>
      <c r="C38" s="5"/>
      <c r="D38" s="9"/>
      <c r="E38" s="10"/>
      <c r="F38" s="3" t="s">
        <v>24</v>
      </c>
      <c r="G38" s="7">
        <f>1629.16+47.01+203.71</f>
        <v>1879.88</v>
      </c>
      <c r="H38" s="8">
        <f>14706.9+3339.1+74420.5</f>
        <v>92466.5</v>
      </c>
      <c r="I38" s="7">
        <f>E32*G38</f>
        <v>259.4642287172942</v>
      </c>
      <c r="J38" s="7">
        <f>H38*C32</f>
        <v>25367.814409</v>
      </c>
      <c r="K38" s="7">
        <f t="shared" si="2"/>
        <v>25627.278637717292</v>
      </c>
    </row>
    <row r="39" spans="1:11" ht="12.75">
      <c r="A39" s="3"/>
      <c r="B39" s="5"/>
      <c r="C39" s="5"/>
      <c r="D39" s="9"/>
      <c r="E39" s="10"/>
      <c r="F39" s="3" t="s">
        <v>25</v>
      </c>
      <c r="G39" s="7">
        <f>1237.93+47.01+201.1</f>
        <v>1486.04</v>
      </c>
      <c r="H39" s="8">
        <f>11451+850.5+15666.7</f>
        <v>27968.2</v>
      </c>
      <c r="I39" s="7">
        <f>E32*G39</f>
        <v>205.10576336949583</v>
      </c>
      <c r="J39" s="7">
        <f>H39*C32</f>
        <v>7672.9637972</v>
      </c>
      <c r="K39" s="7">
        <f t="shared" si="2"/>
        <v>7878.0695605694955</v>
      </c>
    </row>
    <row r="40" spans="1:11" ht="12.75">
      <c r="A40" s="3"/>
      <c r="B40" s="5"/>
      <c r="C40" s="5"/>
      <c r="D40" s="9"/>
      <c r="E40" s="10"/>
      <c r="F40" s="3" t="s">
        <v>26</v>
      </c>
      <c r="G40" s="7">
        <f>1958.75+31.34+203.71</f>
        <v>2193.7999999999997</v>
      </c>
      <c r="H40" s="8">
        <f>18239.75+747.89+18958.72+65.2</f>
        <v>38011.56</v>
      </c>
      <c r="I40" s="7">
        <f>E32*G40</f>
        <v>302.792</v>
      </c>
      <c r="J40" s="7">
        <f>H40*C32</f>
        <v>10428.319439759998</v>
      </c>
      <c r="K40" s="7">
        <f t="shared" si="2"/>
        <v>10731.111439759998</v>
      </c>
    </row>
    <row r="41" spans="1:11" ht="12.75">
      <c r="A41" s="3"/>
      <c r="B41" s="5"/>
      <c r="C41" s="5"/>
      <c r="D41" s="9"/>
      <c r="E41" s="10"/>
      <c r="F41" s="3" t="s">
        <v>27</v>
      </c>
      <c r="G41" s="7">
        <f>31.34+1319.94+31.34+188.04</f>
        <v>1570.6599999999999</v>
      </c>
      <c r="H41" s="8">
        <f>12276.47+594.24+13298.09</f>
        <v>26168.8</v>
      </c>
      <c r="I41" s="7">
        <f>E32*G41</f>
        <v>216.78515941289083</v>
      </c>
      <c r="J41" s="7">
        <f>H41*C32</f>
        <v>7179.305604799999</v>
      </c>
      <c r="K41" s="7">
        <f t="shared" si="2"/>
        <v>7396.09076421289</v>
      </c>
    </row>
    <row r="42" spans="1:11" ht="12.75">
      <c r="A42" s="3"/>
      <c r="B42" s="5"/>
      <c r="C42" s="5"/>
      <c r="D42" s="9"/>
      <c r="E42" s="10"/>
      <c r="F42" s="3"/>
      <c r="G42" s="7"/>
      <c r="H42" s="8"/>
      <c r="I42" s="7"/>
      <c r="J42" s="7"/>
      <c r="K42" s="7"/>
    </row>
    <row r="43" spans="1:11" ht="12.75">
      <c r="A43" s="3"/>
      <c r="B43" s="5"/>
      <c r="C43" s="5"/>
      <c r="D43" s="9"/>
      <c r="E43" s="10"/>
      <c r="F43" s="3"/>
      <c r="G43" s="7"/>
      <c r="H43" s="8"/>
      <c r="I43" s="7"/>
      <c r="J43" s="7"/>
      <c r="K43" s="7"/>
    </row>
    <row r="44" spans="1:11" ht="12.75">
      <c r="A44" s="3"/>
      <c r="B44" s="5"/>
      <c r="C44" s="5"/>
      <c r="D44" s="9"/>
      <c r="E44" s="10"/>
      <c r="F44" s="3"/>
      <c r="G44" s="7"/>
      <c r="H44" s="8"/>
      <c r="I44" s="7"/>
      <c r="J44" s="7"/>
      <c r="K44" s="7"/>
    </row>
    <row r="45" spans="1:11" ht="12.75">
      <c r="A45" s="3"/>
      <c r="B45" s="5"/>
      <c r="C45" s="5"/>
      <c r="D45" s="9"/>
      <c r="E45" s="10"/>
      <c r="F45" s="3"/>
      <c r="G45" s="7"/>
      <c r="H45" s="8"/>
      <c r="I45" s="7"/>
      <c r="J45" s="7"/>
      <c r="K45" s="7"/>
    </row>
    <row r="46" spans="1:11" ht="12.75">
      <c r="A46" s="3"/>
      <c r="B46" s="5"/>
      <c r="C46" s="5"/>
      <c r="D46" s="9"/>
      <c r="E46" s="10"/>
      <c r="F46" s="3"/>
      <c r="G46" s="7"/>
      <c r="H46" s="8"/>
      <c r="I46" s="7"/>
      <c r="J46" s="7"/>
      <c r="K46" s="7"/>
    </row>
    <row r="47" spans="1:11" ht="12.75">
      <c r="A47" s="3"/>
      <c r="B47" s="5"/>
      <c r="C47" s="5"/>
      <c r="D47" s="9"/>
      <c r="E47" s="10"/>
      <c r="F47" s="3"/>
      <c r="G47" s="7"/>
      <c r="H47" s="8"/>
      <c r="I47" s="7"/>
      <c r="J47" s="7"/>
      <c r="K47" s="7"/>
    </row>
    <row r="48" spans="1:11" ht="12.75">
      <c r="A48" s="3"/>
      <c r="B48" s="5"/>
      <c r="C48" s="5"/>
      <c r="D48" s="9"/>
      <c r="E48" s="10"/>
      <c r="F48" s="3"/>
      <c r="G48" s="7"/>
      <c r="H48" s="8"/>
      <c r="I48" s="7"/>
      <c r="J48" s="7"/>
      <c r="K48" s="7"/>
    </row>
    <row r="49" spans="1:11" ht="12.75">
      <c r="A49" s="4" t="s">
        <v>51</v>
      </c>
      <c r="B49" s="3"/>
      <c r="C49" s="5"/>
      <c r="D49" s="103" t="s">
        <v>53</v>
      </c>
      <c r="E49" s="103"/>
      <c r="F49" s="103"/>
      <c r="G49" s="103"/>
      <c r="H49" s="103"/>
      <c r="I49" s="7"/>
      <c r="J49" s="7"/>
      <c r="K49" s="7"/>
    </row>
    <row r="50" spans="1:11" ht="12.75">
      <c r="A50" s="3"/>
      <c r="B50" s="5"/>
      <c r="C50" s="5"/>
      <c r="D50" s="103" t="s">
        <v>139</v>
      </c>
      <c r="E50" s="103"/>
      <c r="F50" s="103"/>
      <c r="G50" s="103"/>
      <c r="H50" s="103"/>
      <c r="I50" s="7"/>
      <c r="J50" s="7"/>
      <c r="K50" s="7"/>
    </row>
    <row r="51" spans="1:11" ht="12.75">
      <c r="A51" s="3"/>
      <c r="B51" s="5"/>
      <c r="C51" s="5"/>
      <c r="D51" s="103" t="s">
        <v>43</v>
      </c>
      <c r="E51" s="104"/>
      <c r="F51" s="104"/>
      <c r="G51" s="104"/>
      <c r="H51" s="104"/>
      <c r="I51" s="7"/>
      <c r="J51" s="7"/>
      <c r="K51" s="7"/>
    </row>
    <row r="52" spans="1:11" ht="12.75">
      <c r="A52" s="3"/>
      <c r="B52" s="5"/>
      <c r="C52" s="5"/>
      <c r="D52" s="9"/>
      <c r="E52" s="10"/>
      <c r="F52" s="3"/>
      <c r="G52" s="7"/>
      <c r="H52" s="8"/>
      <c r="I52" s="7"/>
      <c r="J52" s="7"/>
      <c r="K52" s="7"/>
    </row>
    <row r="53" spans="1:11" ht="12.75">
      <c r="A53" s="4" t="s">
        <v>54</v>
      </c>
      <c r="B53" s="5"/>
      <c r="C53" s="5"/>
      <c r="D53" s="9"/>
      <c r="E53" s="10"/>
      <c r="F53" s="3"/>
      <c r="G53" s="7"/>
      <c r="H53" s="8"/>
      <c r="I53" s="7"/>
      <c r="J53" s="7"/>
      <c r="K53" s="7"/>
    </row>
    <row r="54" spans="1:11" ht="12.75">
      <c r="A54" s="3"/>
      <c r="B54" s="5"/>
      <c r="C54" s="5"/>
      <c r="D54" s="9"/>
      <c r="E54" s="10"/>
      <c r="F54" s="3"/>
      <c r="G54" s="7"/>
      <c r="H54" s="8"/>
      <c r="I54" s="7"/>
      <c r="J54" s="7"/>
      <c r="K54" s="7"/>
    </row>
    <row r="55" spans="1:11" ht="12.75">
      <c r="A55" s="4" t="s">
        <v>0</v>
      </c>
      <c r="B55" s="18" t="s">
        <v>1</v>
      </c>
      <c r="C55" s="18" t="s">
        <v>2</v>
      </c>
      <c r="D55" s="19" t="s">
        <v>3</v>
      </c>
      <c r="E55" s="6" t="s">
        <v>4</v>
      </c>
      <c r="F55" s="4" t="s">
        <v>5</v>
      </c>
      <c r="G55" s="20" t="s">
        <v>3</v>
      </c>
      <c r="H55" s="21" t="s">
        <v>6</v>
      </c>
      <c r="I55" s="20" t="s">
        <v>7</v>
      </c>
      <c r="J55" s="20" t="s">
        <v>8</v>
      </c>
      <c r="K55" s="20" t="s">
        <v>9</v>
      </c>
    </row>
    <row r="56" spans="1:11" ht="12.75">
      <c r="A56" s="4"/>
      <c r="B56" s="18" t="s">
        <v>10</v>
      </c>
      <c r="C56" s="18" t="s">
        <v>11</v>
      </c>
      <c r="D56" s="19" t="s">
        <v>12</v>
      </c>
      <c r="E56" s="6" t="s">
        <v>13</v>
      </c>
      <c r="F56" s="4"/>
      <c r="G56" s="20" t="s">
        <v>14</v>
      </c>
      <c r="H56" s="21" t="s">
        <v>29</v>
      </c>
      <c r="I56" s="20" t="s">
        <v>16</v>
      </c>
      <c r="J56" s="20" t="s">
        <v>16</v>
      </c>
      <c r="K56" s="20" t="s">
        <v>16</v>
      </c>
    </row>
    <row r="57" spans="1:11" ht="12.75">
      <c r="A57" s="4"/>
      <c r="B57" s="18"/>
      <c r="C57" s="18"/>
      <c r="D57" s="19"/>
      <c r="E57" s="6"/>
      <c r="F57" s="4"/>
      <c r="G57" s="20"/>
      <c r="H57" s="21"/>
      <c r="I57" s="20"/>
      <c r="J57" s="20"/>
      <c r="K57" s="20"/>
    </row>
    <row r="58" spans="1:11" ht="12.75">
      <c r="A58" s="3" t="s">
        <v>31</v>
      </c>
      <c r="B58" s="41">
        <f>(0.1507+0.0344)</f>
        <v>0.1851</v>
      </c>
      <c r="C58" s="41">
        <f>(0.1376+0.031436)</f>
        <v>0.169036</v>
      </c>
      <c r="D58" s="9">
        <v>1.5</v>
      </c>
      <c r="E58" s="10">
        <f>B58/D58</f>
        <v>0.1234</v>
      </c>
      <c r="F58" s="3" t="s">
        <v>18</v>
      </c>
      <c r="G58" s="7">
        <v>0</v>
      </c>
      <c r="H58" s="7">
        <v>0</v>
      </c>
      <c r="I58" s="7">
        <f aca="true" t="shared" si="3" ref="I58:I67">E57*G58</f>
        <v>0</v>
      </c>
      <c r="J58" s="7">
        <f aca="true" t="shared" si="4" ref="J58:J67">H58*C57</f>
        <v>0</v>
      </c>
      <c r="K58" s="7">
        <f aca="true" t="shared" si="5" ref="K58:K67">+I58+J58</f>
        <v>0</v>
      </c>
    </row>
    <row r="59" spans="1:11" ht="12.75">
      <c r="A59" s="3" t="s">
        <v>32</v>
      </c>
      <c r="B59" s="5"/>
      <c r="C59" s="5"/>
      <c r="D59" s="9"/>
      <c r="E59" s="10"/>
      <c r="F59" s="3" t="s">
        <v>19</v>
      </c>
      <c r="G59" s="7">
        <v>0</v>
      </c>
      <c r="H59" s="7">
        <v>0</v>
      </c>
      <c r="I59" s="7">
        <f t="shared" si="3"/>
        <v>0</v>
      </c>
      <c r="J59" s="7">
        <f t="shared" si="4"/>
        <v>0</v>
      </c>
      <c r="K59" s="7">
        <f t="shared" si="5"/>
        <v>0</v>
      </c>
    </row>
    <row r="60" spans="1:11" ht="12.75">
      <c r="A60" s="3"/>
      <c r="B60" s="5"/>
      <c r="C60" s="5"/>
      <c r="D60" s="9"/>
      <c r="E60" s="10"/>
      <c r="F60" s="3" t="s">
        <v>20</v>
      </c>
      <c r="G60" s="7">
        <v>0</v>
      </c>
      <c r="H60" s="7">
        <v>0</v>
      </c>
      <c r="I60" s="7">
        <f t="shared" si="3"/>
        <v>0</v>
      </c>
      <c r="J60" s="7">
        <f t="shared" si="4"/>
        <v>0</v>
      </c>
      <c r="K60" s="7">
        <f t="shared" si="5"/>
        <v>0</v>
      </c>
    </row>
    <row r="61" spans="1:11" ht="12.75">
      <c r="A61" s="3"/>
      <c r="B61" s="5"/>
      <c r="C61" s="5"/>
      <c r="D61" s="9"/>
      <c r="E61" s="10"/>
      <c r="F61" s="3" t="s">
        <v>21</v>
      </c>
      <c r="G61" s="7">
        <v>0</v>
      </c>
      <c r="H61" s="7">
        <v>0</v>
      </c>
      <c r="I61" s="7">
        <f t="shared" si="3"/>
        <v>0</v>
      </c>
      <c r="J61" s="7">
        <f t="shared" si="4"/>
        <v>0</v>
      </c>
      <c r="K61" s="7">
        <f t="shared" si="5"/>
        <v>0</v>
      </c>
    </row>
    <row r="62" spans="1:11" ht="12.75">
      <c r="A62" s="3"/>
      <c r="B62" s="5"/>
      <c r="C62" s="5"/>
      <c r="D62" s="9"/>
      <c r="E62" s="10"/>
      <c r="F62" s="3" t="s">
        <v>22</v>
      </c>
      <c r="G62" s="7">
        <v>0</v>
      </c>
      <c r="H62" s="7">
        <v>0</v>
      </c>
      <c r="I62" s="7">
        <f t="shared" si="3"/>
        <v>0</v>
      </c>
      <c r="J62" s="7">
        <f t="shared" si="4"/>
        <v>0</v>
      </c>
      <c r="K62" s="7">
        <f t="shared" si="5"/>
        <v>0</v>
      </c>
    </row>
    <row r="63" spans="1:11" ht="12.75">
      <c r="A63" s="3"/>
      <c r="B63" s="5"/>
      <c r="C63" s="5"/>
      <c r="D63" s="9"/>
      <c r="E63" s="10"/>
      <c r="F63" s="3" t="s">
        <v>23</v>
      </c>
      <c r="G63" s="7">
        <v>0</v>
      </c>
      <c r="H63" s="7">
        <v>0</v>
      </c>
      <c r="I63" s="7">
        <f t="shared" si="3"/>
        <v>0</v>
      </c>
      <c r="J63" s="7">
        <f t="shared" si="4"/>
        <v>0</v>
      </c>
      <c r="K63" s="7">
        <f t="shared" si="5"/>
        <v>0</v>
      </c>
    </row>
    <row r="64" spans="1:11" ht="12.75">
      <c r="A64" s="3"/>
      <c r="B64" s="5"/>
      <c r="C64" s="5"/>
      <c r="D64" s="9"/>
      <c r="E64" s="10"/>
      <c r="F64" s="3" t="s">
        <v>24</v>
      </c>
      <c r="G64" s="7">
        <v>0</v>
      </c>
      <c r="H64" s="7">
        <v>0</v>
      </c>
      <c r="I64" s="7">
        <f t="shared" si="3"/>
        <v>0</v>
      </c>
      <c r="J64" s="7">
        <f t="shared" si="4"/>
        <v>0</v>
      </c>
      <c r="K64" s="7">
        <f t="shared" si="5"/>
        <v>0</v>
      </c>
    </row>
    <row r="65" spans="1:11" ht="12.75">
      <c r="A65" s="3"/>
      <c r="B65" s="5"/>
      <c r="C65" s="5"/>
      <c r="D65" s="9"/>
      <c r="E65" s="10"/>
      <c r="F65" s="3" t="s">
        <v>25</v>
      </c>
      <c r="G65" s="7">
        <v>0</v>
      </c>
      <c r="H65" s="7">
        <v>0</v>
      </c>
      <c r="I65" s="7">
        <f t="shared" si="3"/>
        <v>0</v>
      </c>
      <c r="J65" s="7">
        <f t="shared" si="4"/>
        <v>0</v>
      </c>
      <c r="K65" s="7">
        <f t="shared" si="5"/>
        <v>0</v>
      </c>
    </row>
    <row r="66" spans="1:11" ht="12.75">
      <c r="A66" s="3"/>
      <c r="B66" s="5"/>
      <c r="C66" s="5"/>
      <c r="D66" s="9"/>
      <c r="E66" s="10"/>
      <c r="F66" s="3" t="s">
        <v>26</v>
      </c>
      <c r="G66" s="7">
        <v>0</v>
      </c>
      <c r="H66" s="7">
        <v>0</v>
      </c>
      <c r="I66" s="7">
        <f t="shared" si="3"/>
        <v>0</v>
      </c>
      <c r="J66" s="7">
        <f t="shared" si="4"/>
        <v>0</v>
      </c>
      <c r="K66" s="7">
        <f t="shared" si="5"/>
        <v>0</v>
      </c>
    </row>
    <row r="67" spans="1:11" ht="12.75">
      <c r="A67" s="3"/>
      <c r="B67" s="5"/>
      <c r="C67" s="5"/>
      <c r="D67" s="9"/>
      <c r="E67" s="10"/>
      <c r="F67" s="3" t="s">
        <v>27</v>
      </c>
      <c r="G67" s="7">
        <v>0</v>
      </c>
      <c r="H67" s="7">
        <v>0</v>
      </c>
      <c r="I67" s="7">
        <f t="shared" si="3"/>
        <v>0</v>
      </c>
      <c r="J67" s="7">
        <f t="shared" si="4"/>
        <v>0</v>
      </c>
      <c r="K67" s="7">
        <f t="shared" si="5"/>
        <v>0</v>
      </c>
    </row>
    <row r="68" spans="1:11" ht="12.75">
      <c r="A68" s="4"/>
      <c r="B68" s="18"/>
      <c r="C68" s="18"/>
      <c r="D68" s="19"/>
      <c r="E68" s="6"/>
      <c r="F68" s="4"/>
      <c r="G68" s="20"/>
      <c r="H68" s="21"/>
      <c r="I68" s="20"/>
      <c r="J68" s="20"/>
      <c r="K68" s="20"/>
    </row>
    <row r="69" spans="1:11" ht="12.75">
      <c r="A69" s="3" t="s">
        <v>33</v>
      </c>
      <c r="B69" s="41">
        <f>(0.086+0.0196)</f>
        <v>0.1056</v>
      </c>
      <c r="C69" s="41">
        <f>(0.11494+0.026258)</f>
        <v>0.141198</v>
      </c>
      <c r="D69" s="9">
        <v>1.03</v>
      </c>
      <c r="E69" s="10">
        <f>B69/D69</f>
        <v>0.10252427184466019</v>
      </c>
      <c r="F69" s="3" t="s">
        <v>18</v>
      </c>
      <c r="G69" s="7"/>
      <c r="H69" s="8"/>
      <c r="I69" s="7"/>
      <c r="J69" s="7"/>
      <c r="K69" s="7"/>
    </row>
    <row r="70" spans="1:11" ht="12.75">
      <c r="A70" s="3" t="s">
        <v>34</v>
      </c>
      <c r="B70" s="5"/>
      <c r="C70" s="5"/>
      <c r="D70" s="9"/>
      <c r="E70" s="10"/>
      <c r="F70" s="3" t="s">
        <v>19</v>
      </c>
      <c r="G70" s="7"/>
      <c r="H70" s="8"/>
      <c r="I70" s="7">
        <f>E69*G70</f>
        <v>0</v>
      </c>
      <c r="J70" s="7">
        <f>H70*C69</f>
        <v>0</v>
      </c>
      <c r="K70" s="7">
        <f aca="true" t="shared" si="6" ref="K70:K78">+I70+J70</f>
        <v>0</v>
      </c>
    </row>
    <row r="71" spans="1:11" ht="12.75">
      <c r="A71" s="3"/>
      <c r="B71" s="5"/>
      <c r="C71" s="5"/>
      <c r="D71" s="9"/>
      <c r="E71" s="10"/>
      <c r="F71" s="3" t="s">
        <v>20</v>
      </c>
      <c r="G71" s="7"/>
      <c r="H71" s="8"/>
      <c r="I71" s="7">
        <f>+E69*G71</f>
        <v>0</v>
      </c>
      <c r="J71" s="7">
        <f>H71*C69</f>
        <v>0</v>
      </c>
      <c r="K71" s="7">
        <f t="shared" si="6"/>
        <v>0</v>
      </c>
    </row>
    <row r="72" spans="1:11" ht="12.75">
      <c r="A72" s="3"/>
      <c r="B72" s="5"/>
      <c r="C72" s="5"/>
      <c r="D72" s="9"/>
      <c r="E72" s="10"/>
      <c r="F72" s="3" t="s">
        <v>21</v>
      </c>
      <c r="G72" s="7"/>
      <c r="H72" s="8"/>
      <c r="I72" s="7">
        <f>+G72*E69</f>
        <v>0</v>
      </c>
      <c r="J72" s="7">
        <f>H72*C69</f>
        <v>0</v>
      </c>
      <c r="K72" s="7">
        <f t="shared" si="6"/>
        <v>0</v>
      </c>
    </row>
    <row r="73" spans="1:11" ht="12.75">
      <c r="A73" s="3"/>
      <c r="B73" s="5"/>
      <c r="C73" s="5"/>
      <c r="D73" s="9"/>
      <c r="E73" s="10"/>
      <c r="F73" s="3" t="s">
        <v>22</v>
      </c>
      <c r="G73" s="7"/>
      <c r="H73" s="8"/>
      <c r="I73" s="7">
        <f>E69*G73</f>
        <v>0</v>
      </c>
      <c r="J73" s="7">
        <f>H73*C69</f>
        <v>0</v>
      </c>
      <c r="K73" s="7">
        <f t="shared" si="6"/>
        <v>0</v>
      </c>
    </row>
    <row r="74" spans="1:11" ht="12.75">
      <c r="A74" s="3"/>
      <c r="B74" s="5"/>
      <c r="C74" s="5"/>
      <c r="D74" s="9"/>
      <c r="E74" s="10"/>
      <c r="F74" s="3" t="s">
        <v>23</v>
      </c>
      <c r="G74" s="7">
        <v>3.09</v>
      </c>
      <c r="H74" s="8">
        <v>248.21</v>
      </c>
      <c r="I74" s="7">
        <f>+E69*G74</f>
        <v>0.31679999999999997</v>
      </c>
      <c r="J74" s="7">
        <f>H74*C69</f>
        <v>35.046755579999996</v>
      </c>
      <c r="K74" s="7">
        <f t="shared" si="6"/>
        <v>35.363555579999996</v>
      </c>
    </row>
    <row r="75" spans="1:11" ht="12.75">
      <c r="A75" s="3"/>
      <c r="B75" s="5"/>
      <c r="C75" s="5"/>
      <c r="D75" s="9"/>
      <c r="E75" s="10"/>
      <c r="F75" s="3" t="s">
        <v>24</v>
      </c>
      <c r="G75" s="7">
        <v>4.12</v>
      </c>
      <c r="H75" s="8">
        <v>250.52</v>
      </c>
      <c r="I75" s="7">
        <f>E69*G75</f>
        <v>0.4224</v>
      </c>
      <c r="J75" s="7">
        <f>H75*C69</f>
        <v>35.37292296</v>
      </c>
      <c r="K75" s="7">
        <f t="shared" si="6"/>
        <v>35.79532296</v>
      </c>
    </row>
    <row r="76" spans="1:11" ht="12.75">
      <c r="A76" s="3"/>
      <c r="B76" s="5"/>
      <c r="C76" s="5"/>
      <c r="D76" s="9"/>
      <c r="E76" s="10"/>
      <c r="F76" s="3" t="s">
        <v>25</v>
      </c>
      <c r="G76" s="7">
        <v>4.12</v>
      </c>
      <c r="H76" s="8">
        <v>250.52</v>
      </c>
      <c r="I76" s="7">
        <f>E69*G76</f>
        <v>0.4224</v>
      </c>
      <c r="J76" s="7">
        <f>H76*C69</f>
        <v>35.37292296</v>
      </c>
      <c r="K76" s="7">
        <f t="shared" si="6"/>
        <v>35.79532296</v>
      </c>
    </row>
    <row r="77" spans="1:11" ht="12.75">
      <c r="A77" s="3"/>
      <c r="B77" s="5"/>
      <c r="C77" s="5"/>
      <c r="D77" s="9"/>
      <c r="E77" s="10"/>
      <c r="F77" s="3" t="s">
        <v>26</v>
      </c>
      <c r="G77" s="7">
        <v>7.21</v>
      </c>
      <c r="H77" s="8">
        <v>262.13</v>
      </c>
      <c r="I77" s="7">
        <f>E69*G77</f>
        <v>0.7392</v>
      </c>
      <c r="J77" s="7">
        <f>H77*C69</f>
        <v>37.01223174</v>
      </c>
      <c r="K77" s="7">
        <f t="shared" si="6"/>
        <v>37.751431739999994</v>
      </c>
    </row>
    <row r="78" spans="1:11" ht="12.75">
      <c r="A78" s="3"/>
      <c r="B78" s="5"/>
      <c r="C78" s="5"/>
      <c r="D78" s="9"/>
      <c r="E78" s="10"/>
      <c r="F78" s="3" t="s">
        <v>27</v>
      </c>
      <c r="G78" s="7">
        <v>4.12</v>
      </c>
      <c r="H78" s="8">
        <v>250.52</v>
      </c>
      <c r="I78" s="7">
        <f>E69*G78</f>
        <v>0.4224</v>
      </c>
      <c r="J78" s="7">
        <f>H78*C69</f>
        <v>35.37292296</v>
      </c>
      <c r="K78" s="7">
        <f t="shared" si="6"/>
        <v>35.79532296</v>
      </c>
    </row>
    <row r="79" spans="1:11" ht="12.75">
      <c r="A79" s="3"/>
      <c r="B79" s="5"/>
      <c r="C79" s="5"/>
      <c r="D79" s="9"/>
      <c r="E79" s="10"/>
      <c r="F79" s="3"/>
      <c r="G79" s="7"/>
      <c r="H79" s="8"/>
      <c r="I79" s="7"/>
      <c r="J79" s="7"/>
      <c r="K79" s="7"/>
    </row>
    <row r="80" spans="1:11" ht="12.75">
      <c r="A80" s="3"/>
      <c r="B80" s="5"/>
      <c r="C80" s="5"/>
      <c r="D80" s="9"/>
      <c r="E80" s="10"/>
      <c r="F80" s="3"/>
      <c r="G80" s="7"/>
      <c r="H80" s="8"/>
      <c r="I80" s="7"/>
      <c r="J80" s="7"/>
      <c r="K80" s="7"/>
    </row>
    <row r="81" spans="1:11" ht="12.75">
      <c r="A81" s="3"/>
      <c r="B81" s="5"/>
      <c r="C81" s="5"/>
      <c r="D81" s="9"/>
      <c r="E81" s="10"/>
      <c r="F81" s="3"/>
      <c r="G81" s="7"/>
      <c r="H81" s="8"/>
      <c r="I81" s="7"/>
      <c r="J81" s="7"/>
      <c r="K81" s="7"/>
    </row>
    <row r="82" spans="1:11" ht="12.75">
      <c r="A82" s="3"/>
      <c r="B82" s="5"/>
      <c r="C82" s="5"/>
      <c r="D82" s="9"/>
      <c r="E82" s="10"/>
      <c r="F82" s="3"/>
      <c r="G82" s="7"/>
      <c r="H82" s="8"/>
      <c r="I82" s="20" t="s">
        <v>35</v>
      </c>
      <c r="J82" s="20"/>
      <c r="K82" s="20">
        <f>SUM(K10:K80)</f>
        <v>218336.96347046256</v>
      </c>
    </row>
    <row r="83" spans="1:11" ht="12.75">
      <c r="A83" s="3"/>
      <c r="B83" s="5"/>
      <c r="C83" s="5"/>
      <c r="D83" s="9"/>
      <c r="E83" s="10"/>
      <c r="F83" s="3"/>
      <c r="G83" s="7"/>
      <c r="H83" s="8"/>
      <c r="I83" s="7"/>
      <c r="J83" s="7"/>
      <c r="K83" s="7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</sheetData>
  <sheetProtection/>
  <mergeCells count="6">
    <mergeCell ref="D1:H1"/>
    <mergeCell ref="D2:H2"/>
    <mergeCell ref="D3:H3"/>
    <mergeCell ref="D49:H49"/>
    <mergeCell ref="D50:H50"/>
    <mergeCell ref="D51:H51"/>
  </mergeCells>
  <printOptions/>
  <pageMargins left="0.75" right="0.34" top="0.38" bottom="0.3" header="0.28" footer="0.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2" max="2" width="13.00390625" style="0" customWidth="1"/>
    <col min="3" max="3" width="13.8515625" style="0" customWidth="1"/>
    <col min="4" max="4" width="13.57421875" style="0" customWidth="1"/>
    <col min="5" max="5" width="17.00390625" style="0" customWidth="1"/>
    <col min="6" max="6" width="12.140625" style="0" customWidth="1"/>
    <col min="7" max="7" width="12.421875" style="0" customWidth="1"/>
    <col min="8" max="8" width="12.7109375" style="0" customWidth="1"/>
  </cols>
  <sheetData>
    <row r="1" spans="2:8" s="108" customFormat="1" ht="12.75">
      <c r="B1" s="109"/>
      <c r="C1" s="106"/>
      <c r="D1" s="107" t="s">
        <v>53</v>
      </c>
      <c r="E1" s="107"/>
      <c r="F1" s="110"/>
      <c r="G1" s="110"/>
      <c r="H1" s="109"/>
    </row>
    <row r="2" spans="2:8" ht="12.75">
      <c r="B2" s="1"/>
      <c r="C2" s="2"/>
      <c r="D2" s="103" t="s">
        <v>139</v>
      </c>
      <c r="E2" s="103"/>
      <c r="F2" s="105"/>
      <c r="G2" s="105"/>
      <c r="H2" s="1"/>
    </row>
    <row r="3" spans="2:8" ht="12.75">
      <c r="B3" s="1"/>
      <c r="C3" s="1"/>
      <c r="D3" s="103" t="s">
        <v>43</v>
      </c>
      <c r="E3" s="103"/>
      <c r="F3" s="105"/>
      <c r="G3" s="105"/>
      <c r="H3" s="1"/>
    </row>
    <row r="4" spans="2:8" ht="12.75">
      <c r="B4" s="1"/>
      <c r="C4" s="1"/>
      <c r="D4" s="1"/>
      <c r="E4" s="1"/>
      <c r="F4" s="1"/>
      <c r="G4" s="1"/>
      <c r="H4" s="1"/>
    </row>
    <row r="5" spans="1:10" ht="12.75">
      <c r="A5" s="11" t="s">
        <v>5</v>
      </c>
      <c r="B5" s="53" t="s">
        <v>44</v>
      </c>
      <c r="C5" s="53" t="s">
        <v>45</v>
      </c>
      <c r="D5" s="53" t="s">
        <v>46</v>
      </c>
      <c r="E5" s="53" t="s">
        <v>47</v>
      </c>
      <c r="F5" s="53" t="s">
        <v>48</v>
      </c>
      <c r="G5" s="53" t="s">
        <v>9</v>
      </c>
      <c r="H5" s="54" t="s">
        <v>49</v>
      </c>
      <c r="I5" s="3"/>
      <c r="J5" s="3"/>
    </row>
    <row r="6" spans="1:10" ht="12.75">
      <c r="A6" s="3"/>
      <c r="B6" s="49"/>
      <c r="C6" s="49"/>
      <c r="D6" s="49"/>
      <c r="E6" s="49"/>
      <c r="F6" s="49"/>
      <c r="G6" s="49"/>
      <c r="H6" s="49"/>
      <c r="I6" s="3"/>
      <c r="J6" s="3"/>
    </row>
    <row r="7" spans="1:10" ht="12.75">
      <c r="A7" s="3" t="s">
        <v>40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9">
        <f aca="true" t="shared" si="0" ref="G7:G18">SUM(B7:F7)</f>
        <v>0</v>
      </c>
      <c r="H7" s="49">
        <f>G7</f>
        <v>0</v>
      </c>
      <c r="I7" s="3"/>
      <c r="J7" s="3"/>
    </row>
    <row r="8" spans="1:10" ht="12.75">
      <c r="A8" s="3" t="s">
        <v>39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9">
        <f t="shared" si="0"/>
        <v>0</v>
      </c>
      <c r="H8" s="49">
        <f>H7+G8</f>
        <v>0</v>
      </c>
      <c r="I8" s="3"/>
      <c r="J8" s="3"/>
    </row>
    <row r="9" spans="1:10" ht="12.75">
      <c r="A9" s="3" t="s">
        <v>18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9">
        <f t="shared" si="0"/>
        <v>0</v>
      </c>
      <c r="H9" s="49">
        <f>H8+G9</f>
        <v>0</v>
      </c>
      <c r="I9" s="3"/>
      <c r="J9" s="3"/>
    </row>
    <row r="10" spans="1:10" ht="12.75">
      <c r="A10" s="3" t="s">
        <v>19</v>
      </c>
      <c r="B10" s="43">
        <f>'2002 Monthly Recovery '!K11</f>
        <v>8924.12778862914</v>
      </c>
      <c r="C10" s="49">
        <f>'2002 Monthly Recovery '!K22</f>
        <v>191.55744935235157</v>
      </c>
      <c r="D10" s="49">
        <f>'2002 Monthly Recovery '!K33</f>
        <v>0</v>
      </c>
      <c r="E10" s="49">
        <f>'2002 Monthly Recovery '!K59</f>
        <v>0</v>
      </c>
      <c r="F10" s="49">
        <f>'2002 Monthly Recovery '!K70</f>
        <v>0</v>
      </c>
      <c r="G10" s="49">
        <f t="shared" si="0"/>
        <v>9115.68523798149</v>
      </c>
      <c r="H10" s="49">
        <f aca="true" t="shared" si="1" ref="H10:H18">H9+G10</f>
        <v>9115.68523798149</v>
      </c>
      <c r="I10" s="3"/>
      <c r="J10" s="3"/>
    </row>
    <row r="11" spans="1:10" ht="12.75">
      <c r="A11" s="3" t="s">
        <v>20</v>
      </c>
      <c r="B11" s="43">
        <f>'2002 Monthly Recovery '!K12</f>
        <v>13186.46617007285</v>
      </c>
      <c r="C11" s="49">
        <f>'2002 Monthly Recovery '!K23</f>
        <v>3496.411468294526</v>
      </c>
      <c r="D11" s="49">
        <f>'2002 Monthly Recovery '!K34</f>
        <v>8217.2388266</v>
      </c>
      <c r="E11" s="49">
        <f>'2002 Monthly Recovery '!K59</f>
        <v>0</v>
      </c>
      <c r="F11" s="49">
        <f>'2002 Monthly Recovery '!K71</f>
        <v>0</v>
      </c>
      <c r="G11" s="49">
        <f t="shared" si="0"/>
        <v>24900.116464967374</v>
      </c>
      <c r="H11" s="49">
        <f t="shared" si="1"/>
        <v>34015.80170294886</v>
      </c>
      <c r="I11" s="3"/>
      <c r="J11" s="3"/>
    </row>
    <row r="12" spans="1:10" ht="12.75">
      <c r="A12" s="3" t="s">
        <v>21</v>
      </c>
      <c r="B12" s="43">
        <f>'2002 Monthly Recovery '!K13</f>
        <v>9906.61036565232</v>
      </c>
      <c r="C12" s="49">
        <f>'2002 Monthly Recovery '!K24</f>
        <v>1501.8049728203546</v>
      </c>
      <c r="D12" s="49">
        <f>'2002 Monthly Recovery '!K35</f>
        <v>5728.097568599999</v>
      </c>
      <c r="E12" s="49">
        <f>'2002 Monthly Recovery '!K60</f>
        <v>0</v>
      </c>
      <c r="F12" s="49">
        <f>'2002 Monthly Recovery '!K72</f>
        <v>0</v>
      </c>
      <c r="G12" s="49">
        <f t="shared" si="0"/>
        <v>17136.512907072673</v>
      </c>
      <c r="H12" s="49">
        <f t="shared" si="1"/>
        <v>51152.31461002154</v>
      </c>
      <c r="I12" s="3"/>
      <c r="J12" s="3"/>
    </row>
    <row r="13" spans="1:10" ht="12.75">
      <c r="A13" s="3" t="s">
        <v>22</v>
      </c>
      <c r="B13" s="43">
        <f>'2002 Monthly Recovery '!K14</f>
        <v>15066.24999657947</v>
      </c>
      <c r="C13" s="49">
        <f>'2002 Monthly Recovery '!K25</f>
        <v>3412.843656698535</v>
      </c>
      <c r="D13" s="49">
        <f>'2002 Monthly Recovery '!K36</f>
        <v>9400.289703165412</v>
      </c>
      <c r="E13" s="49">
        <f>'2002 Monthly Recovery '!K61</f>
        <v>0</v>
      </c>
      <c r="F13" s="49">
        <f>'2002 Monthly Recovery '!K73</f>
        <v>0</v>
      </c>
      <c r="G13" s="49">
        <f t="shared" si="0"/>
        <v>27879.383356443417</v>
      </c>
      <c r="H13" s="49">
        <f t="shared" si="1"/>
        <v>79031.69796646496</v>
      </c>
      <c r="I13" s="3"/>
      <c r="J13" s="3"/>
    </row>
    <row r="14" spans="1:10" ht="12.75">
      <c r="A14" s="3" t="s">
        <v>23</v>
      </c>
      <c r="B14" s="43">
        <f>'2002 Monthly Recovery '!K15</f>
        <v>6869.630219158941</v>
      </c>
      <c r="C14" s="49">
        <f>'2002 Monthly Recovery '!K26</f>
        <v>2067.65309783963</v>
      </c>
      <c r="D14" s="49">
        <f>'2002 Monthly Recovery '!K37</f>
        <v>6728.88427793899</v>
      </c>
      <c r="E14" s="49">
        <f>'2002 Monthly Recovery '!K62</f>
        <v>0</v>
      </c>
      <c r="F14" s="49">
        <f>'2002 Monthly Recovery '!K74</f>
        <v>35.363555579999996</v>
      </c>
      <c r="G14" s="49">
        <f t="shared" si="0"/>
        <v>15701.53115051756</v>
      </c>
      <c r="H14" s="49">
        <f t="shared" si="1"/>
        <v>94733.22911698252</v>
      </c>
      <c r="I14" s="3"/>
      <c r="J14" s="3"/>
    </row>
    <row r="15" spans="1:10" ht="12.75">
      <c r="A15" s="3" t="s">
        <v>24</v>
      </c>
      <c r="B15" s="43">
        <f>'2002 Monthly Recovery '!K16</f>
        <v>19356.285782556293</v>
      </c>
      <c r="C15" s="49">
        <f>'2002 Monthly Recovery '!K27</f>
        <v>3862.878823922899</v>
      </c>
      <c r="D15" s="49">
        <f>'2002 Monthly Recovery '!K38</f>
        <v>25627.278637717292</v>
      </c>
      <c r="E15" s="49">
        <f>'2002 Monthly Recovery '!K63</f>
        <v>0</v>
      </c>
      <c r="F15" s="49">
        <f>'2002 Monthly Recovery '!K75</f>
        <v>35.79532296</v>
      </c>
      <c r="G15" s="49">
        <f t="shared" si="0"/>
        <v>48882.23856715649</v>
      </c>
      <c r="H15" s="49">
        <f t="shared" si="1"/>
        <v>143615.467684139</v>
      </c>
      <c r="I15" s="3"/>
      <c r="J15" s="3"/>
    </row>
    <row r="16" spans="1:10" ht="12.75">
      <c r="A16" s="3" t="s">
        <v>25</v>
      </c>
      <c r="B16" s="43">
        <f>'2002 Monthly Recovery '!K17</f>
        <v>11664.54102718212</v>
      </c>
      <c r="C16" s="49">
        <f>'2002 Monthly Recovery '!K28</f>
        <v>2705.916655025443</v>
      </c>
      <c r="D16" s="49">
        <f>'2002 Monthly Recovery '!K39</f>
        <v>7878.0695605694955</v>
      </c>
      <c r="E16" s="49">
        <f>'2002 Monthly Recovery '!K64</f>
        <v>0</v>
      </c>
      <c r="F16" s="49">
        <f>'2002 Monthly Recovery '!K76</f>
        <v>35.79532296</v>
      </c>
      <c r="G16" s="49">
        <f t="shared" si="0"/>
        <v>22284.322565737057</v>
      </c>
      <c r="H16" s="49">
        <f t="shared" si="1"/>
        <v>165899.79024987607</v>
      </c>
      <c r="I16" s="3"/>
      <c r="J16" s="3"/>
    </row>
    <row r="17" spans="1:10" ht="12.75">
      <c r="A17" s="3" t="s">
        <v>26</v>
      </c>
      <c r="B17" s="43">
        <f>'2002 Monthly Recovery '!K18</f>
        <v>14291.564775000003</v>
      </c>
      <c r="C17" s="49">
        <f>'2002 Monthly Recovery '!K29</f>
        <v>3780.378258456438</v>
      </c>
      <c r="D17" s="49">
        <f>'2002 Monthly Recovery '!K40</f>
        <v>10731.111439759998</v>
      </c>
      <c r="E17" s="49">
        <f>'2002 Monthly Recovery '!K65</f>
        <v>0</v>
      </c>
      <c r="F17" s="49">
        <f>'2002 Monthly Recovery '!K77</f>
        <v>37.751431739999994</v>
      </c>
      <c r="G17" s="49">
        <f t="shared" si="0"/>
        <v>28840.805904956433</v>
      </c>
      <c r="H17" s="49">
        <f t="shared" si="1"/>
        <v>194740.5961548325</v>
      </c>
      <c r="I17" s="3"/>
      <c r="J17" s="3"/>
    </row>
    <row r="18" spans="1:10" ht="12.75">
      <c r="A18" s="3" t="s">
        <v>27</v>
      </c>
      <c r="B18" s="43">
        <f>'2002 Monthly Recovery '!K19</f>
        <v>13442.726822437087</v>
      </c>
      <c r="C18" s="49">
        <f>'2002 Monthly Recovery '!K30</f>
        <v>2721.754406020046</v>
      </c>
      <c r="D18" s="49">
        <f>'2002 Monthly Recovery '!K41</f>
        <v>7396.09076421289</v>
      </c>
      <c r="E18" s="49">
        <f>'2002 Monthly Recovery '!K66</f>
        <v>0</v>
      </c>
      <c r="F18" s="49">
        <f>'2002 Monthly Recovery '!K78</f>
        <v>35.79532296</v>
      </c>
      <c r="G18" s="57">
        <f t="shared" si="0"/>
        <v>23596.367315630025</v>
      </c>
      <c r="H18" s="49">
        <f t="shared" si="1"/>
        <v>218336.96347046254</v>
      </c>
      <c r="I18" s="3"/>
      <c r="J18" s="3"/>
    </row>
    <row r="19" spans="1:10" ht="12.75">
      <c r="A19" s="3"/>
      <c r="B19" s="49"/>
      <c r="C19" s="49"/>
      <c r="D19" s="49"/>
      <c r="E19" s="49"/>
      <c r="F19" s="49"/>
      <c r="G19" s="49"/>
      <c r="H19" s="49"/>
      <c r="I19" s="3"/>
      <c r="J19" s="3"/>
    </row>
    <row r="20" spans="1:10" ht="12.75">
      <c r="A20" s="3" t="s">
        <v>50</v>
      </c>
      <c r="B20" s="49">
        <f aca="true" t="shared" si="2" ref="B20:G20">SUM(B7:B18)</f>
        <v>112708.20294726823</v>
      </c>
      <c r="C20" s="49">
        <f t="shared" si="2"/>
        <v>23741.19878843022</v>
      </c>
      <c r="D20" s="49">
        <f t="shared" si="2"/>
        <v>81707.06077856408</v>
      </c>
      <c r="E20" s="49">
        <f t="shared" si="2"/>
        <v>0</v>
      </c>
      <c r="F20" s="49">
        <f t="shared" si="2"/>
        <v>180.50095619999996</v>
      </c>
      <c r="G20" s="49">
        <f t="shared" si="2"/>
        <v>218336.96347046254</v>
      </c>
      <c r="H20" s="49"/>
      <c r="I20" s="3"/>
      <c r="J20" s="3"/>
    </row>
    <row r="21" spans="1:10" ht="12.75">
      <c r="A21" s="3"/>
      <c r="B21" s="49"/>
      <c r="C21" s="49"/>
      <c r="D21" s="49"/>
      <c r="E21" s="49"/>
      <c r="F21" s="49"/>
      <c r="G21" s="49"/>
      <c r="H21" s="49"/>
      <c r="I21" s="3"/>
      <c r="J21" s="3"/>
    </row>
    <row r="22" spans="1:10" ht="12.75">
      <c r="A22" s="3"/>
      <c r="B22" s="49"/>
      <c r="C22" s="49"/>
      <c r="D22" s="49"/>
      <c r="E22" s="49"/>
      <c r="F22" s="49"/>
      <c r="G22" s="54"/>
      <c r="H22" s="49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sheetProtection/>
  <mergeCells count="3">
    <mergeCell ref="D1:G1"/>
    <mergeCell ref="D2:G2"/>
    <mergeCell ref="D3:G3"/>
  </mergeCells>
  <printOptions/>
  <pageMargins left="0.75" right="0.75" top="0.34" bottom="0.91" header="0.18" footer="0.58"/>
  <pageSetup fitToHeight="0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workbookViewId="0" topLeftCell="A49">
      <selection activeCell="A56" sqref="A56"/>
    </sheetView>
  </sheetViews>
  <sheetFormatPr defaultColWidth="12.140625" defaultRowHeight="12.75"/>
  <cols>
    <col min="1" max="1" width="12.140625" style="3" customWidth="1"/>
    <col min="2" max="2" width="13.28125" style="3" customWidth="1"/>
    <col min="3" max="3" width="10.57421875" style="3" customWidth="1"/>
    <col min="4" max="4" width="10.28125" style="3" customWidth="1"/>
    <col min="5" max="5" width="11.28125" style="3" customWidth="1"/>
    <col min="6" max="6" width="9.140625" style="3" customWidth="1"/>
    <col min="7" max="16384" width="12.140625" style="3" customWidth="1"/>
  </cols>
  <sheetData>
    <row r="1" spans="1:11" ht="11.25">
      <c r="A1" s="4" t="s">
        <v>52</v>
      </c>
      <c r="C1" s="5"/>
      <c r="D1" s="103" t="s">
        <v>53</v>
      </c>
      <c r="E1" s="103"/>
      <c r="F1" s="103"/>
      <c r="G1" s="103"/>
      <c r="H1" s="103"/>
      <c r="I1" s="7"/>
      <c r="J1" s="7"/>
      <c r="K1" s="7"/>
    </row>
    <row r="2" spans="2:11" ht="11.25">
      <c r="B2" s="5"/>
      <c r="C2" s="5"/>
      <c r="D2" s="103" t="s">
        <v>138</v>
      </c>
      <c r="E2" s="103"/>
      <c r="F2" s="103"/>
      <c r="G2" s="103"/>
      <c r="H2" s="103"/>
      <c r="I2" s="7"/>
      <c r="J2" s="7"/>
      <c r="K2" s="7"/>
    </row>
    <row r="3" spans="2:11" ht="11.25">
      <c r="B3" s="5"/>
      <c r="C3" s="5"/>
      <c r="D3" s="103" t="s">
        <v>43</v>
      </c>
      <c r="E3" s="104"/>
      <c r="F3" s="104"/>
      <c r="G3" s="104"/>
      <c r="H3" s="104"/>
      <c r="I3" s="7"/>
      <c r="J3" s="7"/>
      <c r="K3" s="7"/>
    </row>
    <row r="4" spans="2:11" ht="11.25">
      <c r="B4" s="5"/>
      <c r="C4" s="5"/>
      <c r="D4" s="9"/>
      <c r="E4" s="10"/>
      <c r="G4" s="7"/>
      <c r="H4" s="22"/>
      <c r="I4" s="7"/>
      <c r="J4" s="7"/>
      <c r="K4" s="7"/>
    </row>
    <row r="5" spans="1:11" ht="11.25">
      <c r="A5" s="4" t="s">
        <v>54</v>
      </c>
      <c r="B5" s="5"/>
      <c r="C5" s="5"/>
      <c r="D5" s="9"/>
      <c r="E5" s="10"/>
      <c r="G5" s="7"/>
      <c r="H5" s="22"/>
      <c r="I5" s="7"/>
      <c r="J5" s="7"/>
      <c r="K5" s="7"/>
    </row>
    <row r="6" spans="2:11" ht="11.25">
      <c r="B6" s="5"/>
      <c r="C6" s="5"/>
      <c r="D6" s="9"/>
      <c r="E6" s="10"/>
      <c r="G6" s="7"/>
      <c r="H6" s="22"/>
      <c r="I6" s="7"/>
      <c r="J6" s="7"/>
      <c r="K6" s="7"/>
    </row>
    <row r="7" spans="1:11" ht="11.25">
      <c r="A7" s="4" t="s">
        <v>0</v>
      </c>
      <c r="B7" s="18" t="s">
        <v>1</v>
      </c>
      <c r="C7" s="18" t="s">
        <v>2</v>
      </c>
      <c r="D7" s="19" t="s">
        <v>3</v>
      </c>
      <c r="E7" s="6" t="s">
        <v>4</v>
      </c>
      <c r="F7" s="4" t="s">
        <v>5</v>
      </c>
      <c r="G7" s="20" t="s">
        <v>3</v>
      </c>
      <c r="H7" s="23" t="s">
        <v>6</v>
      </c>
      <c r="I7" s="20" t="s">
        <v>7</v>
      </c>
      <c r="J7" s="20" t="s">
        <v>8</v>
      </c>
      <c r="K7" s="20" t="s">
        <v>9</v>
      </c>
    </row>
    <row r="8" spans="1:11" ht="11.25">
      <c r="A8" s="4"/>
      <c r="B8" s="18" t="s">
        <v>10</v>
      </c>
      <c r="C8" s="18" t="s">
        <v>11</v>
      </c>
      <c r="D8" s="19" t="s">
        <v>12</v>
      </c>
      <c r="E8" s="6" t="s">
        <v>13</v>
      </c>
      <c r="F8" s="4"/>
      <c r="G8" s="20" t="s">
        <v>14</v>
      </c>
      <c r="H8" s="23" t="s">
        <v>15</v>
      </c>
      <c r="I8" s="20" t="s">
        <v>16</v>
      </c>
      <c r="J8" s="20" t="s">
        <v>16</v>
      </c>
      <c r="K8" s="20" t="s">
        <v>16</v>
      </c>
    </row>
    <row r="9" spans="2:11" ht="11.25">
      <c r="B9" s="5"/>
      <c r="C9" s="5"/>
      <c r="D9" s="9"/>
      <c r="E9" s="10"/>
      <c r="G9" s="7"/>
      <c r="H9" s="22"/>
      <c r="I9" s="7"/>
      <c r="J9" s="7"/>
      <c r="K9" s="7"/>
    </row>
    <row r="10" spans="1:11" ht="11.25">
      <c r="A10" s="11" t="s">
        <v>17</v>
      </c>
      <c r="B10" s="41">
        <f>'2002 Monthly Recovery '!B10</f>
        <v>1.4063</v>
      </c>
      <c r="C10" s="41">
        <f>'2002 Monthly Recovery '!C10</f>
        <v>0.0017980000000000001</v>
      </c>
      <c r="D10" s="9">
        <v>12.08</v>
      </c>
      <c r="E10" s="10">
        <f>B10/D10</f>
        <v>0.1164155629139073</v>
      </c>
      <c r="F10" s="3" t="s">
        <v>38</v>
      </c>
      <c r="G10" s="7">
        <v>68560.28</v>
      </c>
      <c r="H10" s="22">
        <v>4313573.4</v>
      </c>
      <c r="I10" s="7">
        <f>E10*G10</f>
        <v>7981.4835897351</v>
      </c>
      <c r="J10" s="7">
        <f>H10*C10</f>
        <v>7755.804973200001</v>
      </c>
      <c r="K10" s="7">
        <f aca="true" t="shared" si="0" ref="K10:K21">+I10+J10</f>
        <v>15737.2885629351</v>
      </c>
    </row>
    <row r="11" spans="2:11" ht="11.25">
      <c r="B11" s="5"/>
      <c r="C11" s="5"/>
      <c r="D11" s="24"/>
      <c r="E11" s="25"/>
      <c r="F11" s="3" t="s">
        <v>39</v>
      </c>
      <c r="G11" s="7">
        <v>87647</v>
      </c>
      <c r="H11" s="22">
        <v>6233214</v>
      </c>
      <c r="I11" s="7">
        <f>$E$10*G11</f>
        <v>10203.474842715234</v>
      </c>
      <c r="J11" s="7">
        <f>H11*C10</f>
        <v>11207.318772</v>
      </c>
      <c r="K11" s="7">
        <f t="shared" si="0"/>
        <v>21410.793614715236</v>
      </c>
    </row>
    <row r="12" spans="1:11" ht="11.25">
      <c r="A12" s="26"/>
      <c r="B12" s="27"/>
      <c r="C12" s="27"/>
      <c r="D12" s="28"/>
      <c r="E12" s="25"/>
      <c r="F12" s="26" t="s">
        <v>18</v>
      </c>
      <c r="G12" s="29">
        <v>74694</v>
      </c>
      <c r="H12" s="30">
        <v>5758148.13</v>
      </c>
      <c r="I12" s="7">
        <f aca="true" t="shared" si="1" ref="I12:I21">$E$10*G12</f>
        <v>8695.544056291392</v>
      </c>
      <c r="J12" s="7">
        <f>H12*C10</f>
        <v>10353.15033774</v>
      </c>
      <c r="K12" s="7">
        <f t="shared" si="0"/>
        <v>19048.694394031394</v>
      </c>
    </row>
    <row r="13" spans="1:11" ht="11.25">
      <c r="A13" s="26"/>
      <c r="B13" s="27"/>
      <c r="C13" s="27"/>
      <c r="D13" s="28"/>
      <c r="E13" s="31"/>
      <c r="F13" s="26" t="s">
        <v>19</v>
      </c>
      <c r="G13" s="29">
        <v>66911</v>
      </c>
      <c r="H13" s="30">
        <v>4603191.89</v>
      </c>
      <c r="I13" s="7">
        <f t="shared" si="1"/>
        <v>7789.481730132451</v>
      </c>
      <c r="J13" s="7">
        <f>H13*C10</f>
        <v>8276.53901822</v>
      </c>
      <c r="K13" s="7">
        <f t="shared" si="0"/>
        <v>16066.020748352452</v>
      </c>
    </row>
    <row r="14" spans="1:11" ht="11.25">
      <c r="A14" s="26"/>
      <c r="B14" s="27"/>
      <c r="C14" s="27"/>
      <c r="D14" s="24"/>
      <c r="E14" s="25"/>
      <c r="F14" s="26" t="s">
        <v>20</v>
      </c>
      <c r="G14" s="29">
        <v>72677</v>
      </c>
      <c r="H14" s="30">
        <v>4442670</v>
      </c>
      <c r="I14" s="7">
        <f t="shared" si="1"/>
        <v>8460.73386589404</v>
      </c>
      <c r="J14" s="7">
        <f>H14*C10</f>
        <v>7987.920660000001</v>
      </c>
      <c r="K14" s="7">
        <f t="shared" si="0"/>
        <v>16448.654525894042</v>
      </c>
    </row>
    <row r="15" spans="1:11" ht="11.25">
      <c r="A15" s="26"/>
      <c r="B15" s="27"/>
      <c r="C15" s="27"/>
      <c r="D15" s="32"/>
      <c r="E15" s="25"/>
      <c r="F15" s="26" t="s">
        <v>21</v>
      </c>
      <c r="G15" s="29">
        <v>63418</v>
      </c>
      <c r="H15" s="30">
        <v>3227045.54</v>
      </c>
      <c r="I15" s="7">
        <f t="shared" si="1"/>
        <v>7382.842168874173</v>
      </c>
      <c r="J15" s="7">
        <f>H15*C10</f>
        <v>5802.227880920001</v>
      </c>
      <c r="K15" s="7">
        <f t="shared" si="0"/>
        <v>13185.070049794173</v>
      </c>
    </row>
    <row r="16" spans="1:11" ht="11.25">
      <c r="A16" s="26"/>
      <c r="B16" s="27"/>
      <c r="C16" s="27"/>
      <c r="D16" s="32"/>
      <c r="E16" s="25"/>
      <c r="F16" s="26" t="s">
        <v>22</v>
      </c>
      <c r="G16" s="29">
        <v>68823</v>
      </c>
      <c r="H16" s="30">
        <v>3555411</v>
      </c>
      <c r="I16" s="7">
        <f t="shared" si="1"/>
        <v>8012.0682864238415</v>
      </c>
      <c r="J16" s="7">
        <f>H16*C10</f>
        <v>6392.628978000001</v>
      </c>
      <c r="K16" s="7">
        <f t="shared" si="0"/>
        <v>14404.697264423841</v>
      </c>
    </row>
    <row r="17" spans="1:11" ht="11.25">
      <c r="A17" s="26"/>
      <c r="B17" s="27"/>
      <c r="C17" s="27"/>
      <c r="D17" s="32"/>
      <c r="E17" s="25"/>
      <c r="F17" s="26" t="s">
        <v>23</v>
      </c>
      <c r="G17" s="29">
        <v>51642.74</v>
      </c>
      <c r="H17" s="30">
        <v>2931334</v>
      </c>
      <c r="I17" s="7">
        <f t="shared" si="1"/>
        <v>6012.0186475165565</v>
      </c>
      <c r="J17" s="7">
        <f>H17*C10</f>
        <v>5270.5385320000005</v>
      </c>
      <c r="K17" s="7">
        <f t="shared" si="0"/>
        <v>11282.557179516556</v>
      </c>
    </row>
    <row r="18" spans="1:11" ht="11.25">
      <c r="A18" s="26"/>
      <c r="B18" s="27"/>
      <c r="C18" s="27"/>
      <c r="D18" s="32"/>
      <c r="E18" s="25"/>
      <c r="F18" s="26" t="s">
        <v>24</v>
      </c>
      <c r="G18" s="29">
        <v>73535</v>
      </c>
      <c r="H18" s="30">
        <v>4279668.17</v>
      </c>
      <c r="I18" s="7">
        <f t="shared" si="1"/>
        <v>8560.618418874174</v>
      </c>
      <c r="J18" s="7">
        <f>H18*C10</f>
        <v>7694.8433696600005</v>
      </c>
      <c r="K18" s="7">
        <f t="shared" si="0"/>
        <v>16255.461788534174</v>
      </c>
    </row>
    <row r="19" spans="1:11" ht="11.25">
      <c r="A19" s="26"/>
      <c r="B19" s="27"/>
      <c r="C19" s="27"/>
      <c r="D19" s="24"/>
      <c r="E19" s="25"/>
      <c r="F19" s="26" t="s">
        <v>25</v>
      </c>
      <c r="G19" s="29">
        <v>51069.25</v>
      </c>
      <c r="H19" s="30">
        <v>2395419</v>
      </c>
      <c r="I19" s="7">
        <f t="shared" si="1"/>
        <v>5945.2554863410605</v>
      </c>
      <c r="J19" s="7">
        <f>H19*C10</f>
        <v>4306.963362</v>
      </c>
      <c r="K19" s="7">
        <f t="shared" si="0"/>
        <v>10252.218848341061</v>
      </c>
    </row>
    <row r="20" spans="1:11" ht="11.25">
      <c r="A20" s="26"/>
      <c r="B20" s="27"/>
      <c r="C20" s="27"/>
      <c r="D20" s="24"/>
      <c r="E20" s="25"/>
      <c r="F20" s="26" t="s">
        <v>26</v>
      </c>
      <c r="G20" s="29">
        <v>62253.35</v>
      </c>
      <c r="H20" s="30">
        <v>3529645</v>
      </c>
      <c r="I20" s="7">
        <f t="shared" si="1"/>
        <v>7247.25878352649</v>
      </c>
      <c r="J20" s="7">
        <f>H20*C10</f>
        <v>6346.301710000001</v>
      </c>
      <c r="K20" s="7">
        <f t="shared" si="0"/>
        <v>13593.560493526491</v>
      </c>
    </row>
    <row r="21" spans="1:11" ht="11.25">
      <c r="A21" s="26"/>
      <c r="B21" s="27"/>
      <c r="C21" s="27"/>
      <c r="D21" s="24"/>
      <c r="E21" s="25"/>
      <c r="F21" s="26" t="s">
        <v>27</v>
      </c>
      <c r="G21" s="29">
        <v>62413.88</v>
      </c>
      <c r="H21" s="30">
        <v>3852370</v>
      </c>
      <c r="I21" s="7">
        <f t="shared" si="1"/>
        <v>7265.94697384106</v>
      </c>
      <c r="J21" s="7">
        <f>H21*C10</f>
        <v>6926.56126</v>
      </c>
      <c r="K21" s="7">
        <f t="shared" si="0"/>
        <v>14192.508233841061</v>
      </c>
    </row>
    <row r="22" spans="1:11" ht="11.25">
      <c r="A22" s="26"/>
      <c r="B22" s="27"/>
      <c r="C22" s="27"/>
      <c r="D22" s="24"/>
      <c r="E22" s="25"/>
      <c r="F22" s="26"/>
      <c r="G22" s="29"/>
      <c r="H22" s="30"/>
      <c r="I22" s="29"/>
      <c r="J22" s="7"/>
      <c r="K22" s="7"/>
    </row>
    <row r="23" spans="1:11" ht="11.25">
      <c r="A23" s="33" t="s">
        <v>28</v>
      </c>
      <c r="B23" s="42">
        <f>'2002 Monthly Recovery '!B21</f>
        <v>1.3187</v>
      </c>
      <c r="C23" s="42">
        <f>'2002 Monthly Recovery '!C21</f>
        <v>0.00099</v>
      </c>
      <c r="D23" s="24">
        <v>12.97</v>
      </c>
      <c r="E23" s="25">
        <f>B23/D23</f>
        <v>0.10167309175019275</v>
      </c>
      <c r="F23" s="26" t="s">
        <v>40</v>
      </c>
      <c r="G23" s="29">
        <v>8968.48</v>
      </c>
      <c r="H23" s="30">
        <v>2114745.53</v>
      </c>
      <c r="I23" s="29">
        <f>$E$23*G23</f>
        <v>911.8530898997686</v>
      </c>
      <c r="J23" s="7">
        <f>H23*C23</f>
        <v>2093.5980747</v>
      </c>
      <c r="K23" s="7">
        <f aca="true" t="shared" si="2" ref="K23:K34">+I23+J23</f>
        <v>3005.4511645997686</v>
      </c>
    </row>
    <row r="24" spans="1:11" ht="11.25">
      <c r="A24" s="26"/>
      <c r="B24" s="27"/>
      <c r="C24" s="27"/>
      <c r="D24" s="24"/>
      <c r="E24" s="25"/>
      <c r="F24" s="26" t="s">
        <v>39</v>
      </c>
      <c r="G24" s="29">
        <v>11372</v>
      </c>
      <c r="H24" s="30">
        <v>2864618</v>
      </c>
      <c r="I24" s="29">
        <f aca="true" t="shared" si="3" ref="I24:I34">$E$23*G24</f>
        <v>1156.2263993831918</v>
      </c>
      <c r="J24" s="7">
        <f>H24*C23</f>
        <v>2835.97182</v>
      </c>
      <c r="K24" s="7">
        <f t="shared" si="2"/>
        <v>3992.198219383192</v>
      </c>
    </row>
    <row r="25" spans="1:11" ht="11.25">
      <c r="A25" s="26"/>
      <c r="B25" s="27"/>
      <c r="C25" s="27"/>
      <c r="D25" s="28"/>
      <c r="E25" s="25"/>
      <c r="F25" s="26" t="s">
        <v>18</v>
      </c>
      <c r="G25" s="29">
        <v>10152</v>
      </c>
      <c r="H25" s="30">
        <v>2773250.6</v>
      </c>
      <c r="I25" s="29">
        <f t="shared" si="3"/>
        <v>1032.1852274479568</v>
      </c>
      <c r="J25" s="7">
        <f>H25*C23</f>
        <v>2745.518094</v>
      </c>
      <c r="K25" s="7">
        <f t="shared" si="2"/>
        <v>3777.703321447957</v>
      </c>
    </row>
    <row r="26" spans="1:11" ht="11.25">
      <c r="A26" s="26"/>
      <c r="B26" s="27"/>
      <c r="C26" s="27"/>
      <c r="D26" s="28"/>
      <c r="E26" s="31"/>
      <c r="F26" s="26" t="s">
        <v>19</v>
      </c>
      <c r="G26" s="29">
        <v>9289</v>
      </c>
      <c r="H26" s="30">
        <v>2394759.6</v>
      </c>
      <c r="I26" s="29">
        <f t="shared" si="3"/>
        <v>944.4413492675404</v>
      </c>
      <c r="J26" s="7">
        <f>H26*C23</f>
        <v>2370.812004</v>
      </c>
      <c r="K26" s="7">
        <f t="shared" si="2"/>
        <v>3315.25335326754</v>
      </c>
    </row>
    <row r="27" spans="1:11" ht="11.25">
      <c r="A27" s="26"/>
      <c r="B27" s="27"/>
      <c r="C27" s="27"/>
      <c r="D27" s="24"/>
      <c r="E27" s="25"/>
      <c r="F27" s="26" t="s">
        <v>20</v>
      </c>
      <c r="G27" s="29">
        <v>10374</v>
      </c>
      <c r="H27" s="30">
        <v>2468259.6</v>
      </c>
      <c r="I27" s="29">
        <f t="shared" si="3"/>
        <v>1054.7566538164995</v>
      </c>
      <c r="J27" s="7">
        <f>H27*C23</f>
        <v>2443.577004</v>
      </c>
      <c r="K27" s="7">
        <f t="shared" si="2"/>
        <v>3498.3336578165</v>
      </c>
    </row>
    <row r="28" spans="1:11" ht="11.25">
      <c r="A28" s="26"/>
      <c r="B28" s="27"/>
      <c r="C28" s="27"/>
      <c r="D28" s="24"/>
      <c r="E28" s="25"/>
      <c r="F28" s="26" t="s">
        <v>21</v>
      </c>
      <c r="G28" s="29">
        <v>7213</v>
      </c>
      <c r="H28" s="30">
        <v>1636636.6</v>
      </c>
      <c r="I28" s="29">
        <f t="shared" si="3"/>
        <v>733.3680107941403</v>
      </c>
      <c r="J28" s="7">
        <f>H28*C23</f>
        <v>1620.270234</v>
      </c>
      <c r="K28" s="7">
        <f t="shared" si="2"/>
        <v>2353.6382447941405</v>
      </c>
    </row>
    <row r="29" spans="1:11" ht="11.25">
      <c r="A29" s="26"/>
      <c r="B29" s="27"/>
      <c r="C29" s="27"/>
      <c r="D29" s="32"/>
      <c r="E29" s="25"/>
      <c r="F29" s="26" t="s">
        <v>22</v>
      </c>
      <c r="G29" s="29">
        <v>10637</v>
      </c>
      <c r="H29" s="30">
        <v>2663308.6</v>
      </c>
      <c r="I29" s="29">
        <f t="shared" si="3"/>
        <v>1081.4966769468003</v>
      </c>
      <c r="J29" s="7">
        <f>H29*C23</f>
        <v>2636.675514</v>
      </c>
      <c r="K29" s="7">
        <f t="shared" si="2"/>
        <v>3718.1721909468006</v>
      </c>
    </row>
    <row r="30" spans="1:11" ht="11.25">
      <c r="A30" s="26"/>
      <c r="B30" s="27"/>
      <c r="C30" s="27"/>
      <c r="D30" s="32"/>
      <c r="E30" s="25"/>
      <c r="F30" s="26" t="s">
        <v>23</v>
      </c>
      <c r="G30" s="29">
        <v>7566.98</v>
      </c>
      <c r="H30" s="30">
        <v>2021742.6</v>
      </c>
      <c r="I30" s="29">
        <f t="shared" si="3"/>
        <v>769.3582518118735</v>
      </c>
      <c r="J30" s="7">
        <f>H30*C23</f>
        <v>2001.525174</v>
      </c>
      <c r="K30" s="7">
        <f t="shared" si="2"/>
        <v>2770.8834258118736</v>
      </c>
    </row>
    <row r="31" spans="1:11" ht="11.25">
      <c r="A31" s="26"/>
      <c r="B31" s="27"/>
      <c r="C31" s="27"/>
      <c r="D31" s="24"/>
      <c r="E31" s="25"/>
      <c r="F31" s="26" t="s">
        <v>24</v>
      </c>
      <c r="G31" s="29">
        <v>9788</v>
      </c>
      <c r="H31" s="30">
        <v>2541865.6</v>
      </c>
      <c r="I31" s="29">
        <f t="shared" si="3"/>
        <v>995.1762220508866</v>
      </c>
      <c r="J31" s="7">
        <f>H31*C23</f>
        <v>2516.4469440000003</v>
      </c>
      <c r="K31" s="7">
        <f t="shared" si="2"/>
        <v>3511.623166050887</v>
      </c>
    </row>
    <row r="32" spans="1:11" ht="11.25">
      <c r="A32" s="26"/>
      <c r="B32" s="27"/>
      <c r="C32" s="27"/>
      <c r="D32" s="24"/>
      <c r="E32" s="25"/>
      <c r="F32" s="26" t="s">
        <v>25</v>
      </c>
      <c r="G32" s="29">
        <v>7654.6</v>
      </c>
      <c r="H32" s="30">
        <v>1817573.6</v>
      </c>
      <c r="I32" s="29">
        <f t="shared" si="3"/>
        <v>778.2668481110254</v>
      </c>
      <c r="J32" s="7">
        <f>H32*C23</f>
        <v>1799.397864</v>
      </c>
      <c r="K32" s="7">
        <f t="shared" si="2"/>
        <v>2577.6647121110254</v>
      </c>
    </row>
    <row r="33" spans="1:11" ht="11.25">
      <c r="A33" s="26"/>
      <c r="B33" s="27"/>
      <c r="C33" s="27"/>
      <c r="D33" s="24"/>
      <c r="E33" s="25"/>
      <c r="F33" s="26" t="s">
        <v>26</v>
      </c>
      <c r="G33" s="29">
        <v>8610.24</v>
      </c>
      <c r="H33" s="30">
        <v>1971276.6</v>
      </c>
      <c r="I33" s="29">
        <f t="shared" si="3"/>
        <v>875.4297215111795</v>
      </c>
      <c r="J33" s="7">
        <f>H33*C23</f>
        <v>1951.563834</v>
      </c>
      <c r="K33" s="7">
        <f t="shared" si="2"/>
        <v>2826.9935555111797</v>
      </c>
    </row>
    <row r="34" spans="1:11" ht="11.25">
      <c r="A34" s="26"/>
      <c r="B34" s="27"/>
      <c r="C34" s="27"/>
      <c r="D34" s="24"/>
      <c r="E34" s="25"/>
      <c r="F34" s="26" t="s">
        <v>27</v>
      </c>
      <c r="G34" s="29">
        <v>8797.74</v>
      </c>
      <c r="H34" s="30">
        <v>2099409.6</v>
      </c>
      <c r="I34" s="29">
        <f t="shared" si="3"/>
        <v>894.4934262143407</v>
      </c>
      <c r="J34" s="7">
        <f>H34*C23</f>
        <v>2078.415504</v>
      </c>
      <c r="K34" s="7">
        <f t="shared" si="2"/>
        <v>2972.9089302143407</v>
      </c>
    </row>
    <row r="35" spans="1:11" ht="11.25">
      <c r="A35" s="26"/>
      <c r="B35" s="27"/>
      <c r="C35" s="27"/>
      <c r="D35" s="24"/>
      <c r="E35" s="25"/>
      <c r="F35" s="26"/>
      <c r="G35" s="29"/>
      <c r="H35" s="30"/>
      <c r="I35" s="29"/>
      <c r="J35" s="7"/>
      <c r="K35" s="7"/>
    </row>
    <row r="36" spans="1:11" ht="11.25">
      <c r="A36" s="33" t="s">
        <v>30</v>
      </c>
      <c r="B36" s="42">
        <f>'2002 Monthly Recovery '!B32</f>
        <v>2.1628</v>
      </c>
      <c r="C36" s="42">
        <f>'2002 Monthly Recovery '!C32</f>
        <v>0.274346</v>
      </c>
      <c r="D36" s="24">
        <v>15.67</v>
      </c>
      <c r="E36" s="25">
        <f>B36/D36</f>
        <v>0.13802169751116783</v>
      </c>
      <c r="F36" s="26" t="s">
        <v>40</v>
      </c>
      <c r="G36" s="29">
        <v>1622.35</v>
      </c>
      <c r="H36" s="30">
        <v>30259.07</v>
      </c>
      <c r="I36" s="29">
        <f>$E$36*G36</f>
        <v>223.91950095724312</v>
      </c>
      <c r="J36" s="7">
        <f>H36*C36</f>
        <v>8301.45481822</v>
      </c>
      <c r="K36" s="7">
        <f aca="true" t="shared" si="4" ref="K36:K47">+I36+J36</f>
        <v>8525.374319177243</v>
      </c>
    </row>
    <row r="37" spans="1:11" ht="11.25">
      <c r="A37" s="26"/>
      <c r="B37" s="27"/>
      <c r="C37" s="27"/>
      <c r="D37" s="24"/>
      <c r="E37" s="25"/>
      <c r="F37" s="26" t="s">
        <v>39</v>
      </c>
      <c r="G37" s="29">
        <v>1693</v>
      </c>
      <c r="H37" s="30">
        <v>31109</v>
      </c>
      <c r="I37" s="29">
        <f aca="true" t="shared" si="5" ref="I37:I47">$E$36*G37</f>
        <v>233.67073388640713</v>
      </c>
      <c r="J37" s="7">
        <f>H37*C36</f>
        <v>8534.629713999999</v>
      </c>
      <c r="K37" s="7">
        <f t="shared" si="4"/>
        <v>8768.300447886406</v>
      </c>
    </row>
    <row r="38" spans="1:11" ht="11.25">
      <c r="A38" s="26"/>
      <c r="B38" s="27"/>
      <c r="C38" s="27"/>
      <c r="D38" s="28"/>
      <c r="E38" s="25"/>
      <c r="F38" s="26" t="s">
        <v>18</v>
      </c>
      <c r="G38" s="29">
        <v>1668</v>
      </c>
      <c r="H38" s="30">
        <v>31051</v>
      </c>
      <c r="I38" s="29">
        <f t="shared" si="5"/>
        <v>230.22019144862793</v>
      </c>
      <c r="J38" s="7">
        <f>H38*C36</f>
        <v>8518.717646</v>
      </c>
      <c r="K38" s="7">
        <f t="shared" si="4"/>
        <v>8748.937837448628</v>
      </c>
    </row>
    <row r="39" spans="1:11" ht="11.25">
      <c r="A39" s="26"/>
      <c r="B39" s="27"/>
      <c r="C39" s="27"/>
      <c r="D39" s="28"/>
      <c r="E39" s="31"/>
      <c r="F39" s="26" t="s">
        <v>19</v>
      </c>
      <c r="G39" s="29">
        <v>1756</v>
      </c>
      <c r="H39" s="30">
        <v>37033</v>
      </c>
      <c r="I39" s="29">
        <f t="shared" si="5"/>
        <v>242.3661008296107</v>
      </c>
      <c r="J39" s="7">
        <f>H39*C36</f>
        <v>10159.855418</v>
      </c>
      <c r="K39" s="7">
        <f t="shared" si="4"/>
        <v>10402.22151882961</v>
      </c>
    </row>
    <row r="40" spans="1:11" ht="11.25">
      <c r="A40" s="26"/>
      <c r="B40" s="27"/>
      <c r="C40" s="40"/>
      <c r="D40" s="32"/>
      <c r="E40" s="25"/>
      <c r="F40" s="26" t="s">
        <v>20</v>
      </c>
      <c r="G40" s="29">
        <v>2149</v>
      </c>
      <c r="H40" s="30">
        <v>30349</v>
      </c>
      <c r="I40" s="29">
        <f t="shared" si="5"/>
        <v>296.60862795149967</v>
      </c>
      <c r="J40" s="7">
        <f>H40*C36</f>
        <v>8326.126753999999</v>
      </c>
      <c r="K40" s="7">
        <f t="shared" si="4"/>
        <v>8622.7353819515</v>
      </c>
    </row>
    <row r="41" spans="1:11" ht="11.25">
      <c r="A41" s="26"/>
      <c r="B41" s="27"/>
      <c r="C41" s="40"/>
      <c r="D41" s="32"/>
      <c r="E41" s="25"/>
      <c r="F41" s="26" t="s">
        <v>21</v>
      </c>
      <c r="G41" s="29">
        <v>1465</v>
      </c>
      <c r="H41" s="30">
        <v>27198</v>
      </c>
      <c r="I41" s="29">
        <f t="shared" si="5"/>
        <v>202.20178685386088</v>
      </c>
      <c r="J41" s="7">
        <f>H41*C36</f>
        <v>7461.662507999999</v>
      </c>
      <c r="K41" s="7">
        <f t="shared" si="4"/>
        <v>7663.86429485386</v>
      </c>
    </row>
    <row r="42" spans="1:11" ht="11.25">
      <c r="A42" s="26"/>
      <c r="B42" s="27"/>
      <c r="C42" s="40"/>
      <c r="D42" s="32"/>
      <c r="E42" s="25"/>
      <c r="F42" s="26" t="s">
        <v>22</v>
      </c>
      <c r="G42" s="29">
        <v>1763</v>
      </c>
      <c r="H42" s="30">
        <v>30939</v>
      </c>
      <c r="I42" s="29">
        <f t="shared" si="5"/>
        <v>243.33225271218888</v>
      </c>
      <c r="J42" s="7">
        <f>H42*C36</f>
        <v>8487.990893999999</v>
      </c>
      <c r="K42" s="7">
        <f t="shared" si="4"/>
        <v>8731.323146712188</v>
      </c>
    </row>
    <row r="43" spans="1:11" ht="11.25">
      <c r="A43" s="26"/>
      <c r="B43" s="27"/>
      <c r="C43" s="40"/>
      <c r="D43" s="32"/>
      <c r="E43" s="25"/>
      <c r="F43" s="26" t="s">
        <v>23</v>
      </c>
      <c r="G43" s="29">
        <v>1470.89</v>
      </c>
      <c r="H43" s="30">
        <v>25609.42</v>
      </c>
      <c r="I43" s="29">
        <f t="shared" si="5"/>
        <v>203.01473465220167</v>
      </c>
      <c r="J43" s="7">
        <f>H43*C36</f>
        <v>7025.841939319999</v>
      </c>
      <c r="K43" s="7">
        <f t="shared" si="4"/>
        <v>7228.856673972201</v>
      </c>
    </row>
    <row r="44" spans="1:11" ht="11.25">
      <c r="A44" s="26"/>
      <c r="B44" s="27"/>
      <c r="C44" s="40"/>
      <c r="D44" s="32"/>
      <c r="E44" s="25"/>
      <c r="F44" s="26" t="s">
        <v>24</v>
      </c>
      <c r="G44" s="29">
        <v>1658</v>
      </c>
      <c r="H44" s="30">
        <v>30257</v>
      </c>
      <c r="I44" s="29">
        <f t="shared" si="5"/>
        <v>228.83997447351626</v>
      </c>
      <c r="J44" s="7">
        <f>H44*C36</f>
        <v>8300.886922</v>
      </c>
      <c r="K44" s="7">
        <f t="shared" si="4"/>
        <v>8529.726896473516</v>
      </c>
    </row>
    <row r="45" spans="1:11" ht="11.25">
      <c r="A45" s="26"/>
      <c r="B45" s="27"/>
      <c r="C45" s="27"/>
      <c r="D45" s="24"/>
      <c r="E45" s="25"/>
      <c r="F45" s="26" t="s">
        <v>25</v>
      </c>
      <c r="G45" s="29">
        <v>1440.24</v>
      </c>
      <c r="H45" s="30">
        <v>31285.89</v>
      </c>
      <c r="I45" s="29">
        <f t="shared" si="5"/>
        <v>198.78436962348437</v>
      </c>
      <c r="J45" s="7">
        <f>H45*C36</f>
        <v>8583.15877794</v>
      </c>
      <c r="K45" s="7">
        <f t="shared" si="4"/>
        <v>8781.943147563485</v>
      </c>
    </row>
    <row r="46" spans="1:11" ht="11.25">
      <c r="A46" s="26"/>
      <c r="B46" s="27"/>
      <c r="C46" s="27"/>
      <c r="D46" s="24"/>
      <c r="E46" s="25"/>
      <c r="F46" s="26" t="s">
        <v>26</v>
      </c>
      <c r="G46" s="29">
        <v>1479.56</v>
      </c>
      <c r="H46" s="30">
        <v>27418.99</v>
      </c>
      <c r="I46" s="29">
        <f t="shared" si="5"/>
        <v>204.21138276962347</v>
      </c>
      <c r="J46" s="7">
        <f>H46*C36</f>
        <v>7522.29023054</v>
      </c>
      <c r="K46" s="7">
        <f t="shared" si="4"/>
        <v>7726.501613309623</v>
      </c>
    </row>
    <row r="47" spans="1:11" ht="11.25">
      <c r="A47" s="26"/>
      <c r="B47" s="27"/>
      <c r="C47" s="27"/>
      <c r="D47" s="24"/>
      <c r="E47" s="25"/>
      <c r="F47" s="26" t="s">
        <v>27</v>
      </c>
      <c r="G47" s="29">
        <v>1713.69</v>
      </c>
      <c r="H47" s="30">
        <v>32157.54</v>
      </c>
      <c r="I47" s="29">
        <f t="shared" si="5"/>
        <v>236.5264028079132</v>
      </c>
      <c r="J47" s="7">
        <f>H47*C36</f>
        <v>8822.29246884</v>
      </c>
      <c r="K47" s="7">
        <f t="shared" si="4"/>
        <v>9058.818871647913</v>
      </c>
    </row>
    <row r="48" spans="1:11" ht="11.25">
      <c r="A48" s="26"/>
      <c r="B48" s="27"/>
      <c r="C48" s="27"/>
      <c r="D48" s="24"/>
      <c r="E48" s="25"/>
      <c r="F48" s="26"/>
      <c r="G48" s="29"/>
      <c r="H48" s="30"/>
      <c r="I48" s="29"/>
      <c r="J48" s="7"/>
      <c r="K48" s="7"/>
    </row>
    <row r="49" spans="1:11" ht="11.25">
      <c r="A49" s="26"/>
      <c r="B49" s="27"/>
      <c r="C49" s="27"/>
      <c r="D49" s="24"/>
      <c r="E49" s="25"/>
      <c r="F49" s="26"/>
      <c r="G49" s="29"/>
      <c r="H49" s="30"/>
      <c r="I49" s="29"/>
      <c r="J49" s="7"/>
      <c r="K49" s="7"/>
    </row>
    <row r="50" spans="1:11" ht="11.25">
      <c r="A50" s="26"/>
      <c r="B50" s="27"/>
      <c r="C50" s="27"/>
      <c r="D50" s="24"/>
      <c r="E50" s="25"/>
      <c r="F50" s="26"/>
      <c r="G50" s="29"/>
      <c r="H50" s="30"/>
      <c r="I50" s="29"/>
      <c r="J50" s="7"/>
      <c r="K50" s="7"/>
    </row>
    <row r="51" spans="1:11" ht="11.25">
      <c r="A51" s="26"/>
      <c r="B51" s="27"/>
      <c r="C51" s="27"/>
      <c r="D51" s="24"/>
      <c r="E51" s="25"/>
      <c r="F51" s="26"/>
      <c r="G51" s="29"/>
      <c r="H51" s="30"/>
      <c r="I51" s="29"/>
      <c r="J51" s="7"/>
      <c r="K51" s="7"/>
    </row>
    <row r="52" spans="1:11" ht="11.25">
      <c r="A52" s="34" t="s">
        <v>51</v>
      </c>
      <c r="B52" s="26"/>
      <c r="C52" s="27"/>
      <c r="D52" s="103" t="s">
        <v>53</v>
      </c>
      <c r="E52" s="103"/>
      <c r="F52" s="103"/>
      <c r="G52" s="103"/>
      <c r="H52" s="103"/>
      <c r="I52" s="29"/>
      <c r="J52" s="7"/>
      <c r="K52" s="7"/>
    </row>
    <row r="53" spans="1:11" ht="11.25">
      <c r="A53" s="26"/>
      <c r="B53" s="27"/>
      <c r="C53" s="27"/>
      <c r="D53" s="103" t="s">
        <v>138</v>
      </c>
      <c r="E53" s="103"/>
      <c r="F53" s="103"/>
      <c r="G53" s="103"/>
      <c r="H53" s="103"/>
      <c r="I53" s="29"/>
      <c r="J53" s="7"/>
      <c r="K53" s="7"/>
    </row>
    <row r="54" spans="1:11" ht="11.25">
      <c r="A54" s="26"/>
      <c r="B54" s="27"/>
      <c r="C54" s="27"/>
      <c r="D54" s="103" t="s">
        <v>43</v>
      </c>
      <c r="E54" s="104"/>
      <c r="F54" s="104"/>
      <c r="G54" s="104"/>
      <c r="H54" s="104"/>
      <c r="I54" s="29"/>
      <c r="J54" s="7"/>
      <c r="K54" s="7"/>
    </row>
    <row r="55" spans="1:11" ht="11.25">
      <c r="A55" s="26"/>
      <c r="B55" s="27"/>
      <c r="C55" s="27"/>
      <c r="D55" s="24"/>
      <c r="E55" s="25"/>
      <c r="F55" s="26"/>
      <c r="G55" s="29"/>
      <c r="H55" s="30"/>
      <c r="I55" s="29"/>
      <c r="J55" s="7"/>
      <c r="K55" s="7"/>
    </row>
    <row r="56" spans="1:11" ht="11.25">
      <c r="A56" s="111" t="s">
        <v>54</v>
      </c>
      <c r="B56" s="27"/>
      <c r="C56" s="27"/>
      <c r="D56" s="24"/>
      <c r="E56" s="25"/>
      <c r="F56" s="26"/>
      <c r="G56" s="29"/>
      <c r="H56" s="30"/>
      <c r="I56" s="29"/>
      <c r="J56" s="7"/>
      <c r="K56" s="7"/>
    </row>
    <row r="57" spans="1:11" ht="11.25">
      <c r="A57" s="26"/>
      <c r="B57" s="27"/>
      <c r="C57" s="27"/>
      <c r="D57" s="24"/>
      <c r="E57" s="25"/>
      <c r="F57" s="26"/>
      <c r="G57" s="29"/>
      <c r="H57" s="30"/>
      <c r="I57" s="29"/>
      <c r="J57" s="7"/>
      <c r="K57" s="7"/>
    </row>
    <row r="58" spans="1:11" ht="11.25">
      <c r="A58" s="34" t="s">
        <v>0</v>
      </c>
      <c r="B58" s="36" t="s">
        <v>1</v>
      </c>
      <c r="C58" s="36" t="s">
        <v>2</v>
      </c>
      <c r="D58" s="37" t="s">
        <v>3</v>
      </c>
      <c r="E58" s="35" t="s">
        <v>4</v>
      </c>
      <c r="F58" s="34" t="s">
        <v>5</v>
      </c>
      <c r="G58" s="38" t="s">
        <v>3</v>
      </c>
      <c r="H58" s="39" t="s">
        <v>6</v>
      </c>
      <c r="I58" s="38" t="s">
        <v>7</v>
      </c>
      <c r="J58" s="20" t="s">
        <v>8</v>
      </c>
      <c r="K58" s="20" t="s">
        <v>9</v>
      </c>
    </row>
    <row r="59" spans="1:11" ht="11.25">
      <c r="A59" s="34"/>
      <c r="B59" s="36" t="s">
        <v>10</v>
      </c>
      <c r="C59" s="36" t="s">
        <v>11</v>
      </c>
      <c r="D59" s="37" t="s">
        <v>12</v>
      </c>
      <c r="E59" s="35" t="s">
        <v>13</v>
      </c>
      <c r="F59" s="34"/>
      <c r="G59" s="38" t="s">
        <v>14</v>
      </c>
      <c r="H59" s="39" t="s">
        <v>29</v>
      </c>
      <c r="I59" s="38" t="s">
        <v>16</v>
      </c>
      <c r="J59" s="20" t="s">
        <v>16</v>
      </c>
      <c r="K59" s="20" t="s">
        <v>16</v>
      </c>
    </row>
    <row r="60" spans="1:11" ht="11.25">
      <c r="A60" s="26"/>
      <c r="B60" s="27"/>
      <c r="C60" s="27"/>
      <c r="D60" s="24"/>
      <c r="E60" s="25"/>
      <c r="F60" s="26"/>
      <c r="G60" s="29"/>
      <c r="H60" s="30"/>
      <c r="I60" s="29"/>
      <c r="J60" s="7"/>
      <c r="K60" s="7"/>
    </row>
    <row r="61" spans="1:11" ht="11.25">
      <c r="A61" s="33" t="s">
        <v>31</v>
      </c>
      <c r="B61" s="42">
        <f>'2002 Monthly Recovery '!B58</f>
        <v>0.1851</v>
      </c>
      <c r="C61" s="42">
        <f>'2002 Monthly Recovery '!C58</f>
        <v>0.169036</v>
      </c>
      <c r="D61" s="24">
        <v>1.5</v>
      </c>
      <c r="E61" s="25">
        <f>B61/D61</f>
        <v>0.1234</v>
      </c>
      <c r="F61" s="26" t="s">
        <v>40</v>
      </c>
      <c r="G61" s="29">
        <v>0</v>
      </c>
      <c r="H61" s="29">
        <v>0</v>
      </c>
      <c r="I61" s="29">
        <f>+$E$61*G61</f>
        <v>0</v>
      </c>
      <c r="J61" s="7">
        <f>C61*H61</f>
        <v>0</v>
      </c>
      <c r="K61" s="7">
        <f>+I61+J61</f>
        <v>0</v>
      </c>
    </row>
    <row r="62" spans="1:11" ht="11.25">
      <c r="A62" s="33" t="s">
        <v>32</v>
      </c>
      <c r="B62" s="27"/>
      <c r="C62" s="27"/>
      <c r="D62" s="24"/>
      <c r="E62" s="25"/>
      <c r="F62" s="26" t="s">
        <v>39</v>
      </c>
      <c r="G62" s="29">
        <v>0</v>
      </c>
      <c r="H62" s="29">
        <v>0</v>
      </c>
      <c r="I62" s="29">
        <f aca="true" t="shared" si="6" ref="I62:I72">+$E$61*G62</f>
        <v>0</v>
      </c>
      <c r="J62" s="7">
        <f>C61*H62</f>
        <v>0</v>
      </c>
      <c r="K62" s="7">
        <f aca="true" t="shared" si="7" ref="K62:K71">+I62+J62</f>
        <v>0</v>
      </c>
    </row>
    <row r="63" spans="1:11" ht="11.25">
      <c r="A63" s="26"/>
      <c r="B63" s="27"/>
      <c r="C63" s="27"/>
      <c r="D63" s="28"/>
      <c r="E63" s="25"/>
      <c r="F63" s="26" t="s">
        <v>18</v>
      </c>
      <c r="G63" s="29">
        <v>0</v>
      </c>
      <c r="H63" s="29">
        <v>0</v>
      </c>
      <c r="I63" s="29">
        <f t="shared" si="6"/>
        <v>0</v>
      </c>
      <c r="J63" s="7">
        <f>C61*H63</f>
        <v>0</v>
      </c>
      <c r="K63" s="7">
        <f t="shared" si="7"/>
        <v>0</v>
      </c>
    </row>
    <row r="64" spans="1:11" ht="11.25">
      <c r="A64" s="26"/>
      <c r="B64" s="27"/>
      <c r="C64" s="27"/>
      <c r="D64" s="28"/>
      <c r="E64" s="31"/>
      <c r="F64" s="26" t="s">
        <v>19</v>
      </c>
      <c r="G64" s="29">
        <v>0</v>
      </c>
      <c r="H64" s="29">
        <v>0</v>
      </c>
      <c r="I64" s="29">
        <f t="shared" si="6"/>
        <v>0</v>
      </c>
      <c r="J64" s="7">
        <f>C61*H64</f>
        <v>0</v>
      </c>
      <c r="K64" s="7">
        <f>+I64+J64</f>
        <v>0</v>
      </c>
    </row>
    <row r="65" spans="1:11" ht="11.25">
      <c r="A65" s="26"/>
      <c r="B65" s="27"/>
      <c r="C65" s="40"/>
      <c r="D65" s="32"/>
      <c r="E65" s="25"/>
      <c r="F65" s="26" t="s">
        <v>20</v>
      </c>
      <c r="G65" s="29">
        <v>0</v>
      </c>
      <c r="H65" s="29">
        <v>0</v>
      </c>
      <c r="I65" s="29">
        <f t="shared" si="6"/>
        <v>0</v>
      </c>
      <c r="J65" s="7">
        <f>$C$61*H65</f>
        <v>0</v>
      </c>
      <c r="K65" s="7">
        <f t="shared" si="7"/>
        <v>0</v>
      </c>
    </row>
    <row r="66" spans="1:11" ht="11.25">
      <c r="A66" s="26"/>
      <c r="B66" s="27"/>
      <c r="C66" s="40"/>
      <c r="D66" s="32"/>
      <c r="E66" s="25"/>
      <c r="F66" s="26" t="s">
        <v>21</v>
      </c>
      <c r="G66" s="29">
        <v>0</v>
      </c>
      <c r="H66" s="29">
        <v>0</v>
      </c>
      <c r="I66" s="29">
        <f t="shared" si="6"/>
        <v>0</v>
      </c>
      <c r="J66" s="7">
        <f aca="true" t="shared" si="8" ref="J66:J71">$C$61*H66</f>
        <v>0</v>
      </c>
      <c r="K66" s="7">
        <f t="shared" si="7"/>
        <v>0</v>
      </c>
    </row>
    <row r="67" spans="1:11" ht="11.25">
      <c r="A67" s="26"/>
      <c r="B67" s="27"/>
      <c r="C67" s="40"/>
      <c r="D67" s="32"/>
      <c r="E67" s="25"/>
      <c r="F67" s="26" t="s">
        <v>22</v>
      </c>
      <c r="G67" s="29">
        <v>0</v>
      </c>
      <c r="H67" s="29">
        <v>0</v>
      </c>
      <c r="I67" s="29">
        <f t="shared" si="6"/>
        <v>0</v>
      </c>
      <c r="J67" s="7">
        <f t="shared" si="8"/>
        <v>0</v>
      </c>
      <c r="K67" s="7">
        <f t="shared" si="7"/>
        <v>0</v>
      </c>
    </row>
    <row r="68" spans="1:11" ht="11.25">
      <c r="A68" s="26"/>
      <c r="B68" s="27"/>
      <c r="C68" s="40"/>
      <c r="D68" s="32"/>
      <c r="E68" s="25"/>
      <c r="F68" s="26" t="s">
        <v>23</v>
      </c>
      <c r="G68" s="29">
        <v>0</v>
      </c>
      <c r="H68" s="29">
        <v>0</v>
      </c>
      <c r="I68" s="29">
        <f t="shared" si="6"/>
        <v>0</v>
      </c>
      <c r="J68" s="7">
        <f t="shared" si="8"/>
        <v>0</v>
      </c>
      <c r="K68" s="7">
        <f t="shared" si="7"/>
        <v>0</v>
      </c>
    </row>
    <row r="69" spans="1:11" ht="11.25">
      <c r="A69" s="26"/>
      <c r="B69" s="27"/>
      <c r="C69" s="40"/>
      <c r="D69" s="32"/>
      <c r="E69" s="25"/>
      <c r="F69" s="26" t="s">
        <v>24</v>
      </c>
      <c r="G69" s="29">
        <v>0</v>
      </c>
      <c r="H69" s="29">
        <v>0</v>
      </c>
      <c r="I69" s="29">
        <f t="shared" si="6"/>
        <v>0</v>
      </c>
      <c r="J69" s="7">
        <f t="shared" si="8"/>
        <v>0</v>
      </c>
      <c r="K69" s="7">
        <f t="shared" si="7"/>
        <v>0</v>
      </c>
    </row>
    <row r="70" spans="1:11" ht="11.25">
      <c r="A70" s="26"/>
      <c r="B70" s="27"/>
      <c r="C70" s="40"/>
      <c r="D70" s="32"/>
      <c r="E70" s="25"/>
      <c r="F70" s="26" t="s">
        <v>25</v>
      </c>
      <c r="G70" s="29">
        <v>0</v>
      </c>
      <c r="H70" s="29">
        <v>0</v>
      </c>
      <c r="I70" s="29">
        <f t="shared" si="6"/>
        <v>0</v>
      </c>
      <c r="J70" s="7">
        <f t="shared" si="8"/>
        <v>0</v>
      </c>
      <c r="K70" s="7">
        <f t="shared" si="7"/>
        <v>0</v>
      </c>
    </row>
    <row r="71" spans="1:11" ht="11.25">
      <c r="A71" s="26"/>
      <c r="B71" s="27"/>
      <c r="C71" s="27"/>
      <c r="D71" s="24"/>
      <c r="E71" s="25"/>
      <c r="F71" s="26" t="s">
        <v>26</v>
      </c>
      <c r="G71" s="29">
        <v>0</v>
      </c>
      <c r="H71" s="29">
        <v>0</v>
      </c>
      <c r="I71" s="29">
        <f t="shared" si="6"/>
        <v>0</v>
      </c>
      <c r="J71" s="7">
        <f t="shared" si="8"/>
        <v>0</v>
      </c>
      <c r="K71" s="7">
        <f t="shared" si="7"/>
        <v>0</v>
      </c>
    </row>
    <row r="72" spans="1:11" ht="11.25">
      <c r="A72" s="26"/>
      <c r="B72" s="27"/>
      <c r="C72" s="27"/>
      <c r="D72" s="24"/>
      <c r="E72" s="25"/>
      <c r="F72" s="26" t="s">
        <v>27</v>
      </c>
      <c r="G72" s="29">
        <v>378.9</v>
      </c>
      <c r="H72" s="30">
        <v>89.72</v>
      </c>
      <c r="I72" s="29">
        <f t="shared" si="6"/>
        <v>46.75626</v>
      </c>
      <c r="J72" s="7">
        <f>H72*C61</f>
        <v>15.165909919999999</v>
      </c>
      <c r="K72" s="7">
        <f>SUM(I72:J72)</f>
        <v>61.922169919999995</v>
      </c>
    </row>
    <row r="73" spans="1:11" ht="11.25">
      <c r="A73" s="26"/>
      <c r="B73" s="27"/>
      <c r="C73" s="27"/>
      <c r="D73" s="24"/>
      <c r="E73" s="25"/>
      <c r="F73" s="26"/>
      <c r="G73" s="29"/>
      <c r="H73" s="30"/>
      <c r="I73" s="29"/>
      <c r="J73" s="7"/>
      <c r="K73" s="7"/>
    </row>
    <row r="74" spans="1:11" ht="11.25">
      <c r="A74" s="33" t="s">
        <v>33</v>
      </c>
      <c r="B74" s="42">
        <f>'2002 Monthly Recovery '!B69</f>
        <v>0.1056</v>
      </c>
      <c r="C74" s="42">
        <f>'2002 Monthly Recovery '!C69</f>
        <v>0.141198</v>
      </c>
      <c r="D74" s="24">
        <v>1.03</v>
      </c>
      <c r="E74" s="25">
        <f>B74/D74</f>
        <v>0.10252427184466019</v>
      </c>
      <c r="F74" s="26" t="s">
        <v>40</v>
      </c>
      <c r="G74" s="29">
        <v>4.12</v>
      </c>
      <c r="H74" s="30">
        <v>250.52</v>
      </c>
      <c r="I74" s="29">
        <f>$E$74*G74</f>
        <v>0.4224</v>
      </c>
      <c r="J74" s="7">
        <f>H74*C74</f>
        <v>35.37292296</v>
      </c>
      <c r="K74" s="7">
        <f>SUM(I74:J74)</f>
        <v>35.79532296</v>
      </c>
    </row>
    <row r="75" spans="1:11" ht="11.25">
      <c r="A75" s="33" t="s">
        <v>34</v>
      </c>
      <c r="B75" s="27"/>
      <c r="C75" s="27"/>
      <c r="D75" s="24"/>
      <c r="E75" s="25"/>
      <c r="F75" s="26" t="s">
        <v>39</v>
      </c>
      <c r="G75" s="29">
        <v>4</v>
      </c>
      <c r="H75" s="30">
        <v>251</v>
      </c>
      <c r="I75" s="29">
        <f aca="true" t="shared" si="9" ref="I75:I85">$E$74*G75</f>
        <v>0.41009708737864076</v>
      </c>
      <c r="J75" s="7">
        <f>H75*C74</f>
        <v>35.440698</v>
      </c>
      <c r="K75" s="7">
        <f aca="true" t="shared" si="10" ref="K75:K85">+I75+J75</f>
        <v>35.850795087378636</v>
      </c>
    </row>
    <row r="76" spans="1:11" ht="11.25">
      <c r="A76" s="26"/>
      <c r="B76" s="27"/>
      <c r="C76" s="27"/>
      <c r="D76" s="28"/>
      <c r="E76" s="25"/>
      <c r="F76" s="26" t="s">
        <v>18</v>
      </c>
      <c r="G76" s="29">
        <v>4</v>
      </c>
      <c r="H76" s="30">
        <v>251</v>
      </c>
      <c r="I76" s="29">
        <f t="shared" si="9"/>
        <v>0.41009708737864076</v>
      </c>
      <c r="J76" s="7">
        <f>H76*C74</f>
        <v>35.440698</v>
      </c>
      <c r="K76" s="7">
        <f t="shared" si="10"/>
        <v>35.850795087378636</v>
      </c>
    </row>
    <row r="77" spans="1:11" ht="11.25">
      <c r="A77" s="26"/>
      <c r="B77" s="27"/>
      <c r="C77" s="27"/>
      <c r="D77" s="28"/>
      <c r="E77" s="31"/>
      <c r="F77" s="26" t="s">
        <v>19</v>
      </c>
      <c r="G77" s="29">
        <v>4</v>
      </c>
      <c r="H77" s="30">
        <v>251</v>
      </c>
      <c r="I77" s="29">
        <f t="shared" si="9"/>
        <v>0.41009708737864076</v>
      </c>
      <c r="J77" s="7">
        <f>H77*C74</f>
        <v>35.440698</v>
      </c>
      <c r="K77" s="7">
        <f t="shared" si="10"/>
        <v>35.850795087378636</v>
      </c>
    </row>
    <row r="78" spans="1:11" ht="11.25">
      <c r="A78" s="26"/>
      <c r="B78" s="27"/>
      <c r="C78" s="40"/>
      <c r="D78" s="32"/>
      <c r="E78" s="25"/>
      <c r="F78" s="26" t="s">
        <v>20</v>
      </c>
      <c r="G78" s="29">
        <v>4</v>
      </c>
      <c r="H78" s="30">
        <v>251</v>
      </c>
      <c r="I78" s="29">
        <f t="shared" si="9"/>
        <v>0.41009708737864076</v>
      </c>
      <c r="J78" s="7">
        <f>H78*C74</f>
        <v>35.440698</v>
      </c>
      <c r="K78" s="7">
        <f t="shared" si="10"/>
        <v>35.850795087378636</v>
      </c>
    </row>
    <row r="79" spans="1:11" ht="11.25">
      <c r="A79" s="26"/>
      <c r="B79" s="27"/>
      <c r="C79" s="40"/>
      <c r="D79" s="32"/>
      <c r="E79" s="25"/>
      <c r="F79" s="26" t="s">
        <v>21</v>
      </c>
      <c r="G79" s="29">
        <v>2</v>
      </c>
      <c r="H79" s="30">
        <v>241</v>
      </c>
      <c r="I79" s="29">
        <f t="shared" si="9"/>
        <v>0.20504854368932038</v>
      </c>
      <c r="J79" s="7">
        <f>H79*C74</f>
        <v>34.028718</v>
      </c>
      <c r="K79" s="7">
        <f t="shared" si="10"/>
        <v>34.23376654368932</v>
      </c>
    </row>
    <row r="80" spans="1:11" ht="11.25">
      <c r="A80" s="26"/>
      <c r="B80" s="27"/>
      <c r="C80" s="40"/>
      <c r="D80" s="32"/>
      <c r="E80" s="25"/>
      <c r="F80" s="26" t="s">
        <v>22</v>
      </c>
      <c r="G80" s="29">
        <v>6</v>
      </c>
      <c r="H80" s="30">
        <v>260</v>
      </c>
      <c r="I80" s="29">
        <f t="shared" si="9"/>
        <v>0.6151456310679612</v>
      </c>
      <c r="J80" s="7">
        <f>H80*C74</f>
        <v>36.711479999999995</v>
      </c>
      <c r="K80" s="7">
        <f t="shared" si="10"/>
        <v>37.326625631067955</v>
      </c>
    </row>
    <row r="81" spans="1:11" ht="11.25">
      <c r="A81" s="26"/>
      <c r="B81" s="27"/>
      <c r="C81" s="40"/>
      <c r="D81" s="32"/>
      <c r="E81" s="25"/>
      <c r="F81" s="26" t="s">
        <v>23</v>
      </c>
      <c r="G81" s="29">
        <v>1.25</v>
      </c>
      <c r="H81" s="30">
        <v>250.52</v>
      </c>
      <c r="I81" s="29">
        <f t="shared" si="9"/>
        <v>0.12815533980582525</v>
      </c>
      <c r="J81" s="7">
        <f>H81*C74</f>
        <v>35.37292296</v>
      </c>
      <c r="K81" s="7">
        <f t="shared" si="10"/>
        <v>35.50107829980582</v>
      </c>
    </row>
    <row r="82" spans="1:11" ht="11.25">
      <c r="A82" s="26"/>
      <c r="B82" s="27"/>
      <c r="C82" s="40"/>
      <c r="D82" s="32"/>
      <c r="E82" s="25"/>
      <c r="F82" s="26" t="s">
        <v>24</v>
      </c>
      <c r="G82" s="29">
        <v>1</v>
      </c>
      <c r="H82" s="30">
        <v>251</v>
      </c>
      <c r="I82" s="29">
        <f t="shared" si="9"/>
        <v>0.10252427184466019</v>
      </c>
      <c r="J82" s="7">
        <f>H82*C74</f>
        <v>35.440698</v>
      </c>
      <c r="K82" s="7">
        <f t="shared" si="10"/>
        <v>35.543222271844655</v>
      </c>
    </row>
    <row r="83" spans="1:11" ht="11.25">
      <c r="A83" s="26"/>
      <c r="B83" s="27"/>
      <c r="C83" s="27"/>
      <c r="D83" s="24"/>
      <c r="E83" s="25"/>
      <c r="F83" s="26" t="s">
        <v>25</v>
      </c>
      <c r="G83" s="29">
        <v>4</v>
      </c>
      <c r="H83" s="30">
        <v>251</v>
      </c>
      <c r="I83" s="29">
        <f t="shared" si="9"/>
        <v>0.41009708737864076</v>
      </c>
      <c r="J83" s="7">
        <f>H83*C74</f>
        <v>35.440698</v>
      </c>
      <c r="K83" s="7">
        <f t="shared" si="10"/>
        <v>35.850795087378636</v>
      </c>
    </row>
    <row r="84" spans="1:11" ht="11.25">
      <c r="A84" s="26"/>
      <c r="B84" s="27"/>
      <c r="C84" s="27"/>
      <c r="D84" s="24"/>
      <c r="E84" s="25"/>
      <c r="F84" s="26" t="s">
        <v>26</v>
      </c>
      <c r="G84" s="29">
        <v>20624.76</v>
      </c>
      <c r="H84" s="30">
        <v>250.52</v>
      </c>
      <c r="I84" s="29">
        <f t="shared" si="9"/>
        <v>2114.5385009708734</v>
      </c>
      <c r="J84" s="7">
        <f>H84*C74</f>
        <v>35.37292296</v>
      </c>
      <c r="K84" s="7">
        <f t="shared" si="10"/>
        <v>2149.9114239308733</v>
      </c>
    </row>
    <row r="85" spans="1:11" ht="11.25">
      <c r="A85" s="26"/>
      <c r="B85" s="27"/>
      <c r="C85" s="27"/>
      <c r="D85" s="24"/>
      <c r="E85" s="25"/>
      <c r="F85" s="26" t="s">
        <v>27</v>
      </c>
      <c r="G85" s="29">
        <v>2355.44</v>
      </c>
      <c r="H85" s="30">
        <v>341.94</v>
      </c>
      <c r="I85" s="29">
        <f t="shared" si="9"/>
        <v>241.4897708737864</v>
      </c>
      <c r="J85" s="7">
        <f>H85*C74</f>
        <v>48.28124412</v>
      </c>
      <c r="K85" s="7">
        <f t="shared" si="10"/>
        <v>289.77101499378637</v>
      </c>
    </row>
    <row r="86" spans="1:11" ht="11.25">
      <c r="A86" s="26"/>
      <c r="B86" s="27"/>
      <c r="C86" s="27"/>
      <c r="D86" s="24"/>
      <c r="E86" s="25"/>
      <c r="F86" s="26"/>
      <c r="G86" s="29"/>
      <c r="H86" s="30"/>
      <c r="I86" s="29"/>
      <c r="J86" s="7"/>
      <c r="K86" s="7"/>
    </row>
    <row r="87" spans="1:11" ht="11.25">
      <c r="A87" s="26"/>
      <c r="B87" s="27"/>
      <c r="C87" s="27"/>
      <c r="D87" s="24"/>
      <c r="E87" s="25"/>
      <c r="F87" s="26"/>
      <c r="G87" s="29"/>
      <c r="H87" s="30"/>
      <c r="I87" s="29"/>
      <c r="J87" s="7"/>
      <c r="K87" s="7"/>
    </row>
    <row r="88" spans="1:9" ht="11.25">
      <c r="A88" s="26"/>
      <c r="B88" s="26"/>
      <c r="C88" s="26"/>
      <c r="D88" s="26"/>
      <c r="E88" s="26"/>
      <c r="F88" s="26"/>
      <c r="G88" s="26"/>
      <c r="H88" s="26"/>
      <c r="I88" s="26"/>
    </row>
    <row r="89" spans="1:11" ht="11.25">
      <c r="A89" s="34"/>
      <c r="B89" s="34"/>
      <c r="C89" s="34"/>
      <c r="D89" s="34"/>
      <c r="E89" s="34"/>
      <c r="F89" s="34"/>
      <c r="G89" s="34"/>
      <c r="H89" s="34"/>
      <c r="I89" s="34" t="s">
        <v>41</v>
      </c>
      <c r="J89" s="4"/>
      <c r="K89" s="20">
        <f>SUM(K10:K87)</f>
        <v>325846.21239567513</v>
      </c>
    </row>
    <row r="90" spans="1:11" ht="11.25">
      <c r="A90" s="26"/>
      <c r="B90" s="27"/>
      <c r="C90" s="27"/>
      <c r="D90" s="24"/>
      <c r="E90" s="25"/>
      <c r="F90" s="26"/>
      <c r="G90" s="29"/>
      <c r="H90" s="30"/>
      <c r="I90" s="29"/>
      <c r="J90" s="7"/>
      <c r="K90" s="7"/>
    </row>
    <row r="91" spans="1:11" ht="11.25">
      <c r="A91" s="26"/>
      <c r="B91" s="27"/>
      <c r="C91" s="27"/>
      <c r="D91" s="24"/>
      <c r="E91" s="25"/>
      <c r="F91" s="26"/>
      <c r="G91" s="29"/>
      <c r="H91" s="30"/>
      <c r="I91" s="29"/>
      <c r="J91" s="7"/>
      <c r="K91" s="7"/>
    </row>
    <row r="92" spans="1:11" ht="11.25">
      <c r="A92" s="26"/>
      <c r="B92" s="27"/>
      <c r="C92" s="27"/>
      <c r="D92" s="24"/>
      <c r="E92" s="25"/>
      <c r="F92" s="26"/>
      <c r="G92" s="29"/>
      <c r="H92" s="30"/>
      <c r="I92" s="29"/>
      <c r="J92" s="7"/>
      <c r="K92" s="7"/>
    </row>
    <row r="93" spans="1:11" ht="11.25">
      <c r="A93" s="26"/>
      <c r="B93" s="27"/>
      <c r="C93" s="27"/>
      <c r="D93" s="24"/>
      <c r="E93" s="25"/>
      <c r="F93" s="26"/>
      <c r="G93" s="29"/>
      <c r="H93" s="30"/>
      <c r="I93" s="29"/>
      <c r="J93" s="7"/>
      <c r="K93" s="7"/>
    </row>
    <row r="94" spans="1:11" ht="11.25">
      <c r="A94" s="26"/>
      <c r="B94" s="27"/>
      <c r="C94" s="27"/>
      <c r="D94" s="24"/>
      <c r="E94" s="25"/>
      <c r="F94" s="26"/>
      <c r="G94" s="29"/>
      <c r="H94" s="30"/>
      <c r="I94" s="29"/>
      <c r="J94" s="7"/>
      <c r="K94" s="7"/>
    </row>
    <row r="95" spans="1:11" ht="11.25">
      <c r="A95" s="26"/>
      <c r="B95" s="27"/>
      <c r="C95" s="27"/>
      <c r="D95" s="24"/>
      <c r="E95" s="25"/>
      <c r="F95" s="26"/>
      <c r="G95" s="29"/>
      <c r="H95" s="30"/>
      <c r="I95" s="29"/>
      <c r="J95" s="7"/>
      <c r="K95" s="7"/>
    </row>
    <row r="96" spans="1:11" ht="11.25">
      <c r="A96" s="26"/>
      <c r="B96" s="27"/>
      <c r="C96" s="27"/>
      <c r="D96" s="24"/>
      <c r="E96" s="25"/>
      <c r="F96" s="26"/>
      <c r="G96" s="29"/>
      <c r="H96" s="30"/>
      <c r="I96" s="29"/>
      <c r="J96" s="7"/>
      <c r="K96" s="7"/>
    </row>
    <row r="97" spans="1:11" ht="11.25">
      <c r="A97" s="26"/>
      <c r="B97" s="27"/>
      <c r="C97" s="27"/>
      <c r="D97" s="24"/>
      <c r="E97" s="25"/>
      <c r="F97" s="26"/>
      <c r="G97" s="29"/>
      <c r="H97" s="30"/>
      <c r="I97" s="29"/>
      <c r="J97" s="7"/>
      <c r="K97" s="7"/>
    </row>
    <row r="98" spans="1:11" ht="11.25">
      <c r="A98" s="26"/>
      <c r="B98" s="27"/>
      <c r="C98" s="27"/>
      <c r="D98" s="24"/>
      <c r="E98" s="25"/>
      <c r="F98" s="26"/>
      <c r="G98" s="29"/>
      <c r="H98" s="30"/>
      <c r="I98" s="29"/>
      <c r="J98" s="7"/>
      <c r="K98" s="7"/>
    </row>
    <row r="99" spans="1:11" ht="11.25">
      <c r="A99" s="26"/>
      <c r="B99" s="27"/>
      <c r="C99" s="27"/>
      <c r="D99" s="24"/>
      <c r="E99" s="25"/>
      <c r="F99" s="26"/>
      <c r="G99" s="29"/>
      <c r="H99" s="30"/>
      <c r="I99" s="29"/>
      <c r="J99" s="7"/>
      <c r="K99" s="7"/>
    </row>
    <row r="100" spans="1:11" ht="11.25">
      <c r="A100" s="26"/>
      <c r="B100" s="27"/>
      <c r="C100" s="27"/>
      <c r="D100" s="24"/>
      <c r="E100" s="25"/>
      <c r="F100" s="26"/>
      <c r="G100" s="29"/>
      <c r="H100" s="30"/>
      <c r="I100" s="29"/>
      <c r="J100" s="7"/>
      <c r="K100" s="7"/>
    </row>
    <row r="101" spans="1:11" ht="11.25">
      <c r="A101" s="26"/>
      <c r="B101" s="27"/>
      <c r="C101" s="27"/>
      <c r="D101" s="24"/>
      <c r="E101" s="25"/>
      <c r="F101" s="26"/>
      <c r="G101" s="29"/>
      <c r="H101" s="30"/>
      <c r="I101" s="29"/>
      <c r="J101" s="7"/>
      <c r="K101" s="7"/>
    </row>
    <row r="102" spans="1:11" ht="11.25">
      <c r="A102" s="26"/>
      <c r="B102" s="27"/>
      <c r="C102" s="27"/>
      <c r="D102" s="24"/>
      <c r="E102" s="25"/>
      <c r="F102" s="26"/>
      <c r="G102" s="29"/>
      <c r="H102" s="30"/>
      <c r="I102" s="29"/>
      <c r="J102" s="7"/>
      <c r="K102" s="7"/>
    </row>
    <row r="103" spans="1:11" ht="11.25">
      <c r="A103" s="26"/>
      <c r="B103" s="27"/>
      <c r="C103" s="27"/>
      <c r="D103" s="24"/>
      <c r="E103" s="25"/>
      <c r="F103" s="26"/>
      <c r="G103" s="29"/>
      <c r="H103" s="30"/>
      <c r="I103" s="29"/>
      <c r="J103" s="7"/>
      <c r="K103" s="7"/>
    </row>
    <row r="104" spans="1:11" ht="11.25">
      <c r="A104" s="26"/>
      <c r="B104" s="27"/>
      <c r="C104" s="27"/>
      <c r="D104" s="24"/>
      <c r="E104" s="25"/>
      <c r="F104" s="26"/>
      <c r="G104" s="29"/>
      <c r="H104" s="30"/>
      <c r="I104" s="29"/>
      <c r="J104" s="7"/>
      <c r="K104" s="7"/>
    </row>
    <row r="105" spans="1:11" ht="11.25">
      <c r="A105" s="26"/>
      <c r="B105" s="27"/>
      <c r="C105" s="27"/>
      <c r="D105" s="24"/>
      <c r="E105" s="25"/>
      <c r="F105" s="26"/>
      <c r="G105" s="29"/>
      <c r="H105" s="30"/>
      <c r="I105" s="29"/>
      <c r="J105" s="7"/>
      <c r="K105" s="7"/>
    </row>
    <row r="106" spans="1:11" ht="11.25">
      <c r="A106" s="26"/>
      <c r="B106" s="27"/>
      <c r="C106" s="27"/>
      <c r="D106" s="24"/>
      <c r="E106" s="25"/>
      <c r="F106" s="26"/>
      <c r="G106" s="29"/>
      <c r="H106" s="30"/>
      <c r="I106" s="29"/>
      <c r="J106" s="7"/>
      <c r="K106" s="7"/>
    </row>
    <row r="107" spans="1:11" ht="11.25">
      <c r="A107" s="26"/>
      <c r="B107" s="27"/>
      <c r="C107" s="27"/>
      <c r="D107" s="24"/>
      <c r="E107" s="25"/>
      <c r="F107" s="26"/>
      <c r="G107" s="29"/>
      <c r="H107" s="30"/>
      <c r="I107" s="29"/>
      <c r="J107" s="7"/>
      <c r="K107" s="7"/>
    </row>
    <row r="108" spans="1:11" ht="11.25">
      <c r="A108" s="26"/>
      <c r="B108" s="27"/>
      <c r="C108" s="27"/>
      <c r="D108" s="24"/>
      <c r="E108" s="25"/>
      <c r="F108" s="26"/>
      <c r="G108" s="29"/>
      <c r="H108" s="30"/>
      <c r="I108" s="29"/>
      <c r="J108" s="7"/>
      <c r="K108" s="7"/>
    </row>
  </sheetData>
  <sheetProtection/>
  <mergeCells count="6">
    <mergeCell ref="D1:H1"/>
    <mergeCell ref="D2:H2"/>
    <mergeCell ref="D3:H3"/>
    <mergeCell ref="D52:H52"/>
    <mergeCell ref="D53:H53"/>
    <mergeCell ref="D54:H54"/>
  </mergeCells>
  <printOptions/>
  <pageMargins left="0.75" right="0.27" top="0.4" bottom="0.29" header="0.3" footer="0.18"/>
  <pageSetup fitToHeight="0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3"/>
  <sheetViews>
    <sheetView zoomScaleSheetLayoutView="75" zoomScalePageLayoutView="0" workbookViewId="0" topLeftCell="A1">
      <selection activeCell="D1" sqref="D1:G3"/>
    </sheetView>
  </sheetViews>
  <sheetFormatPr defaultColWidth="9.140625" defaultRowHeight="12.75"/>
  <cols>
    <col min="2" max="2" width="13.00390625" style="0" customWidth="1"/>
    <col min="3" max="3" width="13.8515625" style="0" customWidth="1"/>
    <col min="4" max="4" width="13.57421875" style="0" customWidth="1"/>
    <col min="5" max="5" width="17.00390625" style="0" customWidth="1"/>
    <col min="6" max="6" width="12.140625" style="0" customWidth="1"/>
    <col min="7" max="7" width="12.421875" style="0" customWidth="1"/>
    <col min="8" max="8" width="12.7109375" style="0" customWidth="1"/>
  </cols>
  <sheetData>
    <row r="1" spans="2:8" ht="12.75">
      <c r="B1" s="1"/>
      <c r="C1" s="6"/>
      <c r="D1" s="103" t="s">
        <v>53</v>
      </c>
      <c r="E1" s="103"/>
      <c r="F1" s="105"/>
      <c r="G1" s="105"/>
      <c r="H1" s="1"/>
    </row>
    <row r="2" spans="2:8" ht="12.75">
      <c r="B2" s="1"/>
      <c r="C2" s="2"/>
      <c r="D2" s="103" t="s">
        <v>138</v>
      </c>
      <c r="E2" s="103"/>
      <c r="F2" s="105"/>
      <c r="G2" s="105"/>
      <c r="H2" s="1"/>
    </row>
    <row r="3" spans="2:8" ht="12.75">
      <c r="B3" s="1"/>
      <c r="C3" s="1"/>
      <c r="D3" s="103" t="s">
        <v>43</v>
      </c>
      <c r="E3" s="103"/>
      <c r="F3" s="105"/>
      <c r="G3" s="105"/>
      <c r="H3" s="1"/>
    </row>
    <row r="4" spans="2:8" ht="12.75">
      <c r="B4" s="1"/>
      <c r="C4" s="1"/>
      <c r="D4" s="1"/>
      <c r="E4" s="1"/>
      <c r="F4" s="1"/>
      <c r="G4" s="1"/>
      <c r="H4" s="1"/>
    </row>
    <row r="5" spans="1:10" ht="12.75">
      <c r="A5" s="11" t="s">
        <v>5</v>
      </c>
      <c r="B5" s="53" t="s">
        <v>44</v>
      </c>
      <c r="C5" s="53" t="s">
        <v>45</v>
      </c>
      <c r="D5" s="53" t="s">
        <v>46</v>
      </c>
      <c r="E5" s="53" t="s">
        <v>47</v>
      </c>
      <c r="F5" s="53" t="s">
        <v>48</v>
      </c>
      <c r="G5" s="53" t="s">
        <v>9</v>
      </c>
      <c r="H5" s="54" t="s">
        <v>49</v>
      </c>
      <c r="I5" s="3"/>
      <c r="J5" s="3"/>
    </row>
    <row r="6" spans="1:10" ht="12.75">
      <c r="A6" s="3"/>
      <c r="B6" s="49"/>
      <c r="C6" s="49"/>
      <c r="D6" s="49"/>
      <c r="E6" s="49"/>
      <c r="F6" s="49"/>
      <c r="G6" s="49"/>
      <c r="H6" s="49"/>
      <c r="I6" s="3"/>
      <c r="J6" s="3"/>
    </row>
    <row r="7" spans="1:10" ht="12.75">
      <c r="A7" s="3" t="s">
        <v>40</v>
      </c>
      <c r="B7" s="43">
        <f>'2003 Monthly Recovery '!K10</f>
        <v>15737.2885629351</v>
      </c>
      <c r="C7" s="49">
        <f>'2003 Monthly Recovery '!K23</f>
        <v>3005.4511645997686</v>
      </c>
      <c r="D7" s="49">
        <f>'2003 Monthly Recovery '!K36</f>
        <v>8525.374319177243</v>
      </c>
      <c r="E7" s="49">
        <f>'2003 Monthly Recovery '!K61</f>
        <v>0</v>
      </c>
      <c r="F7" s="49">
        <f>'2003 Monthly Recovery '!K74</f>
        <v>35.79532296</v>
      </c>
      <c r="G7" s="49">
        <f aca="true" t="shared" si="0" ref="G7:G18">SUM(B7:F7)</f>
        <v>27303.909369672114</v>
      </c>
      <c r="H7" s="49">
        <f>G7</f>
        <v>27303.909369672114</v>
      </c>
      <c r="I7" s="3"/>
      <c r="J7" s="3"/>
    </row>
    <row r="8" spans="1:10" ht="12.75">
      <c r="A8" s="3" t="s">
        <v>39</v>
      </c>
      <c r="B8" s="43">
        <f>'2003 Monthly Recovery '!K11</f>
        <v>21410.793614715236</v>
      </c>
      <c r="C8" s="49">
        <f>'2003 Monthly Recovery '!K24</f>
        <v>3992.198219383192</v>
      </c>
      <c r="D8" s="49">
        <f>'2003 Monthly Recovery '!K37</f>
        <v>8768.300447886406</v>
      </c>
      <c r="E8" s="49">
        <f>'2003 Monthly Recovery '!K62</f>
        <v>0</v>
      </c>
      <c r="F8" s="49">
        <f>'2003 Monthly Recovery '!K75</f>
        <v>35.850795087378636</v>
      </c>
      <c r="G8" s="49">
        <f t="shared" si="0"/>
        <v>34207.14307707221</v>
      </c>
      <c r="H8" s="49">
        <f>H7+G8</f>
        <v>61511.05244674432</v>
      </c>
      <c r="I8" s="3"/>
      <c r="J8" s="3"/>
    </row>
    <row r="9" spans="1:10" ht="12.75">
      <c r="A9" s="3" t="s">
        <v>18</v>
      </c>
      <c r="B9" s="43">
        <f>'2003 Monthly Recovery '!K12</f>
        <v>19048.694394031394</v>
      </c>
      <c r="C9" s="49">
        <f>'2003 Monthly Recovery '!K25</f>
        <v>3777.703321447957</v>
      </c>
      <c r="D9" s="49">
        <f>'2003 Monthly Recovery '!K38</f>
        <v>8748.937837448628</v>
      </c>
      <c r="E9" s="49">
        <f>'2003 Monthly Recovery '!K63</f>
        <v>0</v>
      </c>
      <c r="F9" s="49">
        <f>'2003 Monthly Recovery '!K76</f>
        <v>35.850795087378636</v>
      </c>
      <c r="G9" s="49">
        <f t="shared" si="0"/>
        <v>31611.18634801536</v>
      </c>
      <c r="H9" s="49">
        <f>H8+G9</f>
        <v>93122.23879475967</v>
      </c>
      <c r="I9" s="3"/>
      <c r="J9" s="3"/>
    </row>
    <row r="10" spans="1:10" ht="12.75">
      <c r="A10" s="3" t="s">
        <v>19</v>
      </c>
      <c r="B10" s="43">
        <f>'2003 Monthly Recovery '!K13</f>
        <v>16066.020748352452</v>
      </c>
      <c r="C10" s="49">
        <f>'2003 Monthly Recovery '!K26</f>
        <v>3315.25335326754</v>
      </c>
      <c r="D10" s="49">
        <f>'2003 Monthly Recovery '!K39</f>
        <v>10402.22151882961</v>
      </c>
      <c r="E10" s="49">
        <f>'2003 Monthly Recovery '!K64</f>
        <v>0</v>
      </c>
      <c r="F10" s="49">
        <f>'2003 Monthly Recovery '!K77</f>
        <v>35.850795087378636</v>
      </c>
      <c r="G10" s="49">
        <f t="shared" si="0"/>
        <v>29819.34641553698</v>
      </c>
      <c r="H10" s="49">
        <f aca="true" t="shared" si="1" ref="H10:H18">H9+G10</f>
        <v>122941.58521029665</v>
      </c>
      <c r="I10" s="3"/>
      <c r="J10" s="3"/>
    </row>
    <row r="11" spans="1:10" ht="12.75">
      <c r="A11" s="3" t="s">
        <v>20</v>
      </c>
      <c r="B11" s="43">
        <f>'2003 Monthly Recovery '!K14</f>
        <v>16448.654525894042</v>
      </c>
      <c r="C11" s="49">
        <f>'2003 Monthly Recovery '!K27</f>
        <v>3498.3336578165</v>
      </c>
      <c r="D11" s="49">
        <f>'2003 Monthly Recovery '!K40</f>
        <v>8622.7353819515</v>
      </c>
      <c r="E11" s="49">
        <f>'2003 Monthly Recovery '!K65</f>
        <v>0</v>
      </c>
      <c r="F11" s="49">
        <f>'2003 Monthly Recovery '!K78</f>
        <v>35.850795087378636</v>
      </c>
      <c r="G11" s="49">
        <f t="shared" si="0"/>
        <v>28605.57436074942</v>
      </c>
      <c r="H11" s="49">
        <f t="shared" si="1"/>
        <v>151547.15957104607</v>
      </c>
      <c r="I11" s="3"/>
      <c r="J11" s="3"/>
    </row>
    <row r="12" spans="1:10" ht="12.75">
      <c r="A12" s="3" t="s">
        <v>21</v>
      </c>
      <c r="B12" s="43">
        <f>'2003 Monthly Recovery '!K15</f>
        <v>13185.070049794173</v>
      </c>
      <c r="C12" s="49">
        <f>'2003 Monthly Recovery '!K28</f>
        <v>2353.6382447941405</v>
      </c>
      <c r="D12" s="49">
        <f>'2003 Monthly Recovery '!K41</f>
        <v>7663.86429485386</v>
      </c>
      <c r="E12" s="49">
        <f>'2003 Monthly Recovery '!K66</f>
        <v>0</v>
      </c>
      <c r="F12" s="49">
        <f>'2003 Monthly Recovery '!K79</f>
        <v>34.23376654368932</v>
      </c>
      <c r="G12" s="49">
        <f t="shared" si="0"/>
        <v>23236.80635598586</v>
      </c>
      <c r="H12" s="49">
        <f t="shared" si="1"/>
        <v>174783.96592703194</v>
      </c>
      <c r="I12" s="3"/>
      <c r="J12" s="3"/>
    </row>
    <row r="13" spans="1:10" ht="12.75">
      <c r="A13" s="3" t="s">
        <v>22</v>
      </c>
      <c r="B13" s="43">
        <f>'2003 Monthly Recovery '!K16</f>
        <v>14404.697264423841</v>
      </c>
      <c r="C13" s="49">
        <f>'2003 Monthly Recovery '!K29</f>
        <v>3718.1721909468006</v>
      </c>
      <c r="D13" s="49">
        <f>'2003 Monthly Recovery '!K42</f>
        <v>8731.323146712188</v>
      </c>
      <c r="E13" s="49">
        <f>'2003 Monthly Recovery '!K67</f>
        <v>0</v>
      </c>
      <c r="F13" s="49">
        <f>'2003 Monthly Recovery '!K80</f>
        <v>37.326625631067955</v>
      </c>
      <c r="G13" s="49">
        <f t="shared" si="0"/>
        <v>26891.519227713896</v>
      </c>
      <c r="H13" s="49">
        <f t="shared" si="1"/>
        <v>201675.48515474584</v>
      </c>
      <c r="I13" s="3"/>
      <c r="J13" s="3"/>
    </row>
    <row r="14" spans="1:10" ht="12.75">
      <c r="A14" s="3" t="s">
        <v>23</v>
      </c>
      <c r="B14" s="43">
        <f>'2003 Monthly Recovery '!K17</f>
        <v>11282.557179516556</v>
      </c>
      <c r="C14" s="49">
        <f>'2003 Monthly Recovery '!K30</f>
        <v>2770.8834258118736</v>
      </c>
      <c r="D14" s="49">
        <f>'2003 Monthly Recovery '!K43</f>
        <v>7228.856673972201</v>
      </c>
      <c r="E14" s="49">
        <f>'2003 Monthly Recovery '!K68</f>
        <v>0</v>
      </c>
      <c r="F14" s="49">
        <f>'2003 Monthly Recovery '!K81</f>
        <v>35.50107829980582</v>
      </c>
      <c r="G14" s="49">
        <f t="shared" si="0"/>
        <v>21317.798357600437</v>
      </c>
      <c r="H14" s="49">
        <f t="shared" si="1"/>
        <v>222993.28351234627</v>
      </c>
      <c r="I14" s="3"/>
      <c r="J14" s="3"/>
    </row>
    <row r="15" spans="1:10" ht="12.75">
      <c r="A15" s="3" t="s">
        <v>24</v>
      </c>
      <c r="B15" s="43">
        <f>'2003 Monthly Recovery '!K18</f>
        <v>16255.461788534174</v>
      </c>
      <c r="C15" s="49">
        <f>'2003 Monthly Recovery '!K31</f>
        <v>3511.623166050887</v>
      </c>
      <c r="D15" s="49">
        <f>'2003 Monthly Recovery '!K44</f>
        <v>8529.726896473516</v>
      </c>
      <c r="E15" s="49">
        <f>'2003 Monthly Recovery '!K69</f>
        <v>0</v>
      </c>
      <c r="F15" s="49">
        <f>'2003 Monthly Recovery '!K82</f>
        <v>35.543222271844655</v>
      </c>
      <c r="G15" s="49">
        <f t="shared" si="0"/>
        <v>28332.355073330422</v>
      </c>
      <c r="H15" s="49">
        <f t="shared" si="1"/>
        <v>251325.6385856767</v>
      </c>
      <c r="I15" s="3"/>
      <c r="J15" s="3"/>
    </row>
    <row r="16" spans="1:10" ht="12.75">
      <c r="A16" s="3" t="s">
        <v>25</v>
      </c>
      <c r="B16" s="43">
        <f>'2003 Monthly Recovery '!K19</f>
        <v>10252.218848341061</v>
      </c>
      <c r="C16" s="49">
        <f>'2003 Monthly Recovery '!K32</f>
        <v>2577.6647121110254</v>
      </c>
      <c r="D16" s="49">
        <f>'2003 Monthly Recovery '!K45</f>
        <v>8781.943147563485</v>
      </c>
      <c r="E16" s="49">
        <f>'2003 Monthly Recovery '!K70</f>
        <v>0</v>
      </c>
      <c r="F16" s="49">
        <f>'2003 Monthly Recovery '!K83</f>
        <v>35.850795087378636</v>
      </c>
      <c r="G16" s="49">
        <f t="shared" si="0"/>
        <v>21647.67750310295</v>
      </c>
      <c r="H16" s="49">
        <f t="shared" si="1"/>
        <v>272973.31608877965</v>
      </c>
      <c r="I16" s="3"/>
      <c r="J16" s="3"/>
    </row>
    <row r="17" spans="1:10" ht="12.75">
      <c r="A17" s="3" t="s">
        <v>26</v>
      </c>
      <c r="B17" s="43">
        <f>'2003 Monthly Recovery '!K20</f>
        <v>13593.560493526491</v>
      </c>
      <c r="C17" s="49">
        <f>'2003 Monthly Recovery '!K33</f>
        <v>2826.9935555111797</v>
      </c>
      <c r="D17" s="49">
        <f>'2003 Monthly Recovery '!K46</f>
        <v>7726.501613309623</v>
      </c>
      <c r="E17" s="49">
        <f>'2003 Monthly Recovery '!K71</f>
        <v>0</v>
      </c>
      <c r="F17" s="49">
        <f>'2003 Monthly Recovery '!K84</f>
        <v>2149.9114239308733</v>
      </c>
      <c r="G17" s="49">
        <f t="shared" si="0"/>
        <v>26296.967086278168</v>
      </c>
      <c r="H17" s="49">
        <f t="shared" si="1"/>
        <v>299270.28317505785</v>
      </c>
      <c r="I17" s="3"/>
      <c r="J17" s="3"/>
    </row>
    <row r="18" spans="1:10" ht="12.75">
      <c r="A18" s="3" t="s">
        <v>27</v>
      </c>
      <c r="B18" s="63">
        <f>'2003 Monthly Recovery '!K21</f>
        <v>14192.508233841061</v>
      </c>
      <c r="C18" s="57">
        <f>'2003 Monthly Recovery '!K34</f>
        <v>2972.9089302143407</v>
      </c>
      <c r="D18" s="57">
        <f>'2003 Monthly Recovery '!K47</f>
        <v>9058.818871647913</v>
      </c>
      <c r="E18" s="57">
        <f>'2003 Monthly Recovery '!K72</f>
        <v>61.922169919999995</v>
      </c>
      <c r="F18" s="57">
        <f>'2003 Monthly Recovery '!K85</f>
        <v>289.77101499378637</v>
      </c>
      <c r="G18" s="57">
        <f t="shared" si="0"/>
        <v>26575.929220617098</v>
      </c>
      <c r="H18" s="49">
        <f t="shared" si="1"/>
        <v>325846.21239567496</v>
      </c>
      <c r="I18" s="3"/>
      <c r="J18" s="3"/>
    </row>
    <row r="19" spans="1:10" ht="12.75">
      <c r="A19" s="3"/>
      <c r="B19" s="49"/>
      <c r="C19" s="49"/>
      <c r="D19" s="49"/>
      <c r="E19" s="49"/>
      <c r="F19" s="49"/>
      <c r="G19" s="49"/>
      <c r="H19" s="49"/>
      <c r="I19" s="3"/>
      <c r="J19" s="3"/>
    </row>
    <row r="20" spans="1:10" ht="12.75">
      <c r="A20" s="3" t="s">
        <v>50</v>
      </c>
      <c r="B20" s="49">
        <f aca="true" t="shared" si="2" ref="B20:G20">SUM(B7:B18)</f>
        <v>181877.5257039056</v>
      </c>
      <c r="C20" s="49">
        <f t="shared" si="2"/>
        <v>38320.8239419552</v>
      </c>
      <c r="D20" s="49">
        <f t="shared" si="2"/>
        <v>102788.60414982616</v>
      </c>
      <c r="E20" s="49">
        <f t="shared" si="2"/>
        <v>61.922169919999995</v>
      </c>
      <c r="F20" s="49">
        <f t="shared" si="2"/>
        <v>2797.3364300679605</v>
      </c>
      <c r="G20" s="49">
        <f t="shared" si="2"/>
        <v>325846.21239567496</v>
      </c>
      <c r="H20" s="49"/>
      <c r="I20" s="3"/>
      <c r="J20" s="3"/>
    </row>
    <row r="21" spans="1:10" ht="12.75">
      <c r="A21" s="3"/>
      <c r="B21" s="49"/>
      <c r="C21" s="49"/>
      <c r="D21" s="49"/>
      <c r="E21" s="49"/>
      <c r="F21" s="49"/>
      <c r="G21" s="49"/>
      <c r="H21" s="49"/>
      <c r="I21" s="3"/>
      <c r="J21" s="3"/>
    </row>
    <row r="22" spans="1:10" ht="12.75">
      <c r="A22" s="3"/>
      <c r="B22" s="49"/>
      <c r="C22" s="49"/>
      <c r="D22" s="49"/>
      <c r="E22" s="49"/>
      <c r="F22" s="49"/>
      <c r="G22" s="54"/>
      <c r="H22" s="49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sheetProtection/>
  <mergeCells count="3">
    <mergeCell ref="D1:G1"/>
    <mergeCell ref="D2:G2"/>
    <mergeCell ref="D3:G3"/>
  </mergeCells>
  <printOptions/>
  <pageMargins left="0.75" right="0.75" top="0.33" bottom="1" header="0.16" footer="0.5"/>
  <pageSetup fitToHeight="0" fitToWidth="1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zoomScalePageLayoutView="0" workbookViewId="0" topLeftCell="A70">
      <selection activeCell="C61" sqref="C61"/>
    </sheetView>
  </sheetViews>
  <sheetFormatPr defaultColWidth="9.140625" defaultRowHeight="12.75"/>
  <cols>
    <col min="1" max="1" width="9.140625" style="3" customWidth="1"/>
    <col min="2" max="2" width="12.140625" style="3" customWidth="1"/>
    <col min="3" max="3" width="15.8515625" style="3" customWidth="1"/>
    <col min="4" max="4" width="10.57421875" style="3" customWidth="1"/>
    <col min="5" max="5" width="10.8515625" style="3" customWidth="1"/>
    <col min="6" max="6" width="9.8515625" style="3" customWidth="1"/>
    <col min="7" max="7" width="12.7109375" style="3" customWidth="1"/>
    <col min="8" max="8" width="10.28125" style="3" customWidth="1"/>
    <col min="9" max="9" width="11.28125" style="3" customWidth="1"/>
    <col min="10" max="10" width="11.421875" style="3" customWidth="1"/>
    <col min="11" max="11" width="10.8515625" style="3" customWidth="1"/>
    <col min="12" max="16384" width="9.140625" style="3" customWidth="1"/>
  </cols>
  <sheetData>
    <row r="1" spans="1:11" ht="11.25">
      <c r="A1" s="4" t="s">
        <v>52</v>
      </c>
      <c r="C1" s="5"/>
      <c r="D1" s="103" t="s">
        <v>53</v>
      </c>
      <c r="E1" s="103"/>
      <c r="F1" s="103"/>
      <c r="G1" s="103"/>
      <c r="H1" s="103"/>
      <c r="I1" s="43"/>
      <c r="J1" s="43"/>
      <c r="K1" s="43"/>
    </row>
    <row r="2" spans="2:11" ht="11.25">
      <c r="B2" s="5"/>
      <c r="C2" s="5"/>
      <c r="D2" s="103" t="s">
        <v>55</v>
      </c>
      <c r="E2" s="103"/>
      <c r="F2" s="103"/>
      <c r="G2" s="103"/>
      <c r="H2" s="103"/>
      <c r="I2" s="43"/>
      <c r="J2" s="43"/>
      <c r="K2" s="43"/>
    </row>
    <row r="3" spans="2:11" ht="11.25">
      <c r="B3" s="5"/>
      <c r="C3" s="5"/>
      <c r="D3" s="103" t="s">
        <v>43</v>
      </c>
      <c r="E3" s="104"/>
      <c r="F3" s="104"/>
      <c r="G3" s="104"/>
      <c r="H3" s="104"/>
      <c r="I3" s="43"/>
      <c r="J3" s="43"/>
      <c r="K3" s="43"/>
    </row>
    <row r="4" spans="2:11" ht="11.25">
      <c r="B4" s="5"/>
      <c r="C4" s="5"/>
      <c r="D4" s="9"/>
      <c r="E4" s="10"/>
      <c r="G4" s="43"/>
      <c r="H4" s="44"/>
      <c r="I4" s="43"/>
      <c r="J4" s="43"/>
      <c r="K4" s="43"/>
    </row>
    <row r="5" spans="1:11" ht="11.25">
      <c r="A5" s="4" t="s">
        <v>178</v>
      </c>
      <c r="B5" s="5"/>
      <c r="C5" s="5"/>
      <c r="D5" s="19">
        <f>58797+257376</f>
        <v>316173</v>
      </c>
      <c r="E5" s="6" t="s">
        <v>179</v>
      </c>
      <c r="F5" s="19">
        <f>D5/12</f>
        <v>26347.75</v>
      </c>
      <c r="G5" s="48" t="s">
        <v>183</v>
      </c>
      <c r="H5" s="44"/>
      <c r="I5" s="43"/>
      <c r="J5" s="43"/>
      <c r="K5" s="43"/>
    </row>
    <row r="6" spans="2:11" ht="11.25">
      <c r="B6" s="5"/>
      <c r="C6" s="5"/>
      <c r="D6" s="9"/>
      <c r="E6" s="10"/>
      <c r="G6" s="43"/>
      <c r="H6" s="44"/>
      <c r="I6" s="43"/>
      <c r="J6" s="43"/>
      <c r="K6" s="43"/>
    </row>
    <row r="7" spans="1:11" ht="11.25">
      <c r="A7" s="4" t="s">
        <v>0</v>
      </c>
      <c r="B7" s="12" t="s">
        <v>1</v>
      </c>
      <c r="C7" s="12" t="s">
        <v>2</v>
      </c>
      <c r="D7" s="13" t="s">
        <v>3</v>
      </c>
      <c r="E7" s="14" t="s">
        <v>4</v>
      </c>
      <c r="F7" s="11" t="s">
        <v>5</v>
      </c>
      <c r="G7" s="45" t="s">
        <v>3</v>
      </c>
      <c r="H7" s="46" t="s">
        <v>6</v>
      </c>
      <c r="I7" s="45" t="s">
        <v>7</v>
      </c>
      <c r="J7" s="45" t="s">
        <v>8</v>
      </c>
      <c r="K7" s="45" t="s">
        <v>9</v>
      </c>
    </row>
    <row r="8" spans="1:11" ht="11.25">
      <c r="A8" s="4"/>
      <c r="B8" s="12" t="s">
        <v>10</v>
      </c>
      <c r="C8" s="12" t="s">
        <v>11</v>
      </c>
      <c r="D8" s="13" t="s">
        <v>12</v>
      </c>
      <c r="E8" s="14" t="s">
        <v>13</v>
      </c>
      <c r="F8" s="11"/>
      <c r="G8" s="45" t="s">
        <v>14</v>
      </c>
      <c r="H8" s="46" t="s">
        <v>15</v>
      </c>
      <c r="I8" s="45" t="s">
        <v>16</v>
      </c>
      <c r="J8" s="45" t="s">
        <v>16</v>
      </c>
      <c r="K8" s="45" t="s">
        <v>16</v>
      </c>
    </row>
    <row r="9" spans="2:11" ht="11.25">
      <c r="B9" s="5"/>
      <c r="C9" s="5"/>
      <c r="D9" s="9"/>
      <c r="E9" s="10"/>
      <c r="G9" s="43"/>
      <c r="H9" s="44"/>
      <c r="I9" s="43"/>
      <c r="J9" s="43"/>
      <c r="K9" s="43"/>
    </row>
    <row r="10" spans="1:11" ht="11.25">
      <c r="A10" s="11" t="s">
        <v>17</v>
      </c>
      <c r="B10" s="41">
        <f>'2002 Monthly Recovery '!B10</f>
        <v>1.4063</v>
      </c>
      <c r="C10" s="41">
        <f>'2002 Monthly Recovery '!C10</f>
        <v>0.0017980000000000001</v>
      </c>
      <c r="D10" s="9">
        <v>11.3</v>
      </c>
      <c r="E10" s="10">
        <f>B10/D10</f>
        <v>0.12445132743362831</v>
      </c>
      <c r="F10" s="3" t="s">
        <v>38</v>
      </c>
      <c r="G10" s="47">
        <v>62240.41</v>
      </c>
      <c r="H10" s="50">
        <v>4495446</v>
      </c>
      <c r="I10" s="47">
        <f>E10*G10</f>
        <v>7745.901644513275</v>
      </c>
      <c r="J10" s="43">
        <f>H10*C10</f>
        <v>8082.811908000001</v>
      </c>
      <c r="K10" s="43">
        <f aca="true" t="shared" si="0" ref="K10:K21">+I10+J10</f>
        <v>15828.713552513276</v>
      </c>
    </row>
    <row r="11" spans="2:11" ht="11.25">
      <c r="B11" s="5"/>
      <c r="C11" s="5"/>
      <c r="D11" s="9"/>
      <c r="E11" s="10"/>
      <c r="F11" s="3" t="s">
        <v>39</v>
      </c>
      <c r="G11" s="47">
        <v>63104.74</v>
      </c>
      <c r="H11" s="50">
        <v>5357286</v>
      </c>
      <c r="I11" s="47">
        <f>E10*G11</f>
        <v>7853.468660353982</v>
      </c>
      <c r="J11" s="43">
        <f>H11*C10</f>
        <v>9632.400228</v>
      </c>
      <c r="K11" s="43">
        <f t="shared" si="0"/>
        <v>17485.868888353983</v>
      </c>
    </row>
    <row r="12" spans="2:11" ht="11.25">
      <c r="B12" s="5"/>
      <c r="C12" s="5"/>
      <c r="D12" s="9"/>
      <c r="E12" s="10"/>
      <c r="F12" s="3" t="s">
        <v>18</v>
      </c>
      <c r="G12" s="47">
        <v>62805.04</v>
      </c>
      <c r="H12" s="50">
        <v>4932887</v>
      </c>
      <c r="I12" s="47">
        <f>+$E$10*G12</f>
        <v>7816.170597522124</v>
      </c>
      <c r="J12" s="43">
        <f>H12*C10</f>
        <v>8869.330826000001</v>
      </c>
      <c r="K12" s="43">
        <f t="shared" si="0"/>
        <v>16685.501423522124</v>
      </c>
    </row>
    <row r="13" spans="2:11" ht="11.25">
      <c r="B13" s="5"/>
      <c r="C13" s="5"/>
      <c r="D13" s="9"/>
      <c r="E13" s="10"/>
      <c r="F13" s="3" t="s">
        <v>19</v>
      </c>
      <c r="G13" s="47">
        <v>61845.52</v>
      </c>
      <c r="H13" s="50">
        <v>3785936.34</v>
      </c>
      <c r="I13" s="47">
        <f aca="true" t="shared" si="1" ref="I13:I21">+$E$10*G13</f>
        <v>7696.757059823009</v>
      </c>
      <c r="J13" s="43">
        <f>H13*C10</f>
        <v>6807.11353932</v>
      </c>
      <c r="K13" s="43">
        <f t="shared" si="0"/>
        <v>14503.870599143009</v>
      </c>
    </row>
    <row r="14" spans="2:11" ht="11.25">
      <c r="B14" s="5"/>
      <c r="C14" s="5"/>
      <c r="D14" s="9"/>
      <c r="E14" s="10"/>
      <c r="F14" s="3" t="s">
        <v>20</v>
      </c>
      <c r="G14" s="47">
        <v>22369.93</v>
      </c>
      <c r="H14" s="50">
        <v>1371845.46</v>
      </c>
      <c r="I14" s="47">
        <f t="shared" si="1"/>
        <v>2783.967483097345</v>
      </c>
      <c r="J14" s="43">
        <f>H14*C$10</f>
        <v>2466.57813708</v>
      </c>
      <c r="K14" s="43">
        <f t="shared" si="0"/>
        <v>5250.545620177345</v>
      </c>
    </row>
    <row r="15" spans="2:11" ht="11.25">
      <c r="B15" s="5"/>
      <c r="C15" s="40"/>
      <c r="D15" s="32"/>
      <c r="E15" s="10"/>
      <c r="F15" s="3" t="s">
        <v>21</v>
      </c>
      <c r="G15" s="47">
        <v>334.12</v>
      </c>
      <c r="H15" s="50">
        <v>24287.69</v>
      </c>
      <c r="I15" s="47">
        <f t="shared" si="1"/>
        <v>41.58167752212389</v>
      </c>
      <c r="J15" s="43">
        <f>H15*C10</f>
        <v>43.66926662</v>
      </c>
      <c r="K15" s="43">
        <f t="shared" si="0"/>
        <v>85.2509441421239</v>
      </c>
    </row>
    <row r="16" spans="2:11" ht="11.25">
      <c r="B16" s="5"/>
      <c r="C16" s="40"/>
      <c r="D16" s="32"/>
      <c r="E16" s="10"/>
      <c r="F16" s="3" t="s">
        <v>22</v>
      </c>
      <c r="G16" s="47">
        <v>53.67</v>
      </c>
      <c r="H16" s="50">
        <v>3151.14</v>
      </c>
      <c r="I16" s="47">
        <f t="shared" si="1"/>
        <v>6.679302743362832</v>
      </c>
      <c r="J16" s="43">
        <f>H16*C10</f>
        <v>5.66574972</v>
      </c>
      <c r="K16" s="43">
        <f t="shared" si="0"/>
        <v>12.345052463362832</v>
      </c>
    </row>
    <row r="17" spans="2:11" ht="11.25">
      <c r="B17" s="5"/>
      <c r="C17" s="40"/>
      <c r="D17" s="32"/>
      <c r="E17" s="10"/>
      <c r="F17" s="3" t="s">
        <v>23</v>
      </c>
      <c r="G17" s="47">
        <v>100.55</v>
      </c>
      <c r="H17" s="50">
        <v>6349.2</v>
      </c>
      <c r="I17" s="47">
        <f t="shared" si="1"/>
        <v>12.513580973451326</v>
      </c>
      <c r="J17" s="43">
        <f>H17*C10</f>
        <v>11.415861600000001</v>
      </c>
      <c r="K17" s="43">
        <f t="shared" si="0"/>
        <v>23.929442573451325</v>
      </c>
    </row>
    <row r="18" spans="2:11" ht="11.25">
      <c r="B18" s="5"/>
      <c r="C18" s="40"/>
      <c r="D18" s="32"/>
      <c r="E18" s="10"/>
      <c r="F18" s="3" t="s">
        <v>24</v>
      </c>
      <c r="G18" s="47">
        <v>81.36</v>
      </c>
      <c r="H18" s="50">
        <v>3736.13</v>
      </c>
      <c r="I18" s="47">
        <f t="shared" si="1"/>
        <v>10.125359999999999</v>
      </c>
      <c r="J18" s="43">
        <f>H18*C10</f>
        <v>6.717561740000001</v>
      </c>
      <c r="K18" s="43">
        <f t="shared" si="0"/>
        <v>16.84292174</v>
      </c>
    </row>
    <row r="19" spans="2:11" ht="11.25">
      <c r="B19" s="5"/>
      <c r="C19" s="5"/>
      <c r="D19" s="9"/>
      <c r="E19" s="10"/>
      <c r="F19" s="3" t="s">
        <v>25</v>
      </c>
      <c r="G19" s="47">
        <v>0</v>
      </c>
      <c r="H19" s="50">
        <v>0</v>
      </c>
      <c r="I19" s="47">
        <f t="shared" si="1"/>
        <v>0</v>
      </c>
      <c r="J19" s="43">
        <f>H19*C10</f>
        <v>0</v>
      </c>
      <c r="K19" s="43">
        <f t="shared" si="0"/>
        <v>0</v>
      </c>
    </row>
    <row r="20" spans="2:11" ht="11.25">
      <c r="B20" s="5"/>
      <c r="C20" s="5"/>
      <c r="D20" s="9"/>
      <c r="E20" s="10"/>
      <c r="F20" s="3" t="s">
        <v>26</v>
      </c>
      <c r="G20" s="47">
        <v>0</v>
      </c>
      <c r="H20" s="50">
        <v>0</v>
      </c>
      <c r="I20" s="47">
        <f t="shared" si="1"/>
        <v>0</v>
      </c>
      <c r="J20" s="43">
        <f>H20*C10</f>
        <v>0</v>
      </c>
      <c r="K20" s="43">
        <f t="shared" si="0"/>
        <v>0</v>
      </c>
    </row>
    <row r="21" spans="2:11" ht="11.25">
      <c r="B21" s="5"/>
      <c r="C21" s="5"/>
      <c r="D21" s="9"/>
      <c r="E21" s="10"/>
      <c r="F21" s="3" t="s">
        <v>27</v>
      </c>
      <c r="G21" s="47">
        <v>0</v>
      </c>
      <c r="H21" s="50">
        <v>0</v>
      </c>
      <c r="I21" s="47">
        <f t="shared" si="1"/>
        <v>0</v>
      </c>
      <c r="J21" s="43">
        <f>H21*C10</f>
        <v>0</v>
      </c>
      <c r="K21" s="43">
        <f t="shared" si="0"/>
        <v>0</v>
      </c>
    </row>
    <row r="22" spans="2:11" ht="11.25">
      <c r="B22" s="5"/>
      <c r="C22" s="5"/>
      <c r="D22" s="9"/>
      <c r="E22" s="10"/>
      <c r="G22" s="47"/>
      <c r="H22" s="50"/>
      <c r="I22" s="47"/>
      <c r="J22" s="43"/>
      <c r="K22" s="43"/>
    </row>
    <row r="23" spans="1:11" ht="11.25">
      <c r="A23" s="11" t="s">
        <v>28</v>
      </c>
      <c r="B23" s="41">
        <f>'2002 Monthly Recovery '!B21</f>
        <v>1.3187</v>
      </c>
      <c r="C23" s="41">
        <f>'2002 Monthly Recovery '!C21</f>
        <v>0.00099</v>
      </c>
      <c r="D23" s="9">
        <v>12.24</v>
      </c>
      <c r="E23" s="10">
        <f>B23/D23</f>
        <v>0.10773692810457516</v>
      </c>
      <c r="F23" s="3" t="s">
        <v>40</v>
      </c>
      <c r="G23" s="47">
        <v>8896.47</v>
      </c>
      <c r="H23" s="50">
        <v>2277603.4</v>
      </c>
      <c r="I23" s="47">
        <f>E23*G23</f>
        <v>958.4783487745098</v>
      </c>
      <c r="J23" s="43">
        <f>H23*C23</f>
        <v>2254.827366</v>
      </c>
      <c r="K23" s="43">
        <f aca="true" t="shared" si="2" ref="K23:K34">+I23+J23</f>
        <v>3213.30571477451</v>
      </c>
    </row>
    <row r="24" spans="2:11" ht="11.25">
      <c r="B24" s="5"/>
      <c r="C24" s="5"/>
      <c r="D24" s="9"/>
      <c r="E24" s="10"/>
      <c r="F24" s="3" t="s">
        <v>39</v>
      </c>
      <c r="G24" s="47">
        <v>8937.16</v>
      </c>
      <c r="H24" s="50">
        <v>2451812.34</v>
      </c>
      <c r="I24" s="47">
        <f>E23*G24</f>
        <v>962.8621643790849</v>
      </c>
      <c r="J24" s="43">
        <f>H24*C23</f>
        <v>2427.2942166</v>
      </c>
      <c r="K24" s="43">
        <f t="shared" si="2"/>
        <v>3390.1563809790846</v>
      </c>
    </row>
    <row r="25" spans="2:11" ht="11.25">
      <c r="B25" s="5"/>
      <c r="C25" s="5"/>
      <c r="D25" s="9"/>
      <c r="E25" s="10"/>
      <c r="F25" s="3" t="s">
        <v>18</v>
      </c>
      <c r="G25" s="47">
        <v>8943.16</v>
      </c>
      <c r="H25" s="50">
        <v>2405948.76</v>
      </c>
      <c r="I25" s="47">
        <f>+$E$23*G25</f>
        <v>963.5085859477124</v>
      </c>
      <c r="J25" s="43">
        <f>H25*C23</f>
        <v>2381.8892723999998</v>
      </c>
      <c r="K25" s="43">
        <f t="shared" si="2"/>
        <v>3345.397858347712</v>
      </c>
    </row>
    <row r="26" spans="2:11" ht="11.25">
      <c r="B26" s="5"/>
      <c r="C26" s="5"/>
      <c r="D26" s="9"/>
      <c r="E26" s="10"/>
      <c r="F26" s="3" t="s">
        <v>19</v>
      </c>
      <c r="G26" s="47">
        <v>8294.8</v>
      </c>
      <c r="H26" s="50">
        <v>1959586.63</v>
      </c>
      <c r="I26" s="47">
        <f aca="true" t="shared" si="3" ref="I26:I34">+$E$23*G26</f>
        <v>893.65627124183</v>
      </c>
      <c r="J26" s="43">
        <f>H26*C23</f>
        <v>1939.9907637</v>
      </c>
      <c r="K26" s="43">
        <f t="shared" si="2"/>
        <v>2833.64703494183</v>
      </c>
    </row>
    <row r="27" spans="2:11" ht="11.25">
      <c r="B27" s="5"/>
      <c r="C27" s="5"/>
      <c r="D27" s="9"/>
      <c r="E27" s="10"/>
      <c r="F27" s="3" t="s">
        <v>20</v>
      </c>
      <c r="G27" s="47">
        <v>2903.92</v>
      </c>
      <c r="H27" s="50">
        <v>604598</v>
      </c>
      <c r="I27" s="47">
        <f t="shared" si="3"/>
        <v>312.8594202614379</v>
      </c>
      <c r="J27" s="43">
        <f>H27*C23</f>
        <v>598.55202</v>
      </c>
      <c r="K27" s="43">
        <f t="shared" si="2"/>
        <v>911.4114402614379</v>
      </c>
    </row>
    <row r="28" spans="2:11" ht="11.25">
      <c r="B28" s="5"/>
      <c r="C28" s="27"/>
      <c r="D28" s="24"/>
      <c r="E28" s="10"/>
      <c r="F28" s="3" t="s">
        <v>21</v>
      </c>
      <c r="G28" s="47">
        <v>223.83</v>
      </c>
      <c r="H28" s="50">
        <v>95006.59</v>
      </c>
      <c r="I28" s="47">
        <f t="shared" si="3"/>
        <v>24.11475661764706</v>
      </c>
      <c r="J28" s="43">
        <f>H28*C23</f>
        <v>94.05652409999999</v>
      </c>
      <c r="K28" s="43">
        <f t="shared" si="2"/>
        <v>118.17128071764705</v>
      </c>
    </row>
    <row r="29" spans="2:11" ht="11.25">
      <c r="B29" s="5"/>
      <c r="C29" s="27"/>
      <c r="D29" s="32"/>
      <c r="E29" s="10"/>
      <c r="F29" s="3" t="s">
        <v>22</v>
      </c>
      <c r="G29" s="47">
        <v>52.23</v>
      </c>
      <c r="H29" s="50">
        <v>14185.9</v>
      </c>
      <c r="I29" s="47">
        <f t="shared" si="3"/>
        <v>5.627099754901961</v>
      </c>
      <c r="J29" s="43">
        <f>H29*C23</f>
        <v>14.044041</v>
      </c>
      <c r="K29" s="43">
        <f t="shared" si="2"/>
        <v>19.671140754901963</v>
      </c>
    </row>
    <row r="30" spans="2:11" ht="11.25">
      <c r="B30" s="5"/>
      <c r="C30" s="27"/>
      <c r="D30" s="32"/>
      <c r="E30" s="10"/>
      <c r="F30" s="3" t="s">
        <v>23</v>
      </c>
      <c r="G30" s="47">
        <v>23.25</v>
      </c>
      <c r="H30" s="50">
        <v>2813.88</v>
      </c>
      <c r="I30" s="47">
        <f t="shared" si="3"/>
        <v>2.5048835784313725</v>
      </c>
      <c r="J30" s="43">
        <f>H30*C23</f>
        <v>2.7857412</v>
      </c>
      <c r="K30" s="43">
        <f t="shared" si="2"/>
        <v>5.290624778431372</v>
      </c>
    </row>
    <row r="31" spans="2:11" ht="11.25">
      <c r="B31" s="5"/>
      <c r="C31" s="27"/>
      <c r="D31" s="24"/>
      <c r="E31" s="10"/>
      <c r="F31" s="3" t="s">
        <v>24</v>
      </c>
      <c r="G31" s="47">
        <v>0</v>
      </c>
      <c r="H31" s="50">
        <v>0</v>
      </c>
      <c r="I31" s="47">
        <f t="shared" si="3"/>
        <v>0</v>
      </c>
      <c r="J31" s="43">
        <f>H31*C23</f>
        <v>0</v>
      </c>
      <c r="K31" s="43">
        <f t="shared" si="2"/>
        <v>0</v>
      </c>
    </row>
    <row r="32" spans="2:11" ht="11.25">
      <c r="B32" s="5"/>
      <c r="C32" s="5"/>
      <c r="D32" s="9"/>
      <c r="E32" s="10"/>
      <c r="F32" s="3" t="s">
        <v>25</v>
      </c>
      <c r="G32" s="47">
        <v>0</v>
      </c>
      <c r="H32" s="50">
        <v>0</v>
      </c>
      <c r="I32" s="47">
        <f t="shared" si="3"/>
        <v>0</v>
      </c>
      <c r="J32" s="43">
        <f>H32*C23</f>
        <v>0</v>
      </c>
      <c r="K32" s="43">
        <f t="shared" si="2"/>
        <v>0</v>
      </c>
    </row>
    <row r="33" spans="2:11" ht="11.25">
      <c r="B33" s="5"/>
      <c r="C33" s="5"/>
      <c r="D33" s="9"/>
      <c r="E33" s="10"/>
      <c r="F33" s="3" t="s">
        <v>26</v>
      </c>
      <c r="G33" s="47">
        <v>0</v>
      </c>
      <c r="H33" s="50">
        <v>0</v>
      </c>
      <c r="I33" s="47">
        <f t="shared" si="3"/>
        <v>0</v>
      </c>
      <c r="J33" s="43">
        <f>H33*C23</f>
        <v>0</v>
      </c>
      <c r="K33" s="43">
        <f t="shared" si="2"/>
        <v>0</v>
      </c>
    </row>
    <row r="34" spans="2:11" ht="11.25">
      <c r="B34" s="5"/>
      <c r="C34" s="5"/>
      <c r="D34" s="9"/>
      <c r="E34" s="10"/>
      <c r="F34" s="3" t="s">
        <v>27</v>
      </c>
      <c r="G34" s="47">
        <v>0</v>
      </c>
      <c r="H34" s="50">
        <v>0</v>
      </c>
      <c r="I34" s="47">
        <f t="shared" si="3"/>
        <v>0</v>
      </c>
      <c r="J34" s="43">
        <f>H34*C23</f>
        <v>0</v>
      </c>
      <c r="K34" s="43">
        <f t="shared" si="2"/>
        <v>0</v>
      </c>
    </row>
    <row r="35" spans="2:11" ht="11.25">
      <c r="B35" s="5"/>
      <c r="C35" s="5"/>
      <c r="D35" s="9"/>
      <c r="E35" s="10"/>
      <c r="G35" s="47"/>
      <c r="H35" s="50"/>
      <c r="I35" s="47"/>
      <c r="J35" s="43"/>
      <c r="K35" s="43"/>
    </row>
    <row r="36" spans="1:11" ht="11.25">
      <c r="A36" s="11" t="s">
        <v>30</v>
      </c>
      <c r="B36" s="41">
        <f>'2002 Monthly Recovery '!B32</f>
        <v>2.1628</v>
      </c>
      <c r="C36" s="41">
        <f>'2002 Monthly Recovery '!C32</f>
        <v>0.274346</v>
      </c>
      <c r="D36" s="9">
        <v>14.47</v>
      </c>
      <c r="E36" s="10">
        <f>B36/D36</f>
        <v>0.1494678645473393</v>
      </c>
      <c r="F36" s="3" t="s">
        <v>40</v>
      </c>
      <c r="G36" s="47">
        <v>1720.39</v>
      </c>
      <c r="H36" s="50">
        <v>32018.65</v>
      </c>
      <c r="I36" s="47">
        <f>E36*G36</f>
        <v>257.1430194885971</v>
      </c>
      <c r="J36" s="43">
        <f>H36*C36</f>
        <v>8784.1885529</v>
      </c>
      <c r="K36" s="43">
        <f aca="true" t="shared" si="4" ref="K36:K47">+I36+J36</f>
        <v>9041.331572388597</v>
      </c>
    </row>
    <row r="37" spans="2:11" ht="11.25">
      <c r="B37" s="5"/>
      <c r="C37" s="5"/>
      <c r="D37" s="9"/>
      <c r="E37" s="10"/>
      <c r="F37" s="3" t="s">
        <v>39</v>
      </c>
      <c r="G37" s="47">
        <v>1929.62</v>
      </c>
      <c r="H37" s="50">
        <v>32160.5</v>
      </c>
      <c r="I37" s="47">
        <f>E36*G37</f>
        <v>288.4161807878368</v>
      </c>
      <c r="J37" s="43">
        <f>H37*C36</f>
        <v>8823.104533</v>
      </c>
      <c r="K37" s="43">
        <f t="shared" si="4"/>
        <v>9111.520713787837</v>
      </c>
    </row>
    <row r="38" spans="2:11" ht="11.25">
      <c r="B38" s="5"/>
      <c r="C38" s="5"/>
      <c r="D38" s="9"/>
      <c r="E38" s="10"/>
      <c r="F38" s="3" t="s">
        <v>18</v>
      </c>
      <c r="G38" s="47">
        <v>1512.95</v>
      </c>
      <c r="H38" s="50">
        <v>29399.65</v>
      </c>
      <c r="I38" s="47">
        <f aca="true" t="shared" si="5" ref="I38:I47">$E$36*G38</f>
        <v>226.137405666897</v>
      </c>
      <c r="J38" s="43">
        <f>H38*C36</f>
        <v>8065.6763789</v>
      </c>
      <c r="K38" s="43">
        <f t="shared" si="4"/>
        <v>8291.813784566897</v>
      </c>
    </row>
    <row r="39" spans="2:11" ht="11.25">
      <c r="B39" s="5"/>
      <c r="C39" s="5"/>
      <c r="D39" s="9"/>
      <c r="E39" s="10"/>
      <c r="F39" s="3" t="s">
        <v>19</v>
      </c>
      <c r="G39" s="47">
        <v>1385.06</v>
      </c>
      <c r="H39" s="50">
        <v>29971.09</v>
      </c>
      <c r="I39" s="47">
        <f t="shared" si="5"/>
        <v>207.02196046993774</v>
      </c>
      <c r="J39" s="43">
        <f>H39*C36</f>
        <v>8222.44865714</v>
      </c>
      <c r="K39" s="43">
        <f t="shared" si="4"/>
        <v>8429.470617609937</v>
      </c>
    </row>
    <row r="40" spans="2:11" ht="11.25">
      <c r="B40" s="5"/>
      <c r="C40" s="5"/>
      <c r="D40" s="9"/>
      <c r="E40" s="10"/>
      <c r="F40" s="3" t="s">
        <v>20</v>
      </c>
      <c r="G40" s="47">
        <v>312.85</v>
      </c>
      <c r="H40" s="50">
        <v>1680.22</v>
      </c>
      <c r="I40" s="47">
        <f t="shared" si="5"/>
        <v>46.7610214236351</v>
      </c>
      <c r="J40" s="43">
        <f>H40*C36</f>
        <v>460.96163612</v>
      </c>
      <c r="K40" s="43">
        <f t="shared" si="4"/>
        <v>507.7226575436351</v>
      </c>
    </row>
    <row r="41" spans="2:11" ht="11.25">
      <c r="B41" s="5"/>
      <c r="C41" s="5"/>
      <c r="D41" s="9"/>
      <c r="E41" s="10"/>
      <c r="F41" s="3" t="s">
        <v>21</v>
      </c>
      <c r="G41" s="47">
        <v>57.88</v>
      </c>
      <c r="H41" s="50">
        <v>2766.23</v>
      </c>
      <c r="I41" s="47">
        <f t="shared" si="5"/>
        <v>8.6512</v>
      </c>
      <c r="J41" s="43">
        <f>H41*C36</f>
        <v>758.90413558</v>
      </c>
      <c r="K41" s="43">
        <f t="shared" si="4"/>
        <v>767.55533558</v>
      </c>
    </row>
    <row r="42" spans="2:11" ht="11.25">
      <c r="B42" s="5"/>
      <c r="C42" s="40"/>
      <c r="D42" s="32"/>
      <c r="E42" s="10"/>
      <c r="F42" s="3" t="s">
        <v>22</v>
      </c>
      <c r="G42" s="47">
        <v>330.63</v>
      </c>
      <c r="H42" s="50">
        <v>3867.36</v>
      </c>
      <c r="I42" s="47">
        <f t="shared" si="5"/>
        <v>49.41856005528679</v>
      </c>
      <c r="J42" s="43">
        <f>H42*C36</f>
        <v>1060.9947465599998</v>
      </c>
      <c r="K42" s="43">
        <f t="shared" si="4"/>
        <v>1110.4133066152867</v>
      </c>
    </row>
    <row r="43" spans="2:11" ht="11.25">
      <c r="B43" s="5"/>
      <c r="C43" s="40"/>
      <c r="D43" s="32"/>
      <c r="E43" s="10"/>
      <c r="F43" s="3" t="s">
        <v>23</v>
      </c>
      <c r="G43" s="47">
        <v>72.35</v>
      </c>
      <c r="H43" s="50">
        <v>1106.35</v>
      </c>
      <c r="I43" s="47">
        <f t="shared" si="5"/>
        <v>10.813999999999997</v>
      </c>
      <c r="J43" s="43">
        <f>H43*C36</f>
        <v>303.52269709999996</v>
      </c>
      <c r="K43" s="43">
        <f t="shared" si="4"/>
        <v>314.3366971</v>
      </c>
    </row>
    <row r="44" spans="2:11" ht="11.25">
      <c r="B44" s="5"/>
      <c r="C44" s="5"/>
      <c r="D44" s="9"/>
      <c r="E44" s="10"/>
      <c r="F44" s="3" t="s">
        <v>24</v>
      </c>
      <c r="G44" s="47">
        <v>87.79</v>
      </c>
      <c r="H44" s="50">
        <v>0</v>
      </c>
      <c r="I44" s="47">
        <f t="shared" si="5"/>
        <v>13.121783828610917</v>
      </c>
      <c r="J44" s="43">
        <f>H44*C36</f>
        <v>0</v>
      </c>
      <c r="K44" s="43">
        <f t="shared" si="4"/>
        <v>13.121783828610917</v>
      </c>
    </row>
    <row r="45" spans="2:11" ht="11.25">
      <c r="B45" s="5"/>
      <c r="C45" s="5"/>
      <c r="D45" s="9"/>
      <c r="E45" s="10"/>
      <c r="F45" s="3" t="s">
        <v>25</v>
      </c>
      <c r="G45" s="47">
        <v>0</v>
      </c>
      <c r="H45" s="50">
        <v>0</v>
      </c>
      <c r="I45" s="47">
        <f t="shared" si="5"/>
        <v>0</v>
      </c>
      <c r="J45" s="43">
        <f>H45*C36</f>
        <v>0</v>
      </c>
      <c r="K45" s="43">
        <f t="shared" si="4"/>
        <v>0</v>
      </c>
    </row>
    <row r="46" spans="2:11" ht="11.25">
      <c r="B46" s="5"/>
      <c r="C46" s="5"/>
      <c r="D46" s="9"/>
      <c r="E46" s="10"/>
      <c r="F46" s="3" t="s">
        <v>26</v>
      </c>
      <c r="G46" s="47">
        <v>0</v>
      </c>
      <c r="H46" s="50">
        <v>0</v>
      </c>
      <c r="I46" s="47">
        <f t="shared" si="5"/>
        <v>0</v>
      </c>
      <c r="J46" s="43">
        <f>H46*C36</f>
        <v>0</v>
      </c>
      <c r="K46" s="43">
        <f t="shared" si="4"/>
        <v>0</v>
      </c>
    </row>
    <row r="47" spans="2:11" ht="11.25">
      <c r="B47" s="5"/>
      <c r="C47" s="5"/>
      <c r="D47" s="9"/>
      <c r="E47" s="10"/>
      <c r="F47" s="3" t="s">
        <v>27</v>
      </c>
      <c r="G47" s="47">
        <v>0</v>
      </c>
      <c r="H47" s="50">
        <v>0</v>
      </c>
      <c r="I47" s="47">
        <f t="shared" si="5"/>
        <v>0</v>
      </c>
      <c r="J47" s="43">
        <f>H47*C36</f>
        <v>0</v>
      </c>
      <c r="K47" s="43">
        <f t="shared" si="4"/>
        <v>0</v>
      </c>
    </row>
    <row r="48" spans="2:11" ht="11.25">
      <c r="B48" s="5"/>
      <c r="C48" s="5"/>
      <c r="D48" s="9"/>
      <c r="E48" s="10"/>
      <c r="G48" s="47"/>
      <c r="H48" s="50"/>
      <c r="I48" s="47"/>
      <c r="J48" s="43"/>
      <c r="K48" s="43"/>
    </row>
    <row r="49" spans="2:11" ht="11.25">
      <c r="B49" s="5"/>
      <c r="C49" s="5"/>
      <c r="D49" s="9"/>
      <c r="E49" s="10"/>
      <c r="G49" s="47"/>
      <c r="H49" s="50"/>
      <c r="I49" s="47"/>
      <c r="J49" s="43"/>
      <c r="K49" s="43"/>
    </row>
    <row r="50" spans="1:11" ht="11.25">
      <c r="A50" s="4" t="s">
        <v>51</v>
      </c>
      <c r="C50" s="5"/>
      <c r="D50" s="103" t="s">
        <v>53</v>
      </c>
      <c r="E50" s="103"/>
      <c r="F50" s="103"/>
      <c r="G50" s="103"/>
      <c r="H50" s="103"/>
      <c r="I50" s="47"/>
      <c r="J50" s="43"/>
      <c r="K50" s="43"/>
    </row>
    <row r="51" spans="2:11" ht="11.25">
      <c r="B51" s="5"/>
      <c r="C51" s="5"/>
      <c r="D51" s="103" t="s">
        <v>55</v>
      </c>
      <c r="E51" s="103"/>
      <c r="F51" s="103"/>
      <c r="G51" s="103"/>
      <c r="H51" s="103"/>
      <c r="I51" s="47"/>
      <c r="J51" s="43"/>
      <c r="K51" s="43"/>
    </row>
    <row r="52" spans="2:11" ht="11.25">
      <c r="B52" s="5"/>
      <c r="C52" s="5"/>
      <c r="D52" s="103" t="s">
        <v>43</v>
      </c>
      <c r="E52" s="104"/>
      <c r="F52" s="104"/>
      <c r="G52" s="104"/>
      <c r="H52" s="104"/>
      <c r="I52" s="47"/>
      <c r="J52" s="43"/>
      <c r="K52" s="43"/>
    </row>
    <row r="53" spans="2:11" ht="11.25">
      <c r="B53" s="5"/>
      <c r="C53" s="5"/>
      <c r="D53" s="9"/>
      <c r="E53" s="10"/>
      <c r="G53" s="47"/>
      <c r="H53" s="50"/>
      <c r="I53" s="47"/>
      <c r="J53" s="43"/>
      <c r="K53" s="43"/>
    </row>
    <row r="54" spans="1:11" ht="11.25">
      <c r="A54" s="4" t="s">
        <v>54</v>
      </c>
      <c r="B54" s="5"/>
      <c r="C54" s="5"/>
      <c r="D54" s="9"/>
      <c r="E54" s="10"/>
      <c r="G54" s="47"/>
      <c r="H54" s="50"/>
      <c r="I54" s="47"/>
      <c r="J54" s="43"/>
      <c r="K54" s="43"/>
    </row>
    <row r="55" spans="2:11" ht="11.25">
      <c r="B55" s="5"/>
      <c r="C55" s="5"/>
      <c r="D55" s="9"/>
      <c r="E55" s="10"/>
      <c r="G55" s="47"/>
      <c r="H55" s="50"/>
      <c r="I55" s="47"/>
      <c r="J55" s="43"/>
      <c r="K55" s="43"/>
    </row>
    <row r="56" spans="1:11" ht="11.25">
      <c r="A56" s="4" t="s">
        <v>0</v>
      </c>
      <c r="B56" s="18" t="s">
        <v>1</v>
      </c>
      <c r="C56" s="18" t="s">
        <v>2</v>
      </c>
      <c r="D56" s="19" t="s">
        <v>3</v>
      </c>
      <c r="E56" s="6" t="s">
        <v>4</v>
      </c>
      <c r="F56" s="4" t="s">
        <v>5</v>
      </c>
      <c r="G56" s="51" t="s">
        <v>3</v>
      </c>
      <c r="H56" s="52" t="s">
        <v>6</v>
      </c>
      <c r="I56" s="51" t="s">
        <v>7</v>
      </c>
      <c r="J56" s="48" t="s">
        <v>8</v>
      </c>
      <c r="K56" s="48" t="s">
        <v>9</v>
      </c>
    </row>
    <row r="57" spans="1:11" ht="11.25">
      <c r="A57" s="4"/>
      <c r="B57" s="18" t="s">
        <v>10</v>
      </c>
      <c r="C57" s="18" t="s">
        <v>11</v>
      </c>
      <c r="D57" s="19" t="s">
        <v>12</v>
      </c>
      <c r="E57" s="6" t="s">
        <v>13</v>
      </c>
      <c r="F57" s="4"/>
      <c r="G57" s="51" t="s">
        <v>14</v>
      </c>
      <c r="H57" s="52" t="s">
        <v>29</v>
      </c>
      <c r="I57" s="51" t="s">
        <v>16</v>
      </c>
      <c r="J57" s="48" t="s">
        <v>16</v>
      </c>
      <c r="K57" s="48" t="s">
        <v>16</v>
      </c>
    </row>
    <row r="58" spans="2:11" ht="11.25">
      <c r="B58" s="5"/>
      <c r="C58" s="5"/>
      <c r="D58" s="9"/>
      <c r="E58" s="10"/>
      <c r="G58" s="47"/>
      <c r="H58" s="50"/>
      <c r="I58" s="47"/>
      <c r="J58" s="43"/>
      <c r="K58" s="43"/>
    </row>
    <row r="59" spans="2:11" ht="11.25">
      <c r="B59" s="5"/>
      <c r="C59" s="5"/>
      <c r="D59" s="9"/>
      <c r="E59" s="10"/>
      <c r="G59" s="47"/>
      <c r="H59" s="50"/>
      <c r="I59" s="47"/>
      <c r="J59" s="43"/>
      <c r="K59" s="43"/>
    </row>
    <row r="60" spans="1:11" ht="11.25">
      <c r="A60" s="11" t="s">
        <v>31</v>
      </c>
      <c r="B60" s="41">
        <f>'2002 Monthly Recovery '!B58</f>
        <v>0.1851</v>
      </c>
      <c r="C60" s="41">
        <f>'2002 Monthly Recovery '!C58</f>
        <v>0.169036</v>
      </c>
      <c r="D60" s="9">
        <v>1.4</v>
      </c>
      <c r="E60" s="10">
        <f>B60/D60</f>
        <v>0.1322142857142857</v>
      </c>
      <c r="F60" s="3" t="s">
        <v>40</v>
      </c>
      <c r="G60" s="47">
        <v>50.28</v>
      </c>
      <c r="H60" s="50">
        <v>8.46</v>
      </c>
      <c r="I60" s="47">
        <f>G60*E$60</f>
        <v>6.647734285714285</v>
      </c>
      <c r="J60" s="43">
        <f>H60*C$60</f>
        <v>1.43004456</v>
      </c>
      <c r="K60" s="43">
        <f>SUM(I60:J60)</f>
        <v>8.077778845714285</v>
      </c>
    </row>
    <row r="61" spans="1:11" ht="11.25">
      <c r="A61" s="11" t="s">
        <v>32</v>
      </c>
      <c r="B61" s="5"/>
      <c r="C61" s="5"/>
      <c r="D61" s="9"/>
      <c r="E61" s="10"/>
      <c r="F61" s="3" t="s">
        <v>39</v>
      </c>
      <c r="G61" s="47">
        <v>47.8</v>
      </c>
      <c r="H61" s="50">
        <v>8.55</v>
      </c>
      <c r="I61" s="47">
        <f>G61*E$60</f>
        <v>6.319842857142856</v>
      </c>
      <c r="J61" s="43">
        <f>H61*C$60</f>
        <v>1.4452578</v>
      </c>
      <c r="K61" s="43">
        <f>SUM(I61:J61)</f>
        <v>7.765100657142856</v>
      </c>
    </row>
    <row r="62" spans="2:11" ht="11.25">
      <c r="B62" s="5"/>
      <c r="C62" s="5"/>
      <c r="D62" s="9"/>
      <c r="E62" s="10"/>
      <c r="F62" s="3" t="s">
        <v>18</v>
      </c>
      <c r="G62" s="47">
        <v>50.8</v>
      </c>
      <c r="H62" s="50">
        <v>8.13</v>
      </c>
      <c r="I62" s="47">
        <f>G62*$E$60</f>
        <v>6.716485714285713</v>
      </c>
      <c r="J62" s="43">
        <f>H62*C$60</f>
        <v>1.37426268</v>
      </c>
      <c r="K62" s="43">
        <f>SUM(I62:J62)</f>
        <v>8.090748394285713</v>
      </c>
    </row>
    <row r="63" spans="2:11" ht="11.25">
      <c r="B63" s="5"/>
      <c r="C63" s="5"/>
      <c r="D63" s="9"/>
      <c r="E63" s="10"/>
      <c r="F63" s="3" t="s">
        <v>19</v>
      </c>
      <c r="G63" s="47">
        <v>45.54</v>
      </c>
      <c r="H63" s="50">
        <v>7.31</v>
      </c>
      <c r="I63" s="47">
        <f aca="true" t="shared" si="6" ref="I63:I71">G63*$E$60</f>
        <v>6.021038571428571</v>
      </c>
      <c r="J63" s="43">
        <f>H63*C$60</f>
        <v>1.2356531599999998</v>
      </c>
      <c r="K63" s="43">
        <f>SUM(I63:J63)</f>
        <v>7.256691731428571</v>
      </c>
    </row>
    <row r="64" spans="2:11" ht="11.25">
      <c r="B64" s="5"/>
      <c r="C64" s="5"/>
      <c r="D64" s="9"/>
      <c r="E64" s="10"/>
      <c r="F64" s="3" t="s">
        <v>20</v>
      </c>
      <c r="G64" s="47">
        <v>1.26</v>
      </c>
      <c r="H64" s="50">
        <v>0.28</v>
      </c>
      <c r="I64" s="47">
        <f t="shared" si="6"/>
        <v>0.16659</v>
      </c>
      <c r="J64" s="43">
        <f>H64*C$60</f>
        <v>0.047330080000000004</v>
      </c>
      <c r="K64" s="43">
        <f>SUM(I64:J64)</f>
        <v>0.21392007999999998</v>
      </c>
    </row>
    <row r="65" spans="2:11" ht="11.25">
      <c r="B65" s="5"/>
      <c r="C65" s="5"/>
      <c r="D65" s="9"/>
      <c r="E65" s="10"/>
      <c r="F65" s="3" t="s">
        <v>21</v>
      </c>
      <c r="G65" s="47"/>
      <c r="H65" s="50"/>
      <c r="I65" s="47">
        <f t="shared" si="6"/>
        <v>0</v>
      </c>
      <c r="J65" s="43"/>
      <c r="K65" s="43"/>
    </row>
    <row r="66" spans="2:11" ht="11.25">
      <c r="B66" s="5"/>
      <c r="C66" s="40"/>
      <c r="D66" s="32"/>
      <c r="E66" s="10"/>
      <c r="F66" s="3" t="s">
        <v>22</v>
      </c>
      <c r="G66" s="47"/>
      <c r="H66" s="50"/>
      <c r="I66" s="47">
        <f t="shared" si="6"/>
        <v>0</v>
      </c>
      <c r="J66" s="43"/>
      <c r="K66" s="43"/>
    </row>
    <row r="67" spans="2:11" ht="11.25">
      <c r="B67" s="5"/>
      <c r="C67" s="40"/>
      <c r="D67" s="32"/>
      <c r="E67" s="10"/>
      <c r="F67" s="3" t="s">
        <v>23</v>
      </c>
      <c r="G67" s="47"/>
      <c r="H67" s="50"/>
      <c r="I67" s="47">
        <f t="shared" si="6"/>
        <v>0</v>
      </c>
      <c r="J67" s="43"/>
      <c r="K67" s="43"/>
    </row>
    <row r="68" spans="2:11" ht="11.25">
      <c r="B68" s="5"/>
      <c r="C68" s="40"/>
      <c r="D68" s="32"/>
      <c r="E68" s="10"/>
      <c r="F68" s="3" t="s">
        <v>24</v>
      </c>
      <c r="G68" s="47"/>
      <c r="H68" s="50"/>
      <c r="I68" s="47">
        <f t="shared" si="6"/>
        <v>0</v>
      </c>
      <c r="J68" s="43"/>
      <c r="K68" s="43"/>
    </row>
    <row r="69" spans="2:11" ht="11.25">
      <c r="B69" s="5"/>
      <c r="C69" s="5"/>
      <c r="D69" s="9"/>
      <c r="E69" s="10"/>
      <c r="F69" s="3" t="s">
        <v>25</v>
      </c>
      <c r="G69" s="47"/>
      <c r="H69" s="50"/>
      <c r="I69" s="47">
        <f t="shared" si="6"/>
        <v>0</v>
      </c>
      <c r="J69" s="43"/>
      <c r="K69" s="43"/>
    </row>
    <row r="70" spans="2:11" ht="11.25">
      <c r="B70" s="5"/>
      <c r="C70" s="5"/>
      <c r="D70" s="9"/>
      <c r="E70" s="10"/>
      <c r="F70" s="3" t="s">
        <v>26</v>
      </c>
      <c r="G70" s="47"/>
      <c r="H70" s="50"/>
      <c r="I70" s="47">
        <f t="shared" si="6"/>
        <v>0</v>
      </c>
      <c r="J70" s="43"/>
      <c r="K70" s="43"/>
    </row>
    <row r="71" spans="2:11" ht="11.25">
      <c r="B71" s="5"/>
      <c r="C71" s="5"/>
      <c r="D71" s="9"/>
      <c r="E71" s="10"/>
      <c r="F71" s="3" t="s">
        <v>27</v>
      </c>
      <c r="G71" s="47">
        <v>0</v>
      </c>
      <c r="H71" s="50">
        <v>0</v>
      </c>
      <c r="I71" s="47">
        <f t="shared" si="6"/>
        <v>0</v>
      </c>
      <c r="J71" s="43">
        <f>H71*C$60</f>
        <v>0</v>
      </c>
      <c r="K71" s="43">
        <f>SUM(I71:J71)</f>
        <v>0</v>
      </c>
    </row>
    <row r="72" spans="1:11" ht="11.25">
      <c r="A72" s="4"/>
      <c r="B72" s="18"/>
      <c r="C72" s="18"/>
      <c r="D72" s="19"/>
      <c r="E72" s="6"/>
      <c r="F72" s="4"/>
      <c r="G72" s="51"/>
      <c r="H72" s="52"/>
      <c r="I72" s="51"/>
      <c r="J72" s="48"/>
      <c r="K72" s="48"/>
    </row>
    <row r="73" spans="1:11" ht="11.25">
      <c r="A73" s="4" t="s">
        <v>33</v>
      </c>
      <c r="B73" s="41">
        <f>'2002 Monthly Recovery '!B69</f>
        <v>0.1056</v>
      </c>
      <c r="C73" s="41">
        <f>'2002 Monthly Recovery '!C69</f>
        <v>0.141198</v>
      </c>
      <c r="D73" s="9">
        <v>0.97</v>
      </c>
      <c r="E73" s="10">
        <f>B73/D73</f>
        <v>0.1088659793814433</v>
      </c>
      <c r="F73" s="3" t="s">
        <v>40</v>
      </c>
      <c r="G73" s="47">
        <v>1248.52</v>
      </c>
      <c r="H73" s="50">
        <v>245.64</v>
      </c>
      <c r="I73" s="47">
        <f>E73*G73</f>
        <v>135.92135257731957</v>
      </c>
      <c r="J73" s="43">
        <f>H73*C73</f>
        <v>34.683876719999994</v>
      </c>
      <c r="K73" s="43">
        <f>SUM(I73:J73)</f>
        <v>170.60522929731957</v>
      </c>
    </row>
    <row r="74" spans="1:11" ht="11.25">
      <c r="A74" s="4" t="s">
        <v>34</v>
      </c>
      <c r="B74" s="5"/>
      <c r="C74" s="5"/>
      <c r="D74" s="9"/>
      <c r="E74" s="10"/>
      <c r="F74" s="3" t="s">
        <v>39</v>
      </c>
      <c r="G74" s="47">
        <v>2486.12</v>
      </c>
      <c r="H74" s="50">
        <v>509.56</v>
      </c>
      <c r="I74" s="47">
        <f>E73*G74</f>
        <v>270.6538886597938</v>
      </c>
      <c r="J74" s="43">
        <f>H74*C73</f>
        <v>71.94885287999999</v>
      </c>
      <c r="K74" s="43">
        <f aca="true" t="shared" si="7" ref="K74:K84">+I74+J74</f>
        <v>342.6027415397938</v>
      </c>
    </row>
    <row r="75" spans="2:11" ht="11.25">
      <c r="B75" s="5"/>
      <c r="C75" s="5"/>
      <c r="D75" s="9"/>
      <c r="E75" s="10"/>
      <c r="F75" s="3" t="s">
        <v>18</v>
      </c>
      <c r="G75" s="47">
        <v>1249.24</v>
      </c>
      <c r="H75" s="50">
        <v>256.64</v>
      </c>
      <c r="I75" s="47">
        <f>+E73*G75</f>
        <v>135.99973608247421</v>
      </c>
      <c r="J75" s="43">
        <f>H75*C73</f>
        <v>36.237054719999996</v>
      </c>
      <c r="K75" s="43">
        <f t="shared" si="7"/>
        <v>172.23679080247422</v>
      </c>
    </row>
    <row r="76" spans="2:11" ht="11.25">
      <c r="B76" s="5"/>
      <c r="C76" s="5"/>
      <c r="D76" s="9"/>
      <c r="E76" s="10"/>
      <c r="F76" s="3" t="s">
        <v>19</v>
      </c>
      <c r="G76" s="47">
        <v>0</v>
      </c>
      <c r="H76" s="50">
        <v>0</v>
      </c>
      <c r="I76" s="47">
        <f>+G76*E73</f>
        <v>0</v>
      </c>
      <c r="J76" s="43">
        <f>H76*C73</f>
        <v>0</v>
      </c>
      <c r="K76" s="43">
        <f t="shared" si="7"/>
        <v>0</v>
      </c>
    </row>
    <row r="77" spans="2:11" ht="11.25">
      <c r="B77" s="5"/>
      <c r="C77" s="5"/>
      <c r="D77" s="9"/>
      <c r="E77" s="10"/>
      <c r="F77" s="3" t="s">
        <v>20</v>
      </c>
      <c r="G77" s="47">
        <v>0</v>
      </c>
      <c r="H77" s="50">
        <v>0</v>
      </c>
      <c r="I77" s="47">
        <f>E73*G77</f>
        <v>0</v>
      </c>
      <c r="J77" s="43">
        <f>H77*C73</f>
        <v>0</v>
      </c>
      <c r="K77" s="43">
        <f t="shared" si="7"/>
        <v>0</v>
      </c>
    </row>
    <row r="78" spans="2:11" ht="11.25">
      <c r="B78" s="5"/>
      <c r="C78" s="5"/>
      <c r="D78" s="9"/>
      <c r="E78" s="10"/>
      <c r="F78" s="3" t="s">
        <v>21</v>
      </c>
      <c r="G78" s="47">
        <v>0</v>
      </c>
      <c r="H78" s="50">
        <v>0</v>
      </c>
      <c r="I78" s="47">
        <f>+E73*G78</f>
        <v>0</v>
      </c>
      <c r="J78" s="43">
        <f>H78*C73</f>
        <v>0</v>
      </c>
      <c r="K78" s="43">
        <f t="shared" si="7"/>
        <v>0</v>
      </c>
    </row>
    <row r="79" spans="2:11" ht="11.25">
      <c r="B79" s="5"/>
      <c r="C79" s="40"/>
      <c r="D79" s="32"/>
      <c r="E79" s="10"/>
      <c r="F79" s="3" t="s">
        <v>22</v>
      </c>
      <c r="G79" s="47">
        <v>0</v>
      </c>
      <c r="H79" s="50">
        <v>0</v>
      </c>
      <c r="I79" s="47">
        <f>E73*G79</f>
        <v>0</v>
      </c>
      <c r="J79" s="43">
        <f>H79*C73</f>
        <v>0</v>
      </c>
      <c r="K79" s="43">
        <f t="shared" si="7"/>
        <v>0</v>
      </c>
    </row>
    <row r="80" spans="2:11" ht="11.25">
      <c r="B80" s="5"/>
      <c r="C80" s="40"/>
      <c r="D80" s="32"/>
      <c r="E80" s="10"/>
      <c r="F80" s="3" t="s">
        <v>23</v>
      </c>
      <c r="G80" s="47">
        <v>0</v>
      </c>
      <c r="H80" s="50">
        <v>0</v>
      </c>
      <c r="I80" s="47">
        <f>E73*G80</f>
        <v>0</v>
      </c>
      <c r="J80" s="43">
        <f>H80*C73</f>
        <v>0</v>
      </c>
      <c r="K80" s="43">
        <f t="shared" si="7"/>
        <v>0</v>
      </c>
    </row>
    <row r="81" spans="2:11" ht="11.25">
      <c r="B81" s="5"/>
      <c r="C81" s="5"/>
      <c r="D81" s="9"/>
      <c r="E81" s="10"/>
      <c r="F81" s="3" t="s">
        <v>24</v>
      </c>
      <c r="G81" s="47">
        <v>0</v>
      </c>
      <c r="H81" s="50">
        <v>0</v>
      </c>
      <c r="I81" s="47">
        <f>E73*G81</f>
        <v>0</v>
      </c>
      <c r="J81" s="43">
        <f>H81*C73</f>
        <v>0</v>
      </c>
      <c r="K81" s="43">
        <f t="shared" si="7"/>
        <v>0</v>
      </c>
    </row>
    <row r="82" spans="2:11" ht="11.25">
      <c r="B82" s="5"/>
      <c r="C82" s="5"/>
      <c r="D82" s="9"/>
      <c r="E82" s="10"/>
      <c r="F82" s="3" t="s">
        <v>25</v>
      </c>
      <c r="G82" s="47">
        <v>0</v>
      </c>
      <c r="H82" s="50">
        <v>0</v>
      </c>
      <c r="I82" s="47">
        <f>E73*G82</f>
        <v>0</v>
      </c>
      <c r="J82" s="43">
        <f>H82*C73</f>
        <v>0</v>
      </c>
      <c r="K82" s="43">
        <f t="shared" si="7"/>
        <v>0</v>
      </c>
    </row>
    <row r="83" spans="2:11" ht="11.25">
      <c r="B83" s="5"/>
      <c r="C83" s="5"/>
      <c r="D83" s="9"/>
      <c r="E83" s="10"/>
      <c r="F83" s="3" t="s">
        <v>26</v>
      </c>
      <c r="G83" s="47">
        <v>0</v>
      </c>
      <c r="H83" s="50">
        <v>0</v>
      </c>
      <c r="I83" s="47">
        <f>E73*G83</f>
        <v>0</v>
      </c>
      <c r="J83" s="43">
        <f>H83*C73</f>
        <v>0</v>
      </c>
      <c r="K83" s="43">
        <f t="shared" si="7"/>
        <v>0</v>
      </c>
    </row>
    <row r="84" spans="2:11" ht="11.25">
      <c r="B84" s="5"/>
      <c r="C84" s="5"/>
      <c r="D84" s="9"/>
      <c r="E84" s="10"/>
      <c r="F84" s="3" t="s">
        <v>27</v>
      </c>
      <c r="G84" s="47">
        <v>0</v>
      </c>
      <c r="H84" s="50">
        <v>0</v>
      </c>
      <c r="I84" s="47">
        <f>E73*G84</f>
        <v>0</v>
      </c>
      <c r="J84" s="43">
        <f>H84*C73</f>
        <v>0</v>
      </c>
      <c r="K84" s="43">
        <f t="shared" si="7"/>
        <v>0</v>
      </c>
    </row>
    <row r="85" spans="7:9" ht="11.25">
      <c r="G85" s="26"/>
      <c r="H85" s="26"/>
      <c r="I85" s="26"/>
    </row>
    <row r="86" spans="7:9" ht="11.25">
      <c r="G86" s="26"/>
      <c r="H86" s="26"/>
      <c r="I86" s="26"/>
    </row>
    <row r="87" spans="7:11" ht="11.25">
      <c r="G87" s="26"/>
      <c r="H87" s="26"/>
      <c r="I87" s="26"/>
      <c r="K87" s="49">
        <f>SUM(K9:K85)</f>
        <v>122034.0553905532</v>
      </c>
    </row>
    <row r="88" spans="7:11" ht="11.25">
      <c r="G88" s="26"/>
      <c r="H88" s="26"/>
      <c r="I88" s="26"/>
      <c r="K88" s="32"/>
    </row>
    <row r="89" spans="7:11" ht="11.25">
      <c r="G89" s="26"/>
      <c r="H89" s="26"/>
      <c r="I89" s="26"/>
      <c r="K89" s="49"/>
    </row>
    <row r="90" spans="7:9" ht="11.25">
      <c r="G90" s="26"/>
      <c r="H90" s="26"/>
      <c r="I90" s="26"/>
    </row>
    <row r="91" spans="7:9" ht="11.25">
      <c r="G91" s="26"/>
      <c r="H91" s="26"/>
      <c r="I91" s="26"/>
    </row>
    <row r="92" spans="7:9" ht="11.25">
      <c r="G92" s="26"/>
      <c r="H92" s="26"/>
      <c r="I92" s="26"/>
    </row>
    <row r="93" spans="7:9" ht="11.25">
      <c r="G93" s="26"/>
      <c r="H93" s="26"/>
      <c r="I93" s="26"/>
    </row>
    <row r="94" spans="7:9" ht="11.25">
      <c r="G94" s="26"/>
      <c r="H94" s="26"/>
      <c r="I94" s="26"/>
    </row>
    <row r="95" spans="7:9" ht="11.25">
      <c r="G95" s="26"/>
      <c r="H95" s="26"/>
      <c r="I95" s="26"/>
    </row>
    <row r="96" spans="7:9" ht="11.25">
      <c r="G96" s="26"/>
      <c r="H96" s="26"/>
      <c r="I96" s="26"/>
    </row>
    <row r="97" spans="7:9" ht="11.25">
      <c r="G97" s="26"/>
      <c r="H97" s="26"/>
      <c r="I97" s="26"/>
    </row>
    <row r="98" spans="7:9" ht="11.25">
      <c r="G98" s="26"/>
      <c r="H98" s="26"/>
      <c r="I98" s="26"/>
    </row>
    <row r="99" spans="7:9" ht="11.25">
      <c r="G99" s="26"/>
      <c r="H99" s="26"/>
      <c r="I99" s="26"/>
    </row>
    <row r="100" spans="7:9" ht="11.25">
      <c r="G100" s="26"/>
      <c r="H100" s="26"/>
      <c r="I100" s="26"/>
    </row>
    <row r="101" spans="7:9" ht="11.25">
      <c r="G101" s="26"/>
      <c r="H101" s="26"/>
      <c r="I101" s="26"/>
    </row>
    <row r="102" spans="7:9" ht="11.25">
      <c r="G102" s="26"/>
      <c r="H102" s="26"/>
      <c r="I102" s="26"/>
    </row>
    <row r="103" spans="7:9" ht="11.25">
      <c r="G103" s="26"/>
      <c r="H103" s="26"/>
      <c r="I103" s="26"/>
    </row>
    <row r="104" spans="7:9" ht="11.25">
      <c r="G104" s="26"/>
      <c r="H104" s="26"/>
      <c r="I104" s="26"/>
    </row>
    <row r="105" spans="7:9" ht="11.25">
      <c r="G105" s="26"/>
      <c r="H105" s="26"/>
      <c r="I105" s="26"/>
    </row>
    <row r="106" spans="7:9" ht="11.25">
      <c r="G106" s="26"/>
      <c r="H106" s="26"/>
      <c r="I106" s="26"/>
    </row>
    <row r="107" spans="7:9" ht="11.25">
      <c r="G107" s="26"/>
      <c r="H107" s="26"/>
      <c r="I107" s="26"/>
    </row>
    <row r="108" spans="7:9" ht="11.25">
      <c r="G108" s="26"/>
      <c r="H108" s="26"/>
      <c r="I108" s="26"/>
    </row>
    <row r="109" spans="7:9" ht="11.25">
      <c r="G109" s="26"/>
      <c r="H109" s="26"/>
      <c r="I109" s="26"/>
    </row>
    <row r="110" spans="7:9" ht="11.25">
      <c r="G110" s="26"/>
      <c r="H110" s="26"/>
      <c r="I110" s="26"/>
    </row>
    <row r="111" spans="7:9" ht="11.25">
      <c r="G111" s="26"/>
      <c r="H111" s="26"/>
      <c r="I111" s="26"/>
    </row>
    <row r="112" spans="7:9" ht="11.25">
      <c r="G112" s="26"/>
      <c r="H112" s="26"/>
      <c r="I112" s="26"/>
    </row>
    <row r="113" spans="7:9" ht="11.25">
      <c r="G113" s="26"/>
      <c r="H113" s="26"/>
      <c r="I113" s="26"/>
    </row>
    <row r="114" spans="7:9" ht="11.25">
      <c r="G114" s="26"/>
      <c r="H114" s="26"/>
      <c r="I114" s="26"/>
    </row>
    <row r="115" spans="7:9" ht="11.25">
      <c r="G115" s="26"/>
      <c r="H115" s="26"/>
      <c r="I115" s="26"/>
    </row>
    <row r="116" spans="7:9" ht="11.25">
      <c r="G116" s="26"/>
      <c r="H116" s="26"/>
      <c r="I116" s="26"/>
    </row>
    <row r="117" spans="7:9" ht="11.25">
      <c r="G117" s="26"/>
      <c r="H117" s="26"/>
      <c r="I117" s="26"/>
    </row>
    <row r="118" spans="7:9" ht="11.25">
      <c r="G118" s="26"/>
      <c r="H118" s="26"/>
      <c r="I118" s="26"/>
    </row>
    <row r="119" spans="7:9" ht="11.25">
      <c r="G119" s="26"/>
      <c r="H119" s="26"/>
      <c r="I119" s="26"/>
    </row>
    <row r="120" spans="7:9" ht="11.25">
      <c r="G120" s="26"/>
      <c r="H120" s="26"/>
      <c r="I120" s="26"/>
    </row>
  </sheetData>
  <sheetProtection/>
  <mergeCells count="6">
    <mergeCell ref="D51:H51"/>
    <mergeCell ref="D52:H52"/>
    <mergeCell ref="D1:H1"/>
    <mergeCell ref="D2:H2"/>
    <mergeCell ref="D3:H3"/>
    <mergeCell ref="D50:H50"/>
  </mergeCells>
  <printOptions/>
  <pageMargins left="0.75" right="0.75" top="0.58" bottom="0.64" header="0.29" footer="0.29"/>
  <pageSetup fitToHeight="0" fitToWidth="1" horizontalDpi="300" verticalDpi="3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zoomScalePageLayoutView="0" workbookViewId="0" topLeftCell="A43">
      <selection activeCell="D51" sqref="D51:H53"/>
    </sheetView>
  </sheetViews>
  <sheetFormatPr defaultColWidth="9.140625" defaultRowHeight="12.75"/>
  <cols>
    <col min="1" max="1" width="9.140625" style="3" customWidth="1"/>
    <col min="2" max="2" width="12.140625" style="3" customWidth="1"/>
    <col min="3" max="3" width="14.140625" style="3" customWidth="1"/>
    <col min="4" max="4" width="10.57421875" style="3" customWidth="1"/>
    <col min="5" max="6" width="10.8515625" style="3" customWidth="1"/>
    <col min="7" max="7" width="9.8515625" style="3" customWidth="1"/>
    <col min="8" max="8" width="12.7109375" style="3" customWidth="1"/>
    <col min="9" max="9" width="14.421875" style="5" customWidth="1"/>
    <col min="10" max="10" width="11.28125" style="3" customWidth="1"/>
    <col min="11" max="11" width="11.421875" style="3" customWidth="1"/>
    <col min="12" max="12" width="10.8515625" style="3" customWidth="1"/>
    <col min="13" max="13" width="9.8515625" style="3" bestFit="1" customWidth="1"/>
    <col min="14" max="16384" width="9.140625" style="3" customWidth="1"/>
  </cols>
  <sheetData>
    <row r="1" spans="1:12" ht="11.25">
      <c r="A1" s="4" t="s">
        <v>52</v>
      </c>
      <c r="C1" s="5"/>
      <c r="D1" s="103" t="s">
        <v>53</v>
      </c>
      <c r="E1" s="103"/>
      <c r="F1" s="103"/>
      <c r="G1" s="103"/>
      <c r="H1" s="103"/>
      <c r="J1" s="43"/>
      <c r="K1" s="43"/>
      <c r="L1" s="43"/>
    </row>
    <row r="2" spans="2:12" ht="11.25">
      <c r="B2" s="5"/>
      <c r="C2" s="5"/>
      <c r="D2" s="103" t="s">
        <v>186</v>
      </c>
      <c r="E2" s="103"/>
      <c r="F2" s="103"/>
      <c r="G2" s="103"/>
      <c r="H2" s="103"/>
      <c r="J2" s="43"/>
      <c r="K2" s="43"/>
      <c r="L2" s="43"/>
    </row>
    <row r="3" spans="2:12" ht="11.25">
      <c r="B3" s="5"/>
      <c r="C3" s="5"/>
      <c r="D3" s="103" t="s">
        <v>43</v>
      </c>
      <c r="E3" s="104"/>
      <c r="F3" s="104"/>
      <c r="G3" s="104"/>
      <c r="H3" s="104"/>
      <c r="J3" s="43"/>
      <c r="K3" s="43"/>
      <c r="L3" s="43"/>
    </row>
    <row r="4" spans="2:12" ht="11.25">
      <c r="B4" s="5"/>
      <c r="C4" s="5"/>
      <c r="D4" s="9"/>
      <c r="E4" s="10"/>
      <c r="F4" s="10"/>
      <c r="H4" s="43"/>
      <c r="J4" s="43"/>
      <c r="K4" s="43"/>
      <c r="L4" s="43"/>
    </row>
    <row r="5" spans="1:12" ht="11.25">
      <c r="A5" s="4" t="s">
        <v>54</v>
      </c>
      <c r="B5" s="5"/>
      <c r="C5" s="5"/>
      <c r="D5" s="9"/>
      <c r="E5" s="10"/>
      <c r="F5" s="10"/>
      <c r="H5" s="43"/>
      <c r="J5" s="43"/>
      <c r="K5" s="43"/>
      <c r="L5" s="43"/>
    </row>
    <row r="6" spans="2:12" ht="11.25">
      <c r="B6" s="5"/>
      <c r="C6" s="5"/>
      <c r="D6" s="9"/>
      <c r="E6" s="10"/>
      <c r="F6" s="10"/>
      <c r="H6" s="43"/>
      <c r="J6" s="43"/>
      <c r="K6" s="43"/>
      <c r="L6" s="43"/>
    </row>
    <row r="7" spans="1:12" ht="11.25">
      <c r="A7" s="4" t="s">
        <v>0</v>
      </c>
      <c r="B7" s="12" t="s">
        <v>1</v>
      </c>
      <c r="C7" s="12" t="s">
        <v>2</v>
      </c>
      <c r="D7" s="13" t="s">
        <v>3</v>
      </c>
      <c r="E7" s="14" t="s">
        <v>4</v>
      </c>
      <c r="F7" s="14" t="s">
        <v>4</v>
      </c>
      <c r="G7" s="11" t="s">
        <v>5</v>
      </c>
      <c r="H7" s="45" t="s">
        <v>3</v>
      </c>
      <c r="I7" s="12" t="s">
        <v>110</v>
      </c>
      <c r="J7" s="45" t="s">
        <v>7</v>
      </c>
      <c r="K7" s="45" t="s">
        <v>8</v>
      </c>
      <c r="L7" s="45" t="s">
        <v>9</v>
      </c>
    </row>
    <row r="8" spans="1:12" ht="11.25">
      <c r="A8" s="4"/>
      <c r="B8" s="12" t="s">
        <v>10</v>
      </c>
      <c r="C8" s="12" t="s">
        <v>11</v>
      </c>
      <c r="D8" s="13" t="s">
        <v>12</v>
      </c>
      <c r="E8" s="14" t="s">
        <v>13</v>
      </c>
      <c r="F8" s="14" t="s">
        <v>109</v>
      </c>
      <c r="G8" s="11"/>
      <c r="H8" s="45" t="s">
        <v>14</v>
      </c>
      <c r="I8" s="12" t="s">
        <v>111</v>
      </c>
      <c r="J8" s="45" t="s">
        <v>16</v>
      </c>
      <c r="K8" s="45" t="s">
        <v>16</v>
      </c>
      <c r="L8" s="45" t="s">
        <v>16</v>
      </c>
    </row>
    <row r="9" spans="2:12" ht="11.25">
      <c r="B9" s="5"/>
      <c r="C9" s="5"/>
      <c r="D9" s="9"/>
      <c r="E9" s="10"/>
      <c r="F9" s="10"/>
      <c r="H9" s="43"/>
      <c r="J9" s="43"/>
      <c r="K9" s="43"/>
      <c r="L9" s="43"/>
    </row>
    <row r="10" spans="1:12" ht="11.25">
      <c r="A10" s="11" t="s">
        <v>17</v>
      </c>
      <c r="B10" s="41">
        <f>'2004 Mar-Dec Fixed Variable Cal'!F81</f>
        <v>0.8457900000000003</v>
      </c>
      <c r="C10" s="41">
        <f>'2004 Mar-Dec Fixed Variable Cal'!G81</f>
        <v>0.001999380952380952</v>
      </c>
      <c r="D10" s="9">
        <v>11.3</v>
      </c>
      <c r="E10" s="10">
        <f>B10/D10</f>
        <v>0.0748486725663717</v>
      </c>
      <c r="F10" s="10">
        <f>'2004 Mar-Dec Fixed Variable Cal'!G95</f>
        <v>0.11761064425770305</v>
      </c>
      <c r="G10" s="3" t="s">
        <v>38</v>
      </c>
      <c r="H10" s="47">
        <v>0</v>
      </c>
      <c r="I10" s="27">
        <v>0</v>
      </c>
      <c r="J10" s="47">
        <f>E10*H10</f>
        <v>0</v>
      </c>
      <c r="K10" s="43">
        <f>I10*C10</f>
        <v>0</v>
      </c>
      <c r="L10" s="43">
        <f aca="true" t="shared" si="0" ref="L10:L21">+J10+K10</f>
        <v>0</v>
      </c>
    </row>
    <row r="11" spans="2:12" ht="11.25">
      <c r="B11" s="5"/>
      <c r="C11" s="5"/>
      <c r="D11" s="9"/>
      <c r="E11" s="10"/>
      <c r="F11" s="10"/>
      <c r="G11" s="3" t="s">
        <v>39</v>
      </c>
      <c r="H11" s="47">
        <v>0</v>
      </c>
      <c r="I11" s="27">
        <v>0</v>
      </c>
      <c r="J11" s="47">
        <f>E10*H11</f>
        <v>0</v>
      </c>
      <c r="K11" s="43">
        <f>I11*C10</f>
        <v>0</v>
      </c>
      <c r="L11" s="43">
        <f t="shared" si="0"/>
        <v>0</v>
      </c>
    </row>
    <row r="12" spans="2:12" ht="11.25">
      <c r="B12" s="5"/>
      <c r="C12" s="5"/>
      <c r="D12" s="9"/>
      <c r="E12" s="10"/>
      <c r="F12" s="10"/>
      <c r="G12" s="3" t="s">
        <v>18</v>
      </c>
      <c r="H12" s="47">
        <v>0</v>
      </c>
      <c r="I12" s="27">
        <v>0</v>
      </c>
      <c r="J12" s="47">
        <f>+$E$10*H12</f>
        <v>0</v>
      </c>
      <c r="K12" s="43">
        <f>I12*C10</f>
        <v>0</v>
      </c>
      <c r="L12" s="43">
        <f t="shared" si="0"/>
        <v>0</v>
      </c>
    </row>
    <row r="13" spans="2:12" ht="11.25">
      <c r="B13" s="5"/>
      <c r="C13" s="5"/>
      <c r="D13" s="9"/>
      <c r="E13" s="10"/>
      <c r="F13" s="10"/>
      <c r="G13" s="3" t="s">
        <v>19</v>
      </c>
      <c r="H13" s="47">
        <v>183.44</v>
      </c>
      <c r="I13" s="27">
        <v>224.43</v>
      </c>
      <c r="J13" s="47">
        <f aca="true" t="shared" si="1" ref="J13:J21">+$E$10*H13</f>
        <v>13.730240495575226</v>
      </c>
      <c r="K13" s="43">
        <f aca="true" t="shared" si="2" ref="K13:K21">$F$10*I13</f>
        <v>26.395356890756297</v>
      </c>
      <c r="L13" s="43">
        <f t="shared" si="0"/>
        <v>40.12559738633152</v>
      </c>
    </row>
    <row r="14" spans="2:12" ht="11.25">
      <c r="B14" s="5"/>
      <c r="C14" s="5"/>
      <c r="D14" s="9"/>
      <c r="E14" s="10"/>
      <c r="F14" s="10"/>
      <c r="G14" s="3" t="s">
        <v>20</v>
      </c>
      <c r="H14" s="47">
        <v>43708.82</v>
      </c>
      <c r="I14" s="27">
        <v>43899.39</v>
      </c>
      <c r="J14" s="47">
        <f t="shared" si="1"/>
        <v>3271.547156442479</v>
      </c>
      <c r="K14" s="43">
        <f t="shared" si="2"/>
        <v>5163.035540420166</v>
      </c>
      <c r="L14" s="43">
        <f t="shared" si="0"/>
        <v>8434.582696862646</v>
      </c>
    </row>
    <row r="15" spans="2:12" ht="11.25">
      <c r="B15" s="5"/>
      <c r="C15" s="40"/>
      <c r="D15" s="32"/>
      <c r="E15" s="10"/>
      <c r="F15" s="10"/>
      <c r="G15" s="3" t="s">
        <v>21</v>
      </c>
      <c r="H15" s="47">
        <v>62281.03</v>
      </c>
      <c r="I15" s="27">
        <v>58283.52</v>
      </c>
      <c r="J15" s="47">
        <f t="shared" si="1"/>
        <v>4661.652421566373</v>
      </c>
      <c r="K15" s="43">
        <f t="shared" si="2"/>
        <v>6854.762336806721</v>
      </c>
      <c r="L15" s="43">
        <f t="shared" si="0"/>
        <v>11516.414758373094</v>
      </c>
    </row>
    <row r="16" spans="2:12" ht="11.25">
      <c r="B16" s="5"/>
      <c r="C16" s="40"/>
      <c r="D16" s="32"/>
      <c r="E16" s="10"/>
      <c r="F16" s="10"/>
      <c r="G16" s="3" t="s">
        <v>22</v>
      </c>
      <c r="H16" s="47">
        <v>62149.59</v>
      </c>
      <c r="I16" s="27">
        <v>54761.82</v>
      </c>
      <c r="J16" s="47">
        <f t="shared" si="1"/>
        <v>4651.814312044249</v>
      </c>
      <c r="K16" s="43">
        <f t="shared" si="2"/>
        <v>6440.572930924368</v>
      </c>
      <c r="L16" s="43">
        <f t="shared" si="0"/>
        <v>11092.387242968616</v>
      </c>
    </row>
    <row r="17" spans="2:12" ht="11.25">
      <c r="B17" s="5"/>
      <c r="C17" s="40"/>
      <c r="D17" s="32"/>
      <c r="E17" s="10"/>
      <c r="F17" s="10"/>
      <c r="G17" s="3" t="s">
        <v>23</v>
      </c>
      <c r="H17" s="47">
        <v>62975.7</v>
      </c>
      <c r="I17" s="27">
        <v>59665.85</v>
      </c>
      <c r="J17" s="47">
        <f t="shared" si="1"/>
        <v>4713.647548938055</v>
      </c>
      <c r="K17" s="43">
        <f t="shared" si="2"/>
        <v>7017.339058683471</v>
      </c>
      <c r="L17" s="43">
        <f t="shared" si="0"/>
        <v>11730.986607621526</v>
      </c>
    </row>
    <row r="18" spans="2:12" ht="11.25">
      <c r="B18" s="5"/>
      <c r="C18" s="40"/>
      <c r="D18" s="32"/>
      <c r="E18" s="10"/>
      <c r="F18" s="10"/>
      <c r="G18" s="3" t="s">
        <v>24</v>
      </c>
      <c r="H18" s="47">
        <v>62098.43</v>
      </c>
      <c r="I18" s="27">
        <v>53242.79</v>
      </c>
      <c r="J18" s="47">
        <f t="shared" si="1"/>
        <v>4647.985053955754</v>
      </c>
      <c r="K18" s="43">
        <f t="shared" si="2"/>
        <v>6261.91883397759</v>
      </c>
      <c r="L18" s="43">
        <f t="shared" si="0"/>
        <v>10909.903887933344</v>
      </c>
    </row>
    <row r="19" spans="2:12" ht="11.25">
      <c r="B19" s="5"/>
      <c r="C19" s="5"/>
      <c r="D19" s="9"/>
      <c r="E19" s="10"/>
      <c r="F19" s="10"/>
      <c r="G19" s="3" t="s">
        <v>25</v>
      </c>
      <c r="H19" s="47">
        <v>62553.35</v>
      </c>
      <c r="I19" s="27">
        <v>55322.39</v>
      </c>
      <c r="J19" s="47">
        <f t="shared" si="1"/>
        <v>4682.035212079647</v>
      </c>
      <c r="K19" s="43">
        <f t="shared" si="2"/>
        <v>6506.501929775909</v>
      </c>
      <c r="L19" s="43">
        <f t="shared" si="0"/>
        <v>11188.537141855555</v>
      </c>
    </row>
    <row r="20" spans="2:12" ht="11.25">
      <c r="B20" s="5"/>
      <c r="C20" s="5"/>
      <c r="D20" s="9"/>
      <c r="E20" s="10"/>
      <c r="F20" s="10"/>
      <c r="G20" s="3" t="s">
        <v>26</v>
      </c>
      <c r="H20" s="47">
        <v>63460.07</v>
      </c>
      <c r="I20" s="27">
        <v>57400.54</v>
      </c>
      <c r="J20" s="47">
        <f t="shared" si="1"/>
        <v>4749.902000469028</v>
      </c>
      <c r="K20" s="43">
        <f t="shared" si="2"/>
        <v>6750.914490140054</v>
      </c>
      <c r="L20" s="43">
        <f t="shared" si="0"/>
        <v>11500.816490609082</v>
      </c>
    </row>
    <row r="21" spans="2:13" ht="11.25">
      <c r="B21" s="5"/>
      <c r="C21" s="5"/>
      <c r="D21" s="9"/>
      <c r="E21" s="10"/>
      <c r="F21" s="10"/>
      <c r="G21" s="3" t="s">
        <v>27</v>
      </c>
      <c r="H21" s="47">
        <v>62767.4</v>
      </c>
      <c r="I21" s="27">
        <v>62694.48</v>
      </c>
      <c r="J21" s="47">
        <f t="shared" si="1"/>
        <v>4698.05657044248</v>
      </c>
      <c r="K21" s="43">
        <f t="shared" si="2"/>
        <v>7373.5381842016795</v>
      </c>
      <c r="L21" s="43">
        <f t="shared" si="0"/>
        <v>12071.59475464416</v>
      </c>
      <c r="M21" s="49"/>
    </row>
    <row r="22" spans="2:12" ht="11.25">
      <c r="B22" s="5"/>
      <c r="C22" s="5"/>
      <c r="D22" s="9"/>
      <c r="E22" s="10"/>
      <c r="F22" s="10"/>
      <c r="H22" s="47"/>
      <c r="I22" s="27"/>
      <c r="J22" s="47"/>
      <c r="K22" s="43"/>
      <c r="L22" s="43"/>
    </row>
    <row r="23" spans="1:12" ht="11.25">
      <c r="A23" s="11" t="s">
        <v>28</v>
      </c>
      <c r="B23" s="41">
        <f>'2004 Mar-Dec Fixed Variable Cal'!F82</f>
        <v>0.7535832046695541</v>
      </c>
      <c r="C23" s="41">
        <f>'2004 Mar-Dec Fixed Variable Cal'!G82</f>
        <v>0.002469965731500659</v>
      </c>
      <c r="D23" s="9">
        <v>12.24</v>
      </c>
      <c r="E23" s="10">
        <f>B23/D23</f>
        <v>0.0615672552834603</v>
      </c>
      <c r="F23" s="10">
        <f>'2004 Mar-Dec Fixed Variable Cal'!G96</f>
        <v>0.17034246424142474</v>
      </c>
      <c r="G23" s="3" t="s">
        <v>40</v>
      </c>
      <c r="H23" s="47">
        <v>0</v>
      </c>
      <c r="I23" s="27">
        <v>0</v>
      </c>
      <c r="J23" s="47">
        <f>E23*H23</f>
        <v>0</v>
      </c>
      <c r="K23" s="43">
        <f>$F$10*I23</f>
        <v>0</v>
      </c>
      <c r="L23" s="43">
        <f aca="true" t="shared" si="3" ref="L23:L34">+J23+K23</f>
        <v>0</v>
      </c>
    </row>
    <row r="24" spans="2:12" ht="11.25">
      <c r="B24" s="5"/>
      <c r="C24" s="5"/>
      <c r="D24" s="9"/>
      <c r="E24" s="10"/>
      <c r="F24" s="10"/>
      <c r="G24" s="3" t="s">
        <v>39</v>
      </c>
      <c r="H24" s="47">
        <v>0</v>
      </c>
      <c r="I24" s="27">
        <v>0</v>
      </c>
      <c r="J24" s="47">
        <f>E23*H24</f>
        <v>0</v>
      </c>
      <c r="K24" s="43">
        <f>$F$10*I24</f>
        <v>0</v>
      </c>
      <c r="L24" s="43">
        <f t="shared" si="3"/>
        <v>0</v>
      </c>
    </row>
    <row r="25" spans="2:12" ht="11.25">
      <c r="B25" s="5"/>
      <c r="C25" s="5"/>
      <c r="D25" s="9"/>
      <c r="E25" s="10"/>
      <c r="F25" s="10"/>
      <c r="G25" s="3" t="s">
        <v>18</v>
      </c>
      <c r="H25" s="47">
        <v>0</v>
      </c>
      <c r="I25" s="27">
        <v>0</v>
      </c>
      <c r="J25" s="47">
        <f>+$E$23*H25</f>
        <v>0</v>
      </c>
      <c r="K25" s="43">
        <f>$F$10*I25</f>
        <v>0</v>
      </c>
      <c r="L25" s="43">
        <f t="shared" si="3"/>
        <v>0</v>
      </c>
    </row>
    <row r="26" spans="2:12" ht="11.25">
      <c r="B26" s="5"/>
      <c r="C26" s="5"/>
      <c r="D26" s="9"/>
      <c r="E26" s="10"/>
      <c r="F26" s="10"/>
      <c r="G26" s="3" t="s">
        <v>19</v>
      </c>
      <c r="H26" s="47">
        <v>98.55</v>
      </c>
      <c r="I26" s="27">
        <v>386.5</v>
      </c>
      <c r="J26" s="47">
        <f aca="true" t="shared" si="4" ref="J26:J34">+$E$23*H26</f>
        <v>6.067453008185012</v>
      </c>
      <c r="K26" s="43">
        <f>$F$23*I26</f>
        <v>65.83736242931066</v>
      </c>
      <c r="L26" s="43">
        <f t="shared" si="3"/>
        <v>71.90481543749567</v>
      </c>
    </row>
    <row r="27" spans="2:12" ht="11.25">
      <c r="B27" s="5"/>
      <c r="C27" s="5"/>
      <c r="D27" s="9"/>
      <c r="E27" s="10"/>
      <c r="F27" s="10"/>
      <c r="G27" s="3" t="s">
        <v>20</v>
      </c>
      <c r="H27" s="47">
        <v>6385.24</v>
      </c>
      <c r="I27" s="27">
        <v>22107.9</v>
      </c>
      <c r="J27" s="47">
        <f t="shared" si="4"/>
        <v>393.121701126162</v>
      </c>
      <c r="K27" s="43">
        <f aca="true" t="shared" si="5" ref="K27:K34">$F$23*I27</f>
        <v>3765.9141652029944</v>
      </c>
      <c r="L27" s="43">
        <f t="shared" si="3"/>
        <v>4159.035866329156</v>
      </c>
    </row>
    <row r="28" spans="2:12" ht="11.25">
      <c r="B28" s="5"/>
      <c r="C28" s="27"/>
      <c r="D28" s="24"/>
      <c r="E28" s="10"/>
      <c r="F28" s="10"/>
      <c r="G28" s="3" t="s">
        <v>21</v>
      </c>
      <c r="H28" s="47">
        <v>8710.81</v>
      </c>
      <c r="I28" s="27">
        <v>31013.59</v>
      </c>
      <c r="J28" s="47">
        <f t="shared" si="4"/>
        <v>536.3006629957188</v>
      </c>
      <c r="K28" s="43">
        <f t="shared" si="5"/>
        <v>5282.931345573208</v>
      </c>
      <c r="L28" s="43">
        <f t="shared" si="3"/>
        <v>5819.232008568927</v>
      </c>
    </row>
    <row r="29" spans="2:12" ht="11.25">
      <c r="B29" s="5"/>
      <c r="C29" s="27"/>
      <c r="D29" s="32"/>
      <c r="E29" s="10"/>
      <c r="F29" s="10"/>
      <c r="G29" s="3" t="s">
        <v>22</v>
      </c>
      <c r="H29" s="47">
        <v>8790.35</v>
      </c>
      <c r="I29" s="27">
        <v>30819.4</v>
      </c>
      <c r="J29" s="47">
        <f t="shared" si="4"/>
        <v>541.1977224809652</v>
      </c>
      <c r="K29" s="43">
        <f t="shared" si="5"/>
        <v>5249.852542442166</v>
      </c>
      <c r="L29" s="43">
        <f t="shared" si="3"/>
        <v>5791.050264923131</v>
      </c>
    </row>
    <row r="30" spans="2:12" ht="11.25">
      <c r="B30" s="5"/>
      <c r="C30" s="27"/>
      <c r="D30" s="32"/>
      <c r="E30" s="10"/>
      <c r="F30" s="10"/>
      <c r="G30" s="3" t="s">
        <v>23</v>
      </c>
      <c r="H30" s="47">
        <v>8936.02</v>
      </c>
      <c r="I30" s="27">
        <v>31742.549</v>
      </c>
      <c r="J30" s="47">
        <f t="shared" si="4"/>
        <v>550.1662245581069</v>
      </c>
      <c r="K30" s="43">
        <f t="shared" si="5"/>
        <v>5407.104017964172</v>
      </c>
      <c r="L30" s="43">
        <f t="shared" si="3"/>
        <v>5957.27024252228</v>
      </c>
    </row>
    <row r="31" spans="2:12" ht="11.25">
      <c r="B31" s="5"/>
      <c r="C31" s="27"/>
      <c r="D31" s="24"/>
      <c r="E31" s="10"/>
      <c r="F31" s="10"/>
      <c r="G31" s="3" t="s">
        <v>24</v>
      </c>
      <c r="H31" s="47">
        <v>8671.17</v>
      </c>
      <c r="I31" s="27">
        <v>30360.79</v>
      </c>
      <c r="J31" s="47">
        <f t="shared" si="4"/>
        <v>533.8601369962824</v>
      </c>
      <c r="K31" s="43">
        <f t="shared" si="5"/>
        <v>5171.731784916406</v>
      </c>
      <c r="L31" s="43">
        <f t="shared" si="3"/>
        <v>5705.591921912688</v>
      </c>
    </row>
    <row r="32" spans="2:12" ht="11.25">
      <c r="B32" s="5"/>
      <c r="C32" s="5"/>
      <c r="D32" s="9"/>
      <c r="E32" s="10"/>
      <c r="F32" s="10"/>
      <c r="G32" s="3" t="s">
        <v>25</v>
      </c>
      <c r="H32" s="47">
        <v>8775.68</v>
      </c>
      <c r="I32" s="27">
        <v>29905.26</v>
      </c>
      <c r="J32" s="47">
        <f t="shared" si="4"/>
        <v>540.2945308459568</v>
      </c>
      <c r="K32" s="43">
        <f t="shared" si="5"/>
        <v>5094.135682180509</v>
      </c>
      <c r="L32" s="43">
        <f t="shared" si="3"/>
        <v>5634.430213026466</v>
      </c>
    </row>
    <row r="33" spans="2:12" ht="11.25">
      <c r="B33" s="5"/>
      <c r="C33" s="5"/>
      <c r="D33" s="9"/>
      <c r="E33" s="10"/>
      <c r="F33" s="10"/>
      <c r="G33" s="3" t="s">
        <v>26</v>
      </c>
      <c r="H33" s="47">
        <v>8916.46</v>
      </c>
      <c r="I33" s="27">
        <v>31217.8</v>
      </c>
      <c r="J33" s="47">
        <f t="shared" si="4"/>
        <v>548.9619690447623</v>
      </c>
      <c r="K33" s="43">
        <f t="shared" si="5"/>
        <v>5317.716980195949</v>
      </c>
      <c r="L33" s="43">
        <f t="shared" si="3"/>
        <v>5866.6789492407115</v>
      </c>
    </row>
    <row r="34" spans="2:13" ht="11.25">
      <c r="B34" s="5"/>
      <c r="C34" s="5"/>
      <c r="D34" s="9"/>
      <c r="E34" s="10"/>
      <c r="F34" s="10"/>
      <c r="G34" s="3" t="s">
        <v>27</v>
      </c>
      <c r="H34" s="47">
        <v>8534.16</v>
      </c>
      <c r="I34" s="27">
        <v>29501.22</v>
      </c>
      <c r="J34" s="47">
        <f t="shared" si="4"/>
        <v>525.4248073498956</v>
      </c>
      <c r="K34" s="43">
        <f t="shared" si="5"/>
        <v>5025.310512928405</v>
      </c>
      <c r="L34" s="43">
        <f t="shared" si="3"/>
        <v>5550.735320278301</v>
      </c>
      <c r="M34" s="49"/>
    </row>
    <row r="35" spans="2:12" ht="11.25">
      <c r="B35" s="5"/>
      <c r="C35" s="5"/>
      <c r="D35" s="9"/>
      <c r="E35" s="10"/>
      <c r="F35" s="10"/>
      <c r="H35" s="47"/>
      <c r="I35" s="27"/>
      <c r="J35" s="47"/>
      <c r="K35" s="43"/>
      <c r="L35" s="43"/>
    </row>
    <row r="36" spans="1:12" ht="11.25">
      <c r="A36" s="11" t="s">
        <v>30</v>
      </c>
      <c r="B36" s="41">
        <f>'2004 Mar-Dec Fixed Variable Cal'!F83</f>
        <v>0.37986390313475393</v>
      </c>
      <c r="C36" s="41">
        <f>'2004 Mar-Dec Fixed Variable Cal'!G83</f>
        <v>0.21807082145063608</v>
      </c>
      <c r="D36" s="9">
        <v>14.47</v>
      </c>
      <c r="E36" s="10">
        <f>B36/D36</f>
        <v>0.026251824681047264</v>
      </c>
      <c r="F36" s="10">
        <f>'2004 Mar-Dec Fixed Variable Cal'!G97</f>
        <v>0.07873729832850812</v>
      </c>
      <c r="G36" s="3" t="s">
        <v>40</v>
      </c>
      <c r="H36" s="47">
        <v>0</v>
      </c>
      <c r="I36" s="27">
        <v>0</v>
      </c>
      <c r="J36" s="47">
        <f>E36*H36</f>
        <v>0</v>
      </c>
      <c r="K36" s="43">
        <f>$F$10*I36</f>
        <v>0</v>
      </c>
      <c r="L36" s="43">
        <f aca="true" t="shared" si="6" ref="L36:L47">+J36+K36</f>
        <v>0</v>
      </c>
    </row>
    <row r="37" spans="2:12" ht="11.25">
      <c r="B37" s="5"/>
      <c r="C37" s="5"/>
      <c r="D37" s="9"/>
      <c r="E37" s="10"/>
      <c r="F37" s="10"/>
      <c r="G37" s="3" t="s">
        <v>39</v>
      </c>
      <c r="H37" s="47">
        <v>0</v>
      </c>
      <c r="I37" s="27">
        <v>0</v>
      </c>
      <c r="J37" s="47">
        <f>E36*H37</f>
        <v>0</v>
      </c>
      <c r="K37" s="43">
        <f>$F$10*I37</f>
        <v>0</v>
      </c>
      <c r="L37" s="43">
        <f t="shared" si="6"/>
        <v>0</v>
      </c>
    </row>
    <row r="38" spans="2:12" ht="11.25">
      <c r="B38" s="5"/>
      <c r="C38" s="5"/>
      <c r="D38" s="9"/>
      <c r="E38" s="10"/>
      <c r="F38" s="10"/>
      <c r="G38" s="3" t="s">
        <v>18</v>
      </c>
      <c r="H38" s="47">
        <v>0</v>
      </c>
      <c r="I38" s="27">
        <v>0</v>
      </c>
      <c r="J38" s="47">
        <f aca="true" t="shared" si="7" ref="J38:J47">$E$36*H38</f>
        <v>0</v>
      </c>
      <c r="K38" s="43">
        <f>$F$10*I38</f>
        <v>0</v>
      </c>
      <c r="L38" s="43">
        <f t="shared" si="6"/>
        <v>0</v>
      </c>
    </row>
    <row r="39" spans="2:12" ht="11.25">
      <c r="B39" s="5"/>
      <c r="C39" s="5"/>
      <c r="D39" s="9"/>
      <c r="E39" s="10"/>
      <c r="F39" s="10"/>
      <c r="G39" s="3" t="s">
        <v>19</v>
      </c>
      <c r="H39" s="47">
        <v>11.46</v>
      </c>
      <c r="I39" s="27">
        <v>336.51</v>
      </c>
      <c r="J39" s="47">
        <f t="shared" si="7"/>
        <v>0.30084591084480167</v>
      </c>
      <c r="K39" s="43">
        <f>$F$36*I39</f>
        <v>26.495888260526268</v>
      </c>
      <c r="L39" s="43">
        <f t="shared" si="6"/>
        <v>26.79673417137107</v>
      </c>
    </row>
    <row r="40" spans="2:12" ht="11.25">
      <c r="B40" s="5"/>
      <c r="C40" s="5"/>
      <c r="D40" s="9"/>
      <c r="E40" s="10"/>
      <c r="F40" s="10"/>
      <c r="G40" s="3" t="s">
        <v>20</v>
      </c>
      <c r="H40" s="47">
        <v>1325.35</v>
      </c>
      <c r="I40" s="27">
        <v>72571.82</v>
      </c>
      <c r="J40" s="47">
        <f t="shared" si="7"/>
        <v>34.79285584102599</v>
      </c>
      <c r="K40" s="43">
        <f aca="true" t="shared" si="8" ref="K40:K47">$F$36*I40</f>
        <v>5714.109041582793</v>
      </c>
      <c r="L40" s="43">
        <f t="shared" si="6"/>
        <v>5748.901897423819</v>
      </c>
    </row>
    <row r="41" spans="2:12" ht="11.25">
      <c r="B41" s="5"/>
      <c r="C41" s="5"/>
      <c r="D41" s="9"/>
      <c r="E41" s="10"/>
      <c r="F41" s="10"/>
      <c r="G41" s="3" t="s">
        <v>21</v>
      </c>
      <c r="H41" s="47">
        <v>1573.9</v>
      </c>
      <c r="I41" s="27">
        <v>81406.71</v>
      </c>
      <c r="J41" s="47">
        <f t="shared" si="7"/>
        <v>41.31774686550029</v>
      </c>
      <c r="K41" s="43">
        <f t="shared" si="8"/>
        <v>6409.744411212346</v>
      </c>
      <c r="L41" s="43">
        <f t="shared" si="6"/>
        <v>6451.062158077846</v>
      </c>
    </row>
    <row r="42" spans="2:12" ht="11.25">
      <c r="B42" s="5"/>
      <c r="C42" s="40"/>
      <c r="D42" s="32"/>
      <c r="E42" s="10"/>
      <c r="F42" s="10"/>
      <c r="G42" s="3" t="s">
        <v>22</v>
      </c>
      <c r="H42" s="47">
        <v>1670.47</v>
      </c>
      <c r="I42" s="27">
        <v>91262.31</v>
      </c>
      <c r="J42" s="47">
        <f t="shared" si="7"/>
        <v>43.85288557494902</v>
      </c>
      <c r="K42" s="43">
        <f t="shared" si="8"/>
        <v>7185.74772861879</v>
      </c>
      <c r="L42" s="43">
        <f t="shared" si="6"/>
        <v>7229.600614193739</v>
      </c>
    </row>
    <row r="43" spans="2:12" ht="11.25">
      <c r="B43" s="5"/>
      <c r="C43" s="40"/>
      <c r="D43" s="32"/>
      <c r="E43" s="10"/>
      <c r="F43" s="10"/>
      <c r="G43" s="3" t="s">
        <v>23</v>
      </c>
      <c r="H43" s="47">
        <v>1740.73</v>
      </c>
      <c r="I43" s="27">
        <v>91554.33</v>
      </c>
      <c r="J43" s="47">
        <f t="shared" si="7"/>
        <v>45.697338777039405</v>
      </c>
      <c r="K43" s="43">
        <f t="shared" si="8"/>
        <v>7208.740594476681</v>
      </c>
      <c r="L43" s="43">
        <f t="shared" si="6"/>
        <v>7254.43793325372</v>
      </c>
    </row>
    <row r="44" spans="2:12" ht="11.25">
      <c r="B44" s="5"/>
      <c r="C44" s="5"/>
      <c r="D44" s="9"/>
      <c r="E44" s="10"/>
      <c r="F44" s="10"/>
      <c r="G44" s="3" t="s">
        <v>24</v>
      </c>
      <c r="H44" s="47">
        <v>1547.72</v>
      </c>
      <c r="I44" s="27">
        <v>88714.24</v>
      </c>
      <c r="J44" s="47">
        <f t="shared" si="7"/>
        <v>40.63047409535047</v>
      </c>
      <c r="K44" s="43">
        <f t="shared" si="8"/>
        <v>6985.119580866869</v>
      </c>
      <c r="L44" s="43">
        <f t="shared" si="6"/>
        <v>7025.750054962219</v>
      </c>
    </row>
    <row r="45" spans="2:12" ht="11.25">
      <c r="B45" s="5"/>
      <c r="C45" s="5"/>
      <c r="D45" s="9"/>
      <c r="E45" s="10"/>
      <c r="F45" s="10"/>
      <c r="G45" s="3" t="s">
        <v>25</v>
      </c>
      <c r="H45" s="47">
        <v>1617.3</v>
      </c>
      <c r="I45" s="27">
        <v>88398.24</v>
      </c>
      <c r="J45" s="47">
        <f t="shared" si="7"/>
        <v>42.45707605665774</v>
      </c>
      <c r="K45" s="43">
        <f t="shared" si="8"/>
        <v>6960.23859459506</v>
      </c>
      <c r="L45" s="43">
        <f t="shared" si="6"/>
        <v>7002.695670651718</v>
      </c>
    </row>
    <row r="46" spans="2:12" ht="11.25">
      <c r="B46" s="5"/>
      <c r="C46" s="5"/>
      <c r="D46" s="9"/>
      <c r="E46" s="10"/>
      <c r="F46" s="10"/>
      <c r="G46" s="3" t="s">
        <v>26</v>
      </c>
      <c r="H46" s="47">
        <v>1767.3</v>
      </c>
      <c r="I46" s="27">
        <v>87828.38</v>
      </c>
      <c r="J46" s="47">
        <f t="shared" si="7"/>
        <v>46.39484975881483</v>
      </c>
      <c r="K46" s="43">
        <f t="shared" si="8"/>
        <v>6915.369357769577</v>
      </c>
      <c r="L46" s="43">
        <f t="shared" si="6"/>
        <v>6961.764207528391</v>
      </c>
    </row>
    <row r="47" spans="2:13" ht="11.25">
      <c r="B47" s="5"/>
      <c r="C47" s="5"/>
      <c r="D47" s="9"/>
      <c r="E47" s="10"/>
      <c r="F47" s="10"/>
      <c r="G47" s="3" t="s">
        <v>27</v>
      </c>
      <c r="H47" s="47">
        <v>1624.53</v>
      </c>
      <c r="I47" s="27">
        <v>78802.65</v>
      </c>
      <c r="J47" s="47">
        <f t="shared" si="7"/>
        <v>42.64687674910171</v>
      </c>
      <c r="K47" s="43">
        <f t="shared" si="8"/>
        <v>6204.70776212701</v>
      </c>
      <c r="L47" s="43">
        <f t="shared" si="6"/>
        <v>6247.3546388761115</v>
      </c>
      <c r="M47" s="49"/>
    </row>
    <row r="48" spans="2:12" ht="11.25">
      <c r="B48" s="5"/>
      <c r="C48" s="5"/>
      <c r="D48" s="9"/>
      <c r="E48" s="10"/>
      <c r="F48" s="10"/>
      <c r="H48" s="47"/>
      <c r="I48" s="27"/>
      <c r="J48" s="47"/>
      <c r="K48" s="43"/>
      <c r="L48" s="43"/>
    </row>
    <row r="49" spans="2:12" ht="11.25">
      <c r="B49" s="5"/>
      <c r="C49" s="5"/>
      <c r="D49" s="9"/>
      <c r="E49" s="10"/>
      <c r="F49" s="10"/>
      <c r="H49" s="47"/>
      <c r="I49" s="27"/>
      <c r="J49" s="47"/>
      <c r="K49" s="43"/>
      <c r="L49" s="43"/>
    </row>
    <row r="50" spans="2:12" ht="11.25">
      <c r="B50" s="5"/>
      <c r="C50" s="5"/>
      <c r="D50" s="9"/>
      <c r="E50" s="10"/>
      <c r="F50" s="10"/>
      <c r="H50" s="47"/>
      <c r="I50" s="27"/>
      <c r="J50" s="47"/>
      <c r="K50" s="43"/>
      <c r="L50" s="43"/>
    </row>
    <row r="51" spans="1:12" ht="11.25">
      <c r="A51" s="4" t="s">
        <v>51</v>
      </c>
      <c r="C51" s="5"/>
      <c r="D51" s="103" t="s">
        <v>53</v>
      </c>
      <c r="E51" s="103"/>
      <c r="F51" s="103"/>
      <c r="G51" s="103"/>
      <c r="H51" s="103"/>
      <c r="I51" s="27"/>
      <c r="J51" s="47"/>
      <c r="K51" s="43"/>
      <c r="L51" s="43"/>
    </row>
    <row r="52" spans="2:12" ht="11.25">
      <c r="B52" s="5"/>
      <c r="C52" s="5"/>
      <c r="D52" s="103" t="s">
        <v>186</v>
      </c>
      <c r="E52" s="103"/>
      <c r="F52" s="103"/>
      <c r="G52" s="103"/>
      <c r="H52" s="103"/>
      <c r="I52" s="27"/>
      <c r="J52" s="47"/>
      <c r="K52" s="43"/>
      <c r="L52" s="43"/>
    </row>
    <row r="53" spans="2:12" ht="11.25">
      <c r="B53" s="5"/>
      <c r="C53" s="5"/>
      <c r="D53" s="103" t="s">
        <v>43</v>
      </c>
      <c r="E53" s="104"/>
      <c r="F53" s="104"/>
      <c r="G53" s="104"/>
      <c r="H53" s="104"/>
      <c r="I53" s="27"/>
      <c r="J53" s="47"/>
      <c r="K53" s="43"/>
      <c r="L53" s="43"/>
    </row>
    <row r="54" spans="2:12" ht="11.25">
      <c r="B54" s="5"/>
      <c r="C54" s="5"/>
      <c r="D54" s="9"/>
      <c r="E54" s="10"/>
      <c r="F54" s="10"/>
      <c r="H54" s="47"/>
      <c r="I54" s="27"/>
      <c r="J54" s="47"/>
      <c r="K54" s="43"/>
      <c r="L54" s="43"/>
    </row>
    <row r="55" spans="1:12" ht="11.25">
      <c r="A55" s="4" t="s">
        <v>180</v>
      </c>
      <c r="B55" s="5"/>
      <c r="C55" s="18" t="s">
        <v>181</v>
      </c>
      <c r="D55" s="19">
        <f>257376/12</f>
        <v>21448</v>
      </c>
      <c r="E55" s="6" t="s">
        <v>182</v>
      </c>
      <c r="F55" s="10"/>
      <c r="H55" s="47"/>
      <c r="I55" s="27"/>
      <c r="J55" s="47"/>
      <c r="K55" s="43"/>
      <c r="L55" s="43"/>
    </row>
    <row r="56" spans="2:12" ht="11.25">
      <c r="B56" s="5"/>
      <c r="C56" s="5"/>
      <c r="D56" s="9"/>
      <c r="E56" s="10"/>
      <c r="F56" s="10"/>
      <c r="H56" s="47"/>
      <c r="I56" s="27"/>
      <c r="J56" s="47"/>
      <c r="K56" s="43"/>
      <c r="L56" s="43"/>
    </row>
    <row r="57" spans="1:12" ht="11.25">
      <c r="A57" s="4" t="s">
        <v>0</v>
      </c>
      <c r="B57" s="18" t="s">
        <v>1</v>
      </c>
      <c r="C57" s="18" t="s">
        <v>2</v>
      </c>
      <c r="D57" s="19" t="s">
        <v>3</v>
      </c>
      <c r="E57" s="6" t="s">
        <v>4</v>
      </c>
      <c r="F57" s="14" t="s">
        <v>4</v>
      </c>
      <c r="G57" s="4" t="s">
        <v>5</v>
      </c>
      <c r="H57" s="51" t="s">
        <v>3</v>
      </c>
      <c r="I57" s="12" t="s">
        <v>110</v>
      </c>
      <c r="J57" s="51" t="s">
        <v>7</v>
      </c>
      <c r="K57" s="48" t="s">
        <v>8</v>
      </c>
      <c r="L57" s="48" t="s">
        <v>9</v>
      </c>
    </row>
    <row r="58" spans="1:12" ht="11.25">
      <c r="A58" s="4"/>
      <c r="B58" s="18" t="s">
        <v>10</v>
      </c>
      <c r="C58" s="18" t="s">
        <v>11</v>
      </c>
      <c r="D58" s="19" t="s">
        <v>12</v>
      </c>
      <c r="E58" s="6" t="s">
        <v>13</v>
      </c>
      <c r="F58" s="14" t="s">
        <v>109</v>
      </c>
      <c r="G58" s="4"/>
      <c r="H58" s="51" t="s">
        <v>14</v>
      </c>
      <c r="I58" s="12" t="s">
        <v>111</v>
      </c>
      <c r="J58" s="51" t="s">
        <v>16</v>
      </c>
      <c r="K58" s="48" t="s">
        <v>16</v>
      </c>
      <c r="L58" s="48" t="s">
        <v>16</v>
      </c>
    </row>
    <row r="59" spans="2:12" ht="11.25">
      <c r="B59" s="5"/>
      <c r="C59" s="5"/>
      <c r="D59" s="9"/>
      <c r="E59" s="10"/>
      <c r="F59" s="10"/>
      <c r="H59" s="47"/>
      <c r="I59" s="27"/>
      <c r="J59" s="47"/>
      <c r="K59" s="43"/>
      <c r="L59" s="43"/>
    </row>
    <row r="60" spans="2:12" ht="11.25">
      <c r="B60" s="5"/>
      <c r="C60" s="5"/>
      <c r="D60" s="9"/>
      <c r="E60" s="10"/>
      <c r="F60" s="10"/>
      <c r="H60" s="47"/>
      <c r="I60" s="27"/>
      <c r="J60" s="47"/>
      <c r="K60" s="43"/>
      <c r="L60" s="43"/>
    </row>
    <row r="61" spans="1:12" ht="11.25">
      <c r="A61" s="11" t="s">
        <v>31</v>
      </c>
      <c r="B61" s="41">
        <f>'2004 Mar-Dec Fixed Variable Cal'!F88</f>
        <v>0.14203521706204636</v>
      </c>
      <c r="C61" s="41">
        <f>'2004 Mar-Dec Fixed Variable Cal'!G88</f>
        <v>1.3851192196063251</v>
      </c>
      <c r="D61" s="9">
        <v>1.4</v>
      </c>
      <c r="E61" s="10">
        <f>B61/D61</f>
        <v>0.10145372647289026</v>
      </c>
      <c r="F61" s="10">
        <f>'2004 Mar-Dec Fixed Variable Cal'!G102</f>
        <v>0.4247789559636669</v>
      </c>
      <c r="G61" s="3" t="s">
        <v>40</v>
      </c>
      <c r="H61" s="47">
        <v>0</v>
      </c>
      <c r="I61" s="27">
        <v>0</v>
      </c>
      <c r="J61" s="47">
        <f>H61*E$61</f>
        <v>0</v>
      </c>
      <c r="K61" s="43">
        <f>$F$10*I61</f>
        <v>0</v>
      </c>
      <c r="L61" s="43">
        <f>SUM(J61:K61)</f>
        <v>0</v>
      </c>
    </row>
    <row r="62" spans="1:12" ht="11.25">
      <c r="A62" s="11" t="s">
        <v>32</v>
      </c>
      <c r="B62" s="5"/>
      <c r="C62" s="5"/>
      <c r="D62" s="9"/>
      <c r="E62" s="10"/>
      <c r="F62" s="10"/>
      <c r="G62" s="3" t="s">
        <v>39</v>
      </c>
      <c r="H62" s="47">
        <v>0</v>
      </c>
      <c r="I62" s="27">
        <v>0</v>
      </c>
      <c r="J62" s="47">
        <f>H62*E$61</f>
        <v>0</v>
      </c>
      <c r="K62" s="43">
        <f>$F$10*I62</f>
        <v>0</v>
      </c>
      <c r="L62" s="43">
        <f>SUM(J62:K62)</f>
        <v>0</v>
      </c>
    </row>
    <row r="63" spans="2:12" ht="11.25">
      <c r="B63" s="5"/>
      <c r="C63" s="5"/>
      <c r="D63" s="9"/>
      <c r="E63" s="10"/>
      <c r="F63" s="10"/>
      <c r="G63" s="3" t="s">
        <v>18</v>
      </c>
      <c r="H63" s="47">
        <v>0</v>
      </c>
      <c r="I63" s="27">
        <v>0</v>
      </c>
      <c r="J63" s="47">
        <f>H63*$E$61</f>
        <v>0</v>
      </c>
      <c r="K63" s="43">
        <f>$F$10*I63</f>
        <v>0</v>
      </c>
      <c r="L63" s="43">
        <f>SUM(J63:K63)</f>
        <v>0</v>
      </c>
    </row>
    <row r="64" spans="2:12" ht="11.25">
      <c r="B64" s="5"/>
      <c r="C64" s="5"/>
      <c r="D64" s="9"/>
      <c r="E64" s="10"/>
      <c r="F64" s="10"/>
      <c r="G64" s="3" t="s">
        <v>19</v>
      </c>
      <c r="H64" s="47">
        <v>5.21</v>
      </c>
      <c r="I64" s="27">
        <v>2.26</v>
      </c>
      <c r="J64" s="47">
        <f aca="true" t="shared" si="9" ref="J64:J72">H64*$E$61</f>
        <v>0.5285739149237583</v>
      </c>
      <c r="K64" s="43">
        <f>$F$61*I64</f>
        <v>0.960000440477887</v>
      </c>
      <c r="L64" s="43">
        <f>SUM(J64:K64)</f>
        <v>1.4885743554016453</v>
      </c>
    </row>
    <row r="65" spans="2:12" ht="11.25">
      <c r="B65" s="5"/>
      <c r="C65" s="5"/>
      <c r="D65" s="9"/>
      <c r="E65" s="10"/>
      <c r="F65" s="10"/>
      <c r="G65" s="3" t="s">
        <v>20</v>
      </c>
      <c r="H65" s="47">
        <v>47.59</v>
      </c>
      <c r="I65" s="27">
        <v>24.08</v>
      </c>
      <c r="J65" s="47">
        <f t="shared" si="9"/>
        <v>4.828182842844848</v>
      </c>
      <c r="K65" s="43">
        <f aca="true" t="shared" si="10" ref="K65:K72">$F$61*I65</f>
        <v>10.228677259605098</v>
      </c>
      <c r="L65" s="43">
        <f>SUM(J65:K65)</f>
        <v>15.056860102449946</v>
      </c>
    </row>
    <row r="66" spans="2:12" ht="11.25">
      <c r="B66" s="5"/>
      <c r="C66" s="5"/>
      <c r="D66" s="9"/>
      <c r="E66" s="10"/>
      <c r="F66" s="10"/>
      <c r="G66" s="3" t="s">
        <v>21</v>
      </c>
      <c r="H66" s="47">
        <v>51.11</v>
      </c>
      <c r="I66" s="27">
        <v>26.38</v>
      </c>
      <c r="J66" s="47">
        <f t="shared" si="9"/>
        <v>5.185299960029421</v>
      </c>
      <c r="K66" s="43">
        <f t="shared" si="10"/>
        <v>11.205668858321532</v>
      </c>
      <c r="L66" s="43">
        <f aca="true" t="shared" si="11" ref="L66:L71">SUM(J66:K66)</f>
        <v>16.390968818350952</v>
      </c>
    </row>
    <row r="67" spans="2:12" ht="11.25">
      <c r="B67" s="5"/>
      <c r="C67" s="40"/>
      <c r="D67" s="32"/>
      <c r="E67" s="10"/>
      <c r="F67" s="10"/>
      <c r="G67" s="3" t="s">
        <v>22</v>
      </c>
      <c r="H67" s="47">
        <v>49.85</v>
      </c>
      <c r="I67" s="27">
        <v>25.47</v>
      </c>
      <c r="J67" s="47">
        <f t="shared" si="9"/>
        <v>5.05746826467358</v>
      </c>
      <c r="K67" s="43">
        <f t="shared" si="10"/>
        <v>10.819120008394595</v>
      </c>
      <c r="L67" s="43">
        <f t="shared" si="11"/>
        <v>15.876588273068176</v>
      </c>
    </row>
    <row r="68" spans="2:12" ht="11.25">
      <c r="B68" s="5"/>
      <c r="C68" s="40"/>
      <c r="D68" s="32"/>
      <c r="E68" s="10"/>
      <c r="F68" s="10"/>
      <c r="G68" s="3" t="s">
        <v>23</v>
      </c>
      <c r="H68" s="47">
        <v>47.6</v>
      </c>
      <c r="I68" s="27">
        <v>24.42</v>
      </c>
      <c r="J68" s="47">
        <f t="shared" si="9"/>
        <v>4.829197380109576</v>
      </c>
      <c r="K68" s="43">
        <f t="shared" si="10"/>
        <v>10.373102104632746</v>
      </c>
      <c r="L68" s="43">
        <f t="shared" si="11"/>
        <v>15.202299484742323</v>
      </c>
    </row>
    <row r="69" spans="2:12" ht="11.25">
      <c r="B69" s="5"/>
      <c r="C69" s="40"/>
      <c r="D69" s="32"/>
      <c r="E69" s="10"/>
      <c r="F69" s="10"/>
      <c r="G69" s="3" t="s">
        <v>24</v>
      </c>
      <c r="H69" s="47">
        <v>47.6</v>
      </c>
      <c r="I69" s="27">
        <v>24.42</v>
      </c>
      <c r="J69" s="47">
        <f t="shared" si="9"/>
        <v>4.829197380109576</v>
      </c>
      <c r="K69" s="43">
        <f t="shared" si="10"/>
        <v>10.373102104632746</v>
      </c>
      <c r="L69" s="43">
        <f t="shared" si="11"/>
        <v>15.202299484742323</v>
      </c>
    </row>
    <row r="70" spans="2:12" ht="11.25">
      <c r="B70" s="5"/>
      <c r="C70" s="5"/>
      <c r="D70" s="9"/>
      <c r="E70" s="10"/>
      <c r="F70" s="10"/>
      <c r="G70" s="3" t="s">
        <v>25</v>
      </c>
      <c r="H70" s="47">
        <v>49.56</v>
      </c>
      <c r="I70" s="27">
        <v>25.15</v>
      </c>
      <c r="J70" s="47">
        <f t="shared" si="9"/>
        <v>5.0280466839964415</v>
      </c>
      <c r="K70" s="43">
        <f t="shared" si="10"/>
        <v>10.683190742486222</v>
      </c>
      <c r="L70" s="43">
        <f t="shared" si="11"/>
        <v>15.711237426482663</v>
      </c>
    </row>
    <row r="71" spans="2:12" ht="11.25">
      <c r="B71" s="5"/>
      <c r="C71" s="5"/>
      <c r="D71" s="9"/>
      <c r="E71" s="10"/>
      <c r="F71" s="10"/>
      <c r="G71" s="3" t="s">
        <v>26</v>
      </c>
      <c r="H71" s="47">
        <v>27.55</v>
      </c>
      <c r="I71" s="27">
        <v>10.23</v>
      </c>
      <c r="J71" s="47">
        <f t="shared" si="9"/>
        <v>2.795050164328127</v>
      </c>
      <c r="K71" s="43">
        <f t="shared" si="10"/>
        <v>4.345488719508312</v>
      </c>
      <c r="L71" s="43">
        <f t="shared" si="11"/>
        <v>7.140538883836439</v>
      </c>
    </row>
    <row r="72" spans="2:13" ht="11.25">
      <c r="B72" s="5"/>
      <c r="C72" s="5"/>
      <c r="D72" s="9"/>
      <c r="E72" s="10"/>
      <c r="F72" s="10"/>
      <c r="G72" s="3" t="s">
        <v>27</v>
      </c>
      <c r="H72" s="47">
        <v>98.58</v>
      </c>
      <c r="I72" s="27">
        <v>17.65</v>
      </c>
      <c r="J72" s="47">
        <f t="shared" si="9"/>
        <v>10.001308355697521</v>
      </c>
      <c r="K72" s="43">
        <f t="shared" si="10"/>
        <v>7.49734857275872</v>
      </c>
      <c r="L72" s="43">
        <f>SUM(J72:K72)</f>
        <v>17.498656928456242</v>
      </c>
      <c r="M72" s="49"/>
    </row>
    <row r="73" spans="1:12" ht="11.25">
      <c r="A73" s="4"/>
      <c r="B73" s="18"/>
      <c r="C73" s="18"/>
      <c r="D73" s="19"/>
      <c r="E73" s="6"/>
      <c r="F73" s="6"/>
      <c r="G73" s="4"/>
      <c r="H73" s="51"/>
      <c r="I73" s="36"/>
      <c r="J73" s="51"/>
      <c r="K73" s="48"/>
      <c r="L73" s="48"/>
    </row>
    <row r="74" spans="1:12" ht="11.25">
      <c r="A74" s="4" t="s">
        <v>33</v>
      </c>
      <c r="B74" s="41">
        <f>'2004 Mar-Dec Fixed Variable Cal'!F87</f>
        <v>0.019278630156443752</v>
      </c>
      <c r="C74" s="41">
        <f>'2004 Mar-Dec Fixed Variable Cal'!G87</f>
        <v>0.0662848859003939</v>
      </c>
      <c r="D74" s="9">
        <v>0.97</v>
      </c>
      <c r="E74" s="10">
        <f>B74/D74</f>
        <v>0.019874876449942014</v>
      </c>
      <c r="F74" s="10">
        <f>'2004 Mar-Dec Fixed Variable Cal'!G101</f>
        <v>0.04499686776213013</v>
      </c>
      <c r="G74" s="3" t="s">
        <v>40</v>
      </c>
      <c r="H74" s="47">
        <v>0</v>
      </c>
      <c r="I74" s="27">
        <v>0</v>
      </c>
      <c r="J74" s="47">
        <f>E74*H74</f>
        <v>0</v>
      </c>
      <c r="K74" s="43">
        <f>$F$10*I74</f>
        <v>0</v>
      </c>
      <c r="L74" s="43">
        <f>SUM(J74:K74)</f>
        <v>0</v>
      </c>
    </row>
    <row r="75" spans="1:12" ht="11.25">
      <c r="A75" s="4" t="s">
        <v>34</v>
      </c>
      <c r="B75" s="5"/>
      <c r="C75" s="5"/>
      <c r="D75" s="9"/>
      <c r="E75" s="10"/>
      <c r="F75" s="10"/>
      <c r="G75" s="3" t="s">
        <v>39</v>
      </c>
      <c r="H75" s="47">
        <v>0</v>
      </c>
      <c r="I75" s="27">
        <v>0</v>
      </c>
      <c r="J75" s="47">
        <f>E74*H75</f>
        <v>0</v>
      </c>
      <c r="K75" s="43">
        <f>$F$10*I75</f>
        <v>0</v>
      </c>
      <c r="L75" s="43">
        <f aca="true" t="shared" si="12" ref="L75:L85">+J75+K75</f>
        <v>0</v>
      </c>
    </row>
    <row r="76" spans="2:12" ht="11.25">
      <c r="B76" s="5"/>
      <c r="C76" s="5"/>
      <c r="D76" s="9"/>
      <c r="E76" s="10"/>
      <c r="F76" s="10"/>
      <c r="G76" s="3" t="s">
        <v>18</v>
      </c>
      <c r="H76" s="47">
        <v>0</v>
      </c>
      <c r="I76" s="27">
        <v>0</v>
      </c>
      <c r="J76" s="47">
        <f>+E74*H76</f>
        <v>0</v>
      </c>
      <c r="K76" s="43">
        <f>$F$10*I76</f>
        <v>0</v>
      </c>
      <c r="L76" s="43">
        <f t="shared" si="12"/>
        <v>0</v>
      </c>
    </row>
    <row r="77" spans="2:12" ht="11.25">
      <c r="B77" s="5"/>
      <c r="C77" s="5"/>
      <c r="D77" s="9"/>
      <c r="E77" s="10"/>
      <c r="F77" s="10"/>
      <c r="G77" s="3" t="s">
        <v>19</v>
      </c>
      <c r="H77" s="47">
        <v>1319.2</v>
      </c>
      <c r="I77" s="27">
        <v>372.58</v>
      </c>
      <c r="J77" s="47">
        <f>+H77*E74</f>
        <v>26.218937012763504</v>
      </c>
      <c r="K77" s="43">
        <f>$F$74*I77</f>
        <v>16.764932990814444</v>
      </c>
      <c r="L77" s="43">
        <f t="shared" si="12"/>
        <v>42.98387000357795</v>
      </c>
    </row>
    <row r="78" spans="2:12" ht="11.25">
      <c r="B78" s="5"/>
      <c r="C78" s="5"/>
      <c r="D78" s="9"/>
      <c r="E78" s="10"/>
      <c r="F78" s="10"/>
      <c r="G78" s="3" t="s">
        <v>20</v>
      </c>
      <c r="H78" s="47">
        <v>1330.84</v>
      </c>
      <c r="I78" s="27">
        <v>378.06</v>
      </c>
      <c r="J78" s="47">
        <f>E74*H78</f>
        <v>26.45028057464083</v>
      </c>
      <c r="K78" s="43">
        <f aca="true" t="shared" si="13" ref="K78:K85">$F$74*I78</f>
        <v>17.01151582615092</v>
      </c>
      <c r="L78" s="43">
        <f t="shared" si="12"/>
        <v>43.46179640079175</v>
      </c>
    </row>
    <row r="79" spans="2:12" ht="11.25">
      <c r="B79" s="5"/>
      <c r="C79" s="5"/>
      <c r="D79" s="9"/>
      <c r="E79" s="10"/>
      <c r="F79" s="10"/>
      <c r="G79" s="3" t="s">
        <v>21</v>
      </c>
      <c r="H79" s="47">
        <v>1330.84</v>
      </c>
      <c r="I79" s="27">
        <v>378.06</v>
      </c>
      <c r="J79" s="47">
        <f>+E74*H79</f>
        <v>26.45028057464083</v>
      </c>
      <c r="K79" s="43">
        <f t="shared" si="13"/>
        <v>17.01151582615092</v>
      </c>
      <c r="L79" s="43">
        <f t="shared" si="12"/>
        <v>43.46179640079175</v>
      </c>
    </row>
    <row r="80" spans="2:12" ht="11.25">
      <c r="B80" s="5"/>
      <c r="C80" s="40"/>
      <c r="D80" s="32"/>
      <c r="E80" s="10"/>
      <c r="F80" s="10"/>
      <c r="G80" s="3" t="s">
        <v>22</v>
      </c>
      <c r="H80" s="47">
        <v>11.64</v>
      </c>
      <c r="I80" s="27">
        <v>5.48</v>
      </c>
      <c r="J80" s="47">
        <f>E74*H80</f>
        <v>0.23134356187732505</v>
      </c>
      <c r="K80" s="43">
        <f t="shared" si="13"/>
        <v>0.24658283533647316</v>
      </c>
      <c r="L80" s="43">
        <f t="shared" si="12"/>
        <v>0.4779263972137982</v>
      </c>
    </row>
    <row r="81" spans="2:12" ht="11.25">
      <c r="B81" s="5"/>
      <c r="C81" s="40"/>
      <c r="D81" s="32"/>
      <c r="E81" s="10"/>
      <c r="F81" s="10"/>
      <c r="G81" s="3" t="s">
        <v>23</v>
      </c>
      <c r="H81" s="47">
        <v>2650.04</v>
      </c>
      <c r="I81" s="27">
        <v>750.64</v>
      </c>
      <c r="J81" s="47">
        <f>E74*H81</f>
        <v>52.66921758740433</v>
      </c>
      <c r="K81" s="43">
        <f t="shared" si="13"/>
        <v>33.77644881696536</v>
      </c>
      <c r="L81" s="43">
        <f t="shared" si="12"/>
        <v>86.44566640436969</v>
      </c>
    </row>
    <row r="82" spans="2:12" ht="11.25">
      <c r="B82" s="5"/>
      <c r="C82" s="5"/>
      <c r="D82" s="9"/>
      <c r="E82" s="10"/>
      <c r="F82" s="10"/>
      <c r="G82" s="3" t="s">
        <v>24</v>
      </c>
      <c r="H82" s="47">
        <v>1330.84</v>
      </c>
      <c r="I82" s="27">
        <v>374.64</v>
      </c>
      <c r="J82" s="47">
        <f>E74*H82</f>
        <v>26.45028057464083</v>
      </c>
      <c r="K82" s="43">
        <f t="shared" si="13"/>
        <v>16.857626538404432</v>
      </c>
      <c r="L82" s="43">
        <f t="shared" si="12"/>
        <v>43.30790711304526</v>
      </c>
    </row>
    <row r="83" spans="2:12" ht="11.25">
      <c r="B83" s="5"/>
      <c r="C83" s="5"/>
      <c r="D83" s="9"/>
      <c r="E83" s="10"/>
      <c r="F83" s="10"/>
      <c r="G83" s="3" t="s">
        <v>25</v>
      </c>
      <c r="H83" s="47">
        <v>1330.84</v>
      </c>
      <c r="I83" s="27">
        <v>378.06</v>
      </c>
      <c r="J83" s="47">
        <f>E74*H83</f>
        <v>26.45028057464083</v>
      </c>
      <c r="K83" s="43">
        <f t="shared" si="13"/>
        <v>17.01151582615092</v>
      </c>
      <c r="L83" s="43">
        <f t="shared" si="12"/>
        <v>43.46179640079175</v>
      </c>
    </row>
    <row r="84" spans="2:12" ht="11.25">
      <c r="B84" s="5"/>
      <c r="C84" s="5"/>
      <c r="D84" s="9"/>
      <c r="E84" s="10"/>
      <c r="F84" s="10"/>
      <c r="G84" s="3" t="s">
        <v>26</v>
      </c>
      <c r="H84" s="47">
        <v>1330.84</v>
      </c>
      <c r="I84" s="27">
        <v>378.06</v>
      </c>
      <c r="J84" s="47">
        <f>E74*H84</f>
        <v>26.45028057464083</v>
      </c>
      <c r="K84" s="43">
        <f t="shared" si="13"/>
        <v>17.01151582615092</v>
      </c>
      <c r="L84" s="43">
        <f t="shared" si="12"/>
        <v>43.46179640079175</v>
      </c>
    </row>
    <row r="85" spans="2:13" ht="11.25">
      <c r="B85" s="5"/>
      <c r="C85" s="5"/>
      <c r="D85" s="9"/>
      <c r="E85" s="10"/>
      <c r="F85" s="10"/>
      <c r="G85" s="3" t="s">
        <v>27</v>
      </c>
      <c r="H85" s="47">
        <v>1237.72</v>
      </c>
      <c r="I85" s="27">
        <v>334.22</v>
      </c>
      <c r="J85" s="47">
        <f>E74*H85</f>
        <v>24.59953207962223</v>
      </c>
      <c r="K85" s="43">
        <f t="shared" si="13"/>
        <v>15.038853143459134</v>
      </c>
      <c r="L85" s="43">
        <f t="shared" si="12"/>
        <v>39.638385223081364</v>
      </c>
      <c r="M85" s="49"/>
    </row>
    <row r="86" spans="8:10" ht="11.25">
      <c r="H86" s="26"/>
      <c r="I86" s="27"/>
      <c r="J86" s="26"/>
    </row>
    <row r="87" spans="8:10" ht="11.25">
      <c r="H87" s="26"/>
      <c r="I87" s="27"/>
      <c r="J87" s="26"/>
    </row>
    <row r="88" spans="8:12" ht="11.25">
      <c r="H88" s="26"/>
      <c r="I88" s="27"/>
      <c r="J88" s="26"/>
      <c r="L88" s="49">
        <f>SUM(L9:L86)</f>
        <v>187495.9116541343</v>
      </c>
    </row>
    <row r="89" spans="8:12" ht="11.25">
      <c r="H89" s="26"/>
      <c r="I89" s="27"/>
      <c r="J89" s="26"/>
      <c r="L89" s="32"/>
    </row>
    <row r="90" spans="8:12" ht="11.25">
      <c r="H90" s="26"/>
      <c r="I90" s="27"/>
      <c r="J90" s="26"/>
      <c r="L90" s="49"/>
    </row>
    <row r="91" spans="8:10" ht="11.25">
      <c r="H91" s="26"/>
      <c r="I91" s="27"/>
      <c r="J91" s="26"/>
    </row>
    <row r="92" spans="8:10" ht="11.25">
      <c r="H92" s="26"/>
      <c r="I92" s="27"/>
      <c r="J92" s="26"/>
    </row>
    <row r="93" spans="8:10" ht="11.25">
      <c r="H93" s="26"/>
      <c r="I93" s="27"/>
      <c r="J93" s="26"/>
    </row>
    <row r="94" spans="8:10" ht="11.25">
      <c r="H94" s="26"/>
      <c r="I94" s="27"/>
      <c r="J94" s="26"/>
    </row>
    <row r="95" spans="8:10" ht="11.25">
      <c r="H95" s="26"/>
      <c r="I95" s="27"/>
      <c r="J95" s="26"/>
    </row>
    <row r="96" spans="8:10" ht="11.25">
      <c r="H96" s="26"/>
      <c r="I96" s="27"/>
      <c r="J96" s="26"/>
    </row>
    <row r="97" spans="8:10" ht="11.25">
      <c r="H97" s="26"/>
      <c r="I97" s="27"/>
      <c r="J97" s="26"/>
    </row>
    <row r="98" spans="8:10" ht="11.25">
      <c r="H98" s="26"/>
      <c r="I98" s="27"/>
      <c r="J98" s="26"/>
    </row>
    <row r="99" spans="8:10" ht="11.25">
      <c r="H99" s="26"/>
      <c r="I99" s="27"/>
      <c r="J99" s="26"/>
    </row>
    <row r="100" spans="8:10" ht="11.25">
      <c r="H100" s="26"/>
      <c r="I100" s="27"/>
      <c r="J100" s="26"/>
    </row>
    <row r="101" spans="8:10" ht="11.25">
      <c r="H101" s="26"/>
      <c r="I101" s="27"/>
      <c r="J101" s="26"/>
    </row>
    <row r="102" spans="8:10" ht="11.25">
      <c r="H102" s="26"/>
      <c r="I102" s="27"/>
      <c r="J102" s="26"/>
    </row>
    <row r="103" spans="8:10" ht="11.25">
      <c r="H103" s="26"/>
      <c r="I103" s="27"/>
      <c r="J103" s="26"/>
    </row>
    <row r="104" spans="8:10" ht="11.25">
      <c r="H104" s="26"/>
      <c r="I104" s="27"/>
      <c r="J104" s="26"/>
    </row>
    <row r="105" spans="8:10" ht="11.25">
      <c r="H105" s="26"/>
      <c r="I105" s="27"/>
      <c r="J105" s="26"/>
    </row>
    <row r="106" spans="8:10" ht="11.25">
      <c r="H106" s="26"/>
      <c r="I106" s="27"/>
      <c r="J106" s="26"/>
    </row>
    <row r="107" spans="8:10" ht="11.25">
      <c r="H107" s="26"/>
      <c r="I107" s="27"/>
      <c r="J107" s="26"/>
    </row>
    <row r="108" spans="8:10" ht="11.25">
      <c r="H108" s="26"/>
      <c r="I108" s="27"/>
      <c r="J108" s="26"/>
    </row>
    <row r="109" spans="8:10" ht="11.25">
      <c r="H109" s="26"/>
      <c r="I109" s="27"/>
      <c r="J109" s="26"/>
    </row>
    <row r="110" spans="8:10" ht="11.25">
      <c r="H110" s="26"/>
      <c r="I110" s="27"/>
      <c r="J110" s="26"/>
    </row>
    <row r="111" spans="8:10" ht="11.25">
      <c r="H111" s="26"/>
      <c r="I111" s="27"/>
      <c r="J111" s="26"/>
    </row>
    <row r="112" spans="8:10" ht="11.25">
      <c r="H112" s="26"/>
      <c r="I112" s="27"/>
      <c r="J112" s="26"/>
    </row>
    <row r="113" spans="8:10" ht="11.25">
      <c r="H113" s="26"/>
      <c r="I113" s="27"/>
      <c r="J113" s="26"/>
    </row>
    <row r="114" spans="8:10" ht="11.25">
      <c r="H114" s="26"/>
      <c r="I114" s="27"/>
      <c r="J114" s="26"/>
    </row>
    <row r="115" spans="8:10" ht="11.25">
      <c r="H115" s="26"/>
      <c r="I115" s="27"/>
      <c r="J115" s="26"/>
    </row>
    <row r="116" spans="8:10" ht="11.25">
      <c r="H116" s="26"/>
      <c r="I116" s="27"/>
      <c r="J116" s="26"/>
    </row>
    <row r="117" spans="8:10" ht="11.25">
      <c r="H117" s="26"/>
      <c r="I117" s="27"/>
      <c r="J117" s="26"/>
    </row>
    <row r="118" spans="8:10" ht="11.25">
      <c r="H118" s="26"/>
      <c r="I118" s="27"/>
      <c r="J118" s="26"/>
    </row>
    <row r="119" spans="8:10" ht="11.25">
      <c r="H119" s="26"/>
      <c r="I119" s="27"/>
      <c r="J119" s="26"/>
    </row>
    <row r="120" spans="8:10" ht="11.25">
      <c r="H120" s="26"/>
      <c r="I120" s="27"/>
      <c r="J120" s="26"/>
    </row>
    <row r="121" spans="8:10" ht="11.25">
      <c r="H121" s="26"/>
      <c r="I121" s="27"/>
      <c r="J121" s="26"/>
    </row>
  </sheetData>
  <sheetProtection/>
  <mergeCells count="6">
    <mergeCell ref="D52:H52"/>
    <mergeCell ref="D53:H53"/>
    <mergeCell ref="D1:H1"/>
    <mergeCell ref="D2:H2"/>
    <mergeCell ref="D3:H3"/>
    <mergeCell ref="D51:H51"/>
  </mergeCells>
  <printOptions/>
  <pageMargins left="0.7" right="0.7" top="0.75" bottom="0.75" header="0.3" footer="0.3"/>
  <pageSetup fitToHeight="0" fitToWidth="1" orientation="landscape" scale="90" r:id="rId1"/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7"/>
  <sheetViews>
    <sheetView tabSelected="1" zoomScalePageLayoutView="0" workbookViewId="0" topLeftCell="C94">
      <selection activeCell="I103" sqref="I103"/>
    </sheetView>
  </sheetViews>
  <sheetFormatPr defaultColWidth="9.140625" defaultRowHeight="12.75"/>
  <cols>
    <col min="1" max="1" width="18.421875" style="0" customWidth="1"/>
    <col min="2" max="2" width="13.7109375" style="0" customWidth="1"/>
    <col min="3" max="3" width="13.421875" style="0" customWidth="1"/>
    <col min="4" max="4" width="13.8515625" style="0" customWidth="1"/>
    <col min="5" max="5" width="12.421875" style="0" customWidth="1"/>
    <col min="6" max="6" width="13.140625" style="0" customWidth="1"/>
    <col min="7" max="7" width="13.421875" style="0" customWidth="1"/>
    <col min="8" max="8" width="13.57421875" style="0" customWidth="1"/>
    <col min="9" max="9" width="15.00390625" style="0" customWidth="1"/>
    <col min="10" max="11" width="14.140625" style="0" customWidth="1"/>
  </cols>
  <sheetData>
    <row r="1" spans="1:11" ht="12.75">
      <c r="A1" s="116" t="s">
        <v>56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>
      <c r="A2" s="117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thickTop="1">
      <c r="A4" s="3"/>
      <c r="B4" s="118" t="s">
        <v>58</v>
      </c>
      <c r="C4" s="119"/>
      <c r="D4" s="119" t="s">
        <v>59</v>
      </c>
      <c r="E4" s="119"/>
      <c r="F4" s="120" t="s">
        <v>60</v>
      </c>
      <c r="G4" s="120" t="s">
        <v>61</v>
      </c>
      <c r="H4" s="121" t="s">
        <v>62</v>
      </c>
      <c r="I4" s="121" t="s">
        <v>63</v>
      </c>
      <c r="J4" s="119" t="s">
        <v>64</v>
      </c>
      <c r="K4" s="122"/>
    </row>
    <row r="5" spans="1:11" ht="12.75">
      <c r="A5" s="3"/>
      <c r="B5" s="123" t="s">
        <v>65</v>
      </c>
      <c r="C5" s="124"/>
      <c r="D5" s="124" t="s">
        <v>66</v>
      </c>
      <c r="E5" s="124"/>
      <c r="F5" s="125" t="s">
        <v>67</v>
      </c>
      <c r="G5" s="125" t="s">
        <v>68</v>
      </c>
      <c r="H5" s="126" t="s">
        <v>69</v>
      </c>
      <c r="I5" s="126" t="s">
        <v>70</v>
      </c>
      <c r="J5" s="124" t="s">
        <v>71</v>
      </c>
      <c r="K5" s="127"/>
    </row>
    <row r="6" spans="1:11" ht="13.5" thickBot="1">
      <c r="A6" s="128"/>
      <c r="B6" s="129" t="s">
        <v>72</v>
      </c>
      <c r="C6" s="130" t="s">
        <v>73</v>
      </c>
      <c r="D6" s="131" t="s">
        <v>72</v>
      </c>
      <c r="E6" s="131" t="s">
        <v>73</v>
      </c>
      <c r="F6" s="131" t="s">
        <v>73</v>
      </c>
      <c r="G6" s="131" t="s">
        <v>73</v>
      </c>
      <c r="H6" s="132" t="s">
        <v>73</v>
      </c>
      <c r="I6" s="132" t="s">
        <v>73</v>
      </c>
      <c r="J6" s="133" t="s">
        <v>72</v>
      </c>
      <c r="K6" s="134" t="s">
        <v>73</v>
      </c>
    </row>
    <row r="7" spans="1:11" ht="12.75">
      <c r="A7" s="135" t="s">
        <v>17</v>
      </c>
      <c r="B7" s="136">
        <v>11.3</v>
      </c>
      <c r="C7" s="137">
        <v>0.017033593981902618</v>
      </c>
      <c r="D7" s="138">
        <v>9.8321</v>
      </c>
      <c r="E7" s="137">
        <v>0.0135</v>
      </c>
      <c r="F7" s="139">
        <v>0.002403</v>
      </c>
      <c r="G7" s="139">
        <v>0</v>
      </c>
      <c r="H7" s="140">
        <v>0.003267</v>
      </c>
      <c r="I7" s="140">
        <v>0.0022</v>
      </c>
      <c r="J7" s="138">
        <v>11.3</v>
      </c>
      <c r="K7" s="141">
        <v>0.017</v>
      </c>
    </row>
    <row r="8" spans="1:11" ht="12.75">
      <c r="A8" s="142" t="s">
        <v>74</v>
      </c>
      <c r="B8" s="143">
        <v>12.24</v>
      </c>
      <c r="C8" s="144">
        <v>0.014482188161968652</v>
      </c>
      <c r="D8" s="145">
        <v>10.8637</v>
      </c>
      <c r="E8" s="144">
        <v>0.01</v>
      </c>
      <c r="F8" s="146">
        <v>0.002403</v>
      </c>
      <c r="G8" s="146">
        <v>0</v>
      </c>
      <c r="H8" s="147">
        <v>0.002908</v>
      </c>
      <c r="I8" s="147">
        <v>0.0008</v>
      </c>
      <c r="J8" s="145">
        <v>12.24</v>
      </c>
      <c r="K8" s="148">
        <v>0.0145</v>
      </c>
    </row>
    <row r="9" spans="1:11" ht="12.75">
      <c r="A9" s="142" t="s">
        <v>75</v>
      </c>
      <c r="B9" s="143">
        <v>14.47</v>
      </c>
      <c r="C9" s="144">
        <v>2.7695653123905153</v>
      </c>
      <c r="D9" s="145">
        <v>12.2098</v>
      </c>
      <c r="E9" s="144">
        <v>1.472</v>
      </c>
      <c r="F9" s="146">
        <v>1.086694</v>
      </c>
      <c r="G9" s="146">
        <v>0</v>
      </c>
      <c r="H9" s="147">
        <v>0.219533</v>
      </c>
      <c r="I9" s="147">
        <v>0.0087</v>
      </c>
      <c r="J9" s="145">
        <v>14.47</v>
      </c>
      <c r="K9" s="148">
        <v>2.7696</v>
      </c>
    </row>
    <row r="10" spans="1:11" ht="12.75">
      <c r="A10" s="142" t="s">
        <v>76</v>
      </c>
      <c r="B10" s="143"/>
      <c r="C10" s="144"/>
      <c r="D10" s="145"/>
      <c r="E10" s="144"/>
      <c r="F10" s="146"/>
      <c r="G10" s="146"/>
      <c r="H10" s="147"/>
      <c r="I10" s="147"/>
      <c r="J10" s="145"/>
      <c r="K10" s="148"/>
    </row>
    <row r="11" spans="1:11" ht="12.75">
      <c r="A11" s="142" t="s">
        <v>77</v>
      </c>
      <c r="B11" s="143"/>
      <c r="C11" s="144"/>
      <c r="D11" s="145"/>
      <c r="E11" s="144"/>
      <c r="F11" s="146"/>
      <c r="G11" s="146"/>
      <c r="H11" s="147"/>
      <c r="I11" s="147"/>
      <c r="J11" s="145"/>
      <c r="K11" s="148"/>
    </row>
    <row r="12" spans="1:11" ht="12.75">
      <c r="A12" s="142" t="s">
        <v>78</v>
      </c>
      <c r="B12" s="143"/>
      <c r="C12" s="144"/>
      <c r="D12" s="145"/>
      <c r="E12" s="144"/>
      <c r="F12" s="146"/>
      <c r="G12" s="146"/>
      <c r="H12" s="147"/>
      <c r="I12" s="147"/>
      <c r="J12" s="145"/>
      <c r="K12" s="148"/>
    </row>
    <row r="13" spans="1:11" ht="12.75">
      <c r="A13" s="142" t="s">
        <v>79</v>
      </c>
      <c r="B13" s="143">
        <v>0.97</v>
      </c>
      <c r="C13" s="144">
        <v>1.4730709992928785</v>
      </c>
      <c r="D13" s="145">
        <v>0.8564</v>
      </c>
      <c r="E13" s="144">
        <v>1.0825</v>
      </c>
      <c r="F13" s="146">
        <v>0.9119</v>
      </c>
      <c r="G13" s="146">
        <v>0</v>
      </c>
      <c r="H13" s="147">
        <v>0.186386</v>
      </c>
      <c r="I13" s="147">
        <v>0.7077</v>
      </c>
      <c r="J13" s="145">
        <v>0.97</v>
      </c>
      <c r="K13" s="148">
        <v>1.4731</v>
      </c>
    </row>
    <row r="14" spans="1:11" ht="12.75">
      <c r="A14" s="142" t="s">
        <v>80</v>
      </c>
      <c r="B14" s="143">
        <v>1.4</v>
      </c>
      <c r="C14" s="144">
        <v>3.2607589701154014</v>
      </c>
      <c r="D14" s="145">
        <v>1.2039</v>
      </c>
      <c r="E14" s="144">
        <v>1.3484</v>
      </c>
      <c r="F14" s="146">
        <v>0.961118</v>
      </c>
      <c r="G14" s="146">
        <v>0</v>
      </c>
      <c r="H14" s="147">
        <v>2.524982</v>
      </c>
      <c r="I14" s="147">
        <v>1.573744145</v>
      </c>
      <c r="J14" s="145">
        <v>1.4</v>
      </c>
      <c r="K14" s="148">
        <v>3.2608</v>
      </c>
    </row>
    <row r="15" spans="1:11" ht="13.5" thickBot="1">
      <c r="A15" s="149" t="s">
        <v>81</v>
      </c>
      <c r="B15" s="150"/>
      <c r="C15" s="151"/>
      <c r="D15" s="152"/>
      <c r="E15" s="151"/>
      <c r="F15" s="153"/>
      <c r="G15" s="153"/>
      <c r="H15" s="154"/>
      <c r="I15" s="154"/>
      <c r="J15" s="152"/>
      <c r="K15" s="155"/>
    </row>
    <row r="16" spans="1:11" ht="12.75">
      <c r="A16" s="85"/>
      <c r="B16" s="156"/>
      <c r="C16" s="156"/>
      <c r="D16" s="156"/>
      <c r="E16" s="156"/>
      <c r="F16" s="156"/>
      <c r="G16" s="156"/>
      <c r="H16" s="156"/>
      <c r="I16" s="156"/>
      <c r="J16" s="156"/>
      <c r="K16" s="156"/>
    </row>
    <row r="17" spans="1:11" ht="12.75">
      <c r="A17" s="85"/>
      <c r="B17" s="156"/>
      <c r="C17" s="156"/>
      <c r="D17" s="156"/>
      <c r="E17" s="156"/>
      <c r="F17" s="156"/>
      <c r="G17" s="156"/>
      <c r="H17" s="156"/>
      <c r="I17" s="156"/>
      <c r="J17" s="156"/>
      <c r="K17" s="156"/>
    </row>
    <row r="18" spans="1:11" ht="12.75">
      <c r="A18" s="117" t="s">
        <v>82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</row>
    <row r="19" spans="1:11" ht="12.75">
      <c r="A19" s="157"/>
      <c r="B19" s="156"/>
      <c r="C19" s="156"/>
      <c r="D19" s="156"/>
      <c r="E19" s="156"/>
      <c r="F19" s="156"/>
      <c r="G19" s="156"/>
      <c r="H19" s="156"/>
      <c r="I19" s="156"/>
      <c r="J19" s="156"/>
      <c r="K19" s="156"/>
    </row>
    <row r="20" spans="1:11" ht="12.75">
      <c r="A20" s="85"/>
      <c r="B20" s="158" t="s">
        <v>60</v>
      </c>
      <c r="C20" s="158" t="s">
        <v>83</v>
      </c>
      <c r="D20" s="158" t="s">
        <v>84</v>
      </c>
      <c r="E20" s="158" t="s">
        <v>85</v>
      </c>
      <c r="F20" s="158" t="s">
        <v>86</v>
      </c>
      <c r="G20" s="158" t="s">
        <v>87</v>
      </c>
      <c r="H20" s="158" t="s">
        <v>88</v>
      </c>
      <c r="I20" s="159"/>
      <c r="J20" s="156"/>
      <c r="K20" s="156"/>
    </row>
    <row r="21" spans="1:11" ht="12.75">
      <c r="A21" s="85" t="s">
        <v>17</v>
      </c>
      <c r="B21" s="156">
        <v>0.002403</v>
      </c>
      <c r="C21" s="156">
        <v>0</v>
      </c>
      <c r="D21" s="156">
        <v>0.003267</v>
      </c>
      <c r="E21" s="156">
        <v>0.00567</v>
      </c>
      <c r="F21" s="160">
        <v>0.42380952380952386</v>
      </c>
      <c r="G21" s="160">
        <v>0</v>
      </c>
      <c r="H21" s="160">
        <v>0.5761904761904763</v>
      </c>
      <c r="I21" s="159"/>
      <c r="J21" s="156"/>
      <c r="K21" s="156"/>
    </row>
    <row r="22" spans="1:11" ht="12.75">
      <c r="A22" s="85" t="s">
        <v>74</v>
      </c>
      <c r="B22" s="156">
        <v>0.002403</v>
      </c>
      <c r="C22" s="156">
        <v>0</v>
      </c>
      <c r="D22" s="156">
        <v>0.002908</v>
      </c>
      <c r="E22" s="156">
        <v>0.005311</v>
      </c>
      <c r="F22" s="160">
        <v>0.45245716437582384</v>
      </c>
      <c r="G22" s="160">
        <v>0</v>
      </c>
      <c r="H22" s="160">
        <v>0.5475428356241763</v>
      </c>
      <c r="I22" s="159"/>
      <c r="J22" s="156"/>
      <c r="K22" s="156"/>
    </row>
    <row r="23" spans="1:11" ht="12.75">
      <c r="A23" s="85" t="s">
        <v>75</v>
      </c>
      <c r="B23" s="156">
        <v>1.086694</v>
      </c>
      <c r="C23" s="156">
        <v>0</v>
      </c>
      <c r="D23" s="156">
        <v>0.219533</v>
      </c>
      <c r="E23" s="156">
        <v>1.306227</v>
      </c>
      <c r="F23" s="160">
        <v>0.8319335000731114</v>
      </c>
      <c r="G23" s="160">
        <v>0</v>
      </c>
      <c r="H23" s="160">
        <v>0.16806649992688866</v>
      </c>
      <c r="I23" s="159"/>
      <c r="J23" s="156"/>
      <c r="K23" s="156"/>
    </row>
    <row r="24" spans="1:11" ht="12.75">
      <c r="A24" s="85" t="s">
        <v>76</v>
      </c>
      <c r="B24" s="156">
        <v>0</v>
      </c>
      <c r="C24" s="156">
        <v>0</v>
      </c>
      <c r="D24" s="156">
        <v>0</v>
      </c>
      <c r="E24" s="156">
        <v>0</v>
      </c>
      <c r="F24" s="160">
        <v>0</v>
      </c>
      <c r="G24" s="160">
        <v>0</v>
      </c>
      <c r="H24" s="160">
        <v>0</v>
      </c>
      <c r="I24" s="159"/>
      <c r="J24" s="156"/>
      <c r="K24" s="156"/>
    </row>
    <row r="25" spans="1:11" ht="12.75">
      <c r="A25" s="85" t="s">
        <v>77</v>
      </c>
      <c r="B25" s="156">
        <v>0</v>
      </c>
      <c r="C25" s="156">
        <v>0</v>
      </c>
      <c r="D25" s="156">
        <v>0</v>
      </c>
      <c r="E25" s="156">
        <v>0</v>
      </c>
      <c r="F25" s="160">
        <v>0</v>
      </c>
      <c r="G25" s="160">
        <v>0</v>
      </c>
      <c r="H25" s="160">
        <v>0</v>
      </c>
      <c r="I25" s="159"/>
      <c r="J25" s="156"/>
      <c r="K25" s="156"/>
    </row>
    <row r="26" spans="1:11" ht="12.75">
      <c r="A26" s="85" t="s">
        <v>78</v>
      </c>
      <c r="B26" s="156">
        <v>0</v>
      </c>
      <c r="C26" s="156">
        <v>0</v>
      </c>
      <c r="D26" s="156">
        <v>0</v>
      </c>
      <c r="E26" s="156">
        <v>0</v>
      </c>
      <c r="F26" s="160">
        <v>0</v>
      </c>
      <c r="G26" s="160">
        <v>0</v>
      </c>
      <c r="H26" s="160">
        <v>0</v>
      </c>
      <c r="I26" s="159"/>
      <c r="J26" s="156"/>
      <c r="K26" s="156"/>
    </row>
    <row r="27" spans="1:11" ht="12.75">
      <c r="A27" s="85" t="s">
        <v>79</v>
      </c>
      <c r="B27" s="156">
        <v>0.9119</v>
      </c>
      <c r="C27" s="156">
        <v>0</v>
      </c>
      <c r="D27" s="156">
        <v>0.186386</v>
      </c>
      <c r="E27" s="156">
        <v>1.098286</v>
      </c>
      <c r="F27" s="160">
        <v>0.8302937486228541</v>
      </c>
      <c r="G27" s="160">
        <v>0</v>
      </c>
      <c r="H27" s="160">
        <v>0.16970625137714582</v>
      </c>
      <c r="I27" s="159"/>
      <c r="J27" s="156"/>
      <c r="K27" s="156"/>
    </row>
    <row r="28" spans="1:11" ht="12.75">
      <c r="A28" s="85" t="s">
        <v>80</v>
      </c>
      <c r="B28" s="156">
        <v>0.961118</v>
      </c>
      <c r="C28" s="156">
        <v>0</v>
      </c>
      <c r="D28" s="156">
        <v>2.524982</v>
      </c>
      <c r="E28" s="156">
        <v>3.4861</v>
      </c>
      <c r="F28" s="160">
        <v>0.2757000659763059</v>
      </c>
      <c r="G28" s="160">
        <v>0</v>
      </c>
      <c r="H28" s="160">
        <v>0.7242999340236941</v>
      </c>
      <c r="I28" s="159"/>
      <c r="J28" s="156"/>
      <c r="K28" s="156"/>
    </row>
    <row r="29" spans="1:11" ht="12.75">
      <c r="A29" s="85" t="s">
        <v>81</v>
      </c>
      <c r="B29" s="156">
        <v>0</v>
      </c>
      <c r="C29" s="156">
        <v>0</v>
      </c>
      <c r="D29" s="156">
        <v>0</v>
      </c>
      <c r="E29" s="156">
        <v>0</v>
      </c>
      <c r="F29" s="160">
        <v>0</v>
      </c>
      <c r="G29" s="160">
        <v>0</v>
      </c>
      <c r="H29" s="160">
        <v>0</v>
      </c>
      <c r="I29" s="159"/>
      <c r="J29" s="156"/>
      <c r="K29" s="156"/>
    </row>
    <row r="30" spans="1:11" ht="12.75">
      <c r="A30" s="85"/>
      <c r="B30" s="156"/>
      <c r="C30" s="156"/>
      <c r="D30" s="156"/>
      <c r="E30" s="156"/>
      <c r="F30" s="156"/>
      <c r="G30" s="156"/>
      <c r="H30" s="156"/>
      <c r="I30" s="156"/>
      <c r="J30" s="156"/>
      <c r="K30" s="156"/>
    </row>
    <row r="31" spans="1:11" ht="12.75">
      <c r="A31" s="3"/>
      <c r="B31" s="161"/>
      <c r="C31" s="161"/>
      <c r="D31" s="161"/>
      <c r="E31" s="161"/>
      <c r="F31" s="161"/>
      <c r="G31" s="161"/>
      <c r="H31" s="161"/>
      <c r="I31" s="161"/>
      <c r="J31" s="161"/>
      <c r="K31" s="161"/>
    </row>
    <row r="32" spans="1:11" ht="12.75">
      <c r="A32" s="3"/>
      <c r="B32" s="159"/>
      <c r="C32" s="159"/>
      <c r="D32" s="159"/>
      <c r="E32" s="159"/>
      <c r="F32" s="159"/>
      <c r="G32" s="159"/>
      <c r="H32" s="159"/>
      <c r="I32" s="159"/>
      <c r="J32" s="159"/>
      <c r="K32" s="159"/>
    </row>
    <row r="33" spans="1:11" ht="12.75">
      <c r="A33" s="3"/>
      <c r="B33" s="159"/>
      <c r="C33" s="159"/>
      <c r="D33" s="159"/>
      <c r="E33" s="159"/>
      <c r="F33" s="159"/>
      <c r="G33" s="159"/>
      <c r="H33" s="159"/>
      <c r="I33" s="159"/>
      <c r="J33" s="159"/>
      <c r="K33" s="159"/>
    </row>
    <row r="34" spans="1:11" ht="12.75">
      <c r="A34" s="117" t="s">
        <v>89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</row>
    <row r="35" spans="1:11" ht="12.75">
      <c r="A35" s="3"/>
      <c r="B35" s="159"/>
      <c r="C35" s="159"/>
      <c r="D35" s="159"/>
      <c r="E35" s="159"/>
      <c r="F35" s="159"/>
      <c r="G35" s="162" t="s">
        <v>90</v>
      </c>
      <c r="H35" s="162"/>
      <c r="I35" s="162"/>
      <c r="J35" s="159"/>
      <c r="K35" s="159"/>
    </row>
    <row r="36" spans="1:11" ht="12.75">
      <c r="A36" s="3"/>
      <c r="B36" s="163" t="s">
        <v>85</v>
      </c>
      <c r="C36" s="163" t="s">
        <v>91</v>
      </c>
      <c r="D36" s="163" t="s">
        <v>92</v>
      </c>
      <c r="E36" s="163" t="s">
        <v>93</v>
      </c>
      <c r="F36" s="159"/>
      <c r="G36" s="163" t="s">
        <v>94</v>
      </c>
      <c r="H36" s="163" t="s">
        <v>95</v>
      </c>
      <c r="I36" s="163" t="s">
        <v>96</v>
      </c>
      <c r="J36" s="163" t="s">
        <v>97</v>
      </c>
      <c r="K36" s="159"/>
    </row>
    <row r="37" spans="1:11" ht="12.75">
      <c r="A37" s="85" t="s">
        <v>17</v>
      </c>
      <c r="B37" s="164">
        <v>1.4679000000000002</v>
      </c>
      <c r="C37" s="164">
        <v>0.6221100000000002</v>
      </c>
      <c r="D37" s="164">
        <v>0</v>
      </c>
      <c r="E37" s="164">
        <v>0.8457900000000003</v>
      </c>
      <c r="F37" s="159"/>
      <c r="G37" s="164">
        <v>9.8321</v>
      </c>
      <c r="H37" s="164">
        <v>1.4679000000000004</v>
      </c>
      <c r="I37" s="164">
        <v>11.3</v>
      </c>
      <c r="J37" s="164">
        <v>0</v>
      </c>
      <c r="K37" s="159"/>
    </row>
    <row r="38" spans="1:11" ht="12.75">
      <c r="A38" s="85" t="s">
        <v>74</v>
      </c>
      <c r="B38" s="164">
        <v>1.3763000000000005</v>
      </c>
      <c r="C38" s="164">
        <v>0.6227167953304465</v>
      </c>
      <c r="D38" s="164">
        <v>0</v>
      </c>
      <c r="E38" s="164">
        <v>0.7535832046695541</v>
      </c>
      <c r="F38" s="159"/>
      <c r="G38" s="164">
        <v>10.8637</v>
      </c>
      <c r="H38" s="164">
        <v>1.3763000000000005</v>
      </c>
      <c r="I38" s="164">
        <v>12.24</v>
      </c>
      <c r="J38" s="164">
        <v>0</v>
      </c>
      <c r="K38" s="159"/>
    </row>
    <row r="39" spans="1:11" ht="12.75">
      <c r="A39" s="85" t="s">
        <v>75</v>
      </c>
      <c r="B39" s="164">
        <v>2.260200000000001</v>
      </c>
      <c r="C39" s="164">
        <v>1.8803360968652474</v>
      </c>
      <c r="D39" s="164">
        <v>0</v>
      </c>
      <c r="E39" s="164">
        <v>0.37986390313475393</v>
      </c>
      <c r="F39" s="159"/>
      <c r="G39" s="164">
        <v>12.2098</v>
      </c>
      <c r="H39" s="164">
        <v>2.260200000000001</v>
      </c>
      <c r="I39" s="164">
        <v>14.47</v>
      </c>
      <c r="J39" s="164">
        <v>0</v>
      </c>
      <c r="K39" s="159"/>
    </row>
    <row r="40" spans="1:11" ht="12.75">
      <c r="A40" s="85" t="s">
        <v>76</v>
      </c>
      <c r="B40" s="164">
        <v>0</v>
      </c>
      <c r="C40" s="164">
        <v>0</v>
      </c>
      <c r="D40" s="164">
        <v>0</v>
      </c>
      <c r="E40" s="164">
        <v>0</v>
      </c>
      <c r="F40" s="159"/>
      <c r="G40" s="164">
        <v>0</v>
      </c>
      <c r="H40" s="164">
        <v>0</v>
      </c>
      <c r="I40" s="164">
        <v>0</v>
      </c>
      <c r="J40" s="164">
        <v>0</v>
      </c>
      <c r="K40" s="159"/>
    </row>
    <row r="41" spans="1:11" ht="12.75">
      <c r="A41" s="85" t="s">
        <v>77</v>
      </c>
      <c r="B41" s="164">
        <v>0</v>
      </c>
      <c r="C41" s="164">
        <v>0</v>
      </c>
      <c r="D41" s="164">
        <v>0</v>
      </c>
      <c r="E41" s="164">
        <v>0</v>
      </c>
      <c r="F41" s="159"/>
      <c r="G41" s="164">
        <v>0</v>
      </c>
      <c r="H41" s="164">
        <v>0</v>
      </c>
      <c r="I41" s="164">
        <v>0</v>
      </c>
      <c r="J41" s="164">
        <v>0</v>
      </c>
      <c r="K41" s="159"/>
    </row>
    <row r="42" spans="1:11" ht="12.75">
      <c r="A42" s="85" t="s">
        <v>78</v>
      </c>
      <c r="B42" s="164">
        <v>0</v>
      </c>
      <c r="C42" s="164">
        <v>0</v>
      </c>
      <c r="D42" s="164">
        <v>0</v>
      </c>
      <c r="E42" s="164">
        <v>0</v>
      </c>
      <c r="F42" s="159"/>
      <c r="G42" s="164">
        <v>0</v>
      </c>
      <c r="H42" s="164">
        <v>0</v>
      </c>
      <c r="I42" s="164">
        <v>0</v>
      </c>
      <c r="J42" s="164">
        <v>0</v>
      </c>
      <c r="K42" s="159"/>
    </row>
    <row r="43" spans="1:11" ht="12.75">
      <c r="A43" s="85" t="s">
        <v>79</v>
      </c>
      <c r="B43" s="164">
        <v>0.11359999999999992</v>
      </c>
      <c r="C43" s="164">
        <v>0.09432136984355616</v>
      </c>
      <c r="D43" s="164">
        <v>0</v>
      </c>
      <c r="E43" s="164">
        <v>0.019278630156443752</v>
      </c>
      <c r="F43" s="159"/>
      <c r="G43" s="164">
        <v>0.8564</v>
      </c>
      <c r="H43" s="164">
        <v>0.11359999999999991</v>
      </c>
      <c r="I43" s="164">
        <v>0.97</v>
      </c>
      <c r="J43" s="164">
        <v>0</v>
      </c>
      <c r="K43" s="159"/>
    </row>
    <row r="44" spans="1:11" ht="12.75">
      <c r="A44" s="85" t="s">
        <v>80</v>
      </c>
      <c r="B44" s="164">
        <v>0.19609999999999994</v>
      </c>
      <c r="C44" s="164">
        <v>0.054064782937953575</v>
      </c>
      <c r="D44" s="164">
        <v>0</v>
      </c>
      <c r="E44" s="164">
        <v>0.14203521706204636</v>
      </c>
      <c r="F44" s="159"/>
      <c r="G44" s="164">
        <v>1.2039</v>
      </c>
      <c r="H44" s="164">
        <v>0.19609999999999994</v>
      </c>
      <c r="I44" s="164">
        <v>1.4</v>
      </c>
      <c r="J44" s="164">
        <v>0</v>
      </c>
      <c r="K44" s="159"/>
    </row>
    <row r="45" spans="1:11" ht="12.75">
      <c r="A45" s="85" t="s">
        <v>81</v>
      </c>
      <c r="B45" s="164">
        <v>0</v>
      </c>
      <c r="C45" s="164">
        <v>0</v>
      </c>
      <c r="D45" s="164">
        <v>0</v>
      </c>
      <c r="E45" s="164">
        <v>0</v>
      </c>
      <c r="F45" s="159"/>
      <c r="G45" s="164">
        <v>0</v>
      </c>
      <c r="H45" s="164">
        <v>0</v>
      </c>
      <c r="I45" s="164">
        <v>0</v>
      </c>
      <c r="J45" s="164">
        <v>0</v>
      </c>
      <c r="K45" s="159"/>
    </row>
    <row r="46" spans="1:11" ht="12.75">
      <c r="A46" s="3"/>
      <c r="B46" s="159"/>
      <c r="C46" s="159"/>
      <c r="D46" s="159"/>
      <c r="E46" s="159"/>
      <c r="F46" s="159"/>
      <c r="G46" s="159"/>
      <c r="H46" s="159"/>
      <c r="I46" s="159"/>
      <c r="J46" s="159"/>
      <c r="K46" s="159"/>
    </row>
    <row r="47" spans="1:11" ht="12.75">
      <c r="A47" s="3"/>
      <c r="B47" s="159"/>
      <c r="C47" s="159"/>
      <c r="D47" s="159"/>
      <c r="E47" s="159"/>
      <c r="F47" s="159"/>
      <c r="G47" s="159"/>
      <c r="H47" s="159"/>
      <c r="I47" s="159"/>
      <c r="J47" s="159"/>
      <c r="K47" s="159"/>
    </row>
    <row r="48" spans="1:11" ht="12.75">
      <c r="A48" s="3"/>
      <c r="B48" s="159"/>
      <c r="C48" s="159"/>
      <c r="D48" s="159"/>
      <c r="E48" s="159"/>
      <c r="F48" s="159"/>
      <c r="G48" s="159"/>
      <c r="H48" s="159"/>
      <c r="I48" s="159"/>
      <c r="J48" s="159"/>
      <c r="K48" s="159"/>
    </row>
    <row r="49" spans="1:11" ht="12.75">
      <c r="A49" s="117" t="s">
        <v>98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</row>
    <row r="50" spans="1:11" ht="12.75">
      <c r="A50" s="3"/>
      <c r="B50" s="159"/>
      <c r="C50" s="159"/>
      <c r="D50" s="159"/>
      <c r="E50" s="159"/>
      <c r="F50" s="159"/>
      <c r="G50" s="165" t="s">
        <v>90</v>
      </c>
      <c r="H50" s="165"/>
      <c r="I50" s="165"/>
      <c r="J50" s="161"/>
      <c r="K50" s="159"/>
    </row>
    <row r="51" spans="1:11" ht="12.75">
      <c r="A51" s="3"/>
      <c r="B51" s="163" t="s">
        <v>85</v>
      </c>
      <c r="C51" s="163" t="s">
        <v>91</v>
      </c>
      <c r="D51" s="163" t="s">
        <v>92</v>
      </c>
      <c r="E51" s="163" t="s">
        <v>93</v>
      </c>
      <c r="F51" s="159"/>
      <c r="G51" s="166" t="s">
        <v>94</v>
      </c>
      <c r="H51" s="163" t="s">
        <v>95</v>
      </c>
      <c r="I51" s="166" t="s">
        <v>96</v>
      </c>
      <c r="J51" s="166" t="s">
        <v>97</v>
      </c>
      <c r="K51" s="159"/>
    </row>
    <row r="52" spans="1:11" ht="12.75">
      <c r="A52" s="85" t="s">
        <v>17</v>
      </c>
      <c r="B52" s="167">
        <v>-0.0022</v>
      </c>
      <c r="C52" s="167">
        <v>-0.0009323809523809525</v>
      </c>
      <c r="D52" s="167">
        <v>0</v>
      </c>
      <c r="E52" s="167">
        <v>-0.0012676190476190478</v>
      </c>
      <c r="F52" s="167"/>
      <c r="G52" s="168">
        <v>0.0135</v>
      </c>
      <c r="H52" s="168">
        <v>0.00347</v>
      </c>
      <c r="I52" s="168">
        <v>0.01697</v>
      </c>
      <c r="J52" s="168">
        <v>-3.0000000000002247E-05</v>
      </c>
      <c r="K52" s="159"/>
    </row>
    <row r="53" spans="1:11" ht="12.75">
      <c r="A53" s="85" t="s">
        <v>74</v>
      </c>
      <c r="B53" s="167">
        <v>-0.0008</v>
      </c>
      <c r="C53" s="167">
        <v>-0.0003619657315006591</v>
      </c>
      <c r="D53" s="167">
        <v>0</v>
      </c>
      <c r="E53" s="167">
        <v>-0.00043803426849934105</v>
      </c>
      <c r="F53" s="167"/>
      <c r="G53" s="168">
        <v>0.01</v>
      </c>
      <c r="H53" s="168">
        <v>0.004510999999999999</v>
      </c>
      <c r="I53" s="168">
        <v>0.014511</v>
      </c>
      <c r="J53" s="168">
        <v>1.0999999999998858E-05</v>
      </c>
      <c r="K53" s="159"/>
    </row>
    <row r="54" spans="1:11" ht="12.75">
      <c r="A54" s="85" t="s">
        <v>75</v>
      </c>
      <c r="B54" s="167">
        <v>-0.0087</v>
      </c>
      <c r="C54" s="167">
        <v>-0.007237821450636069</v>
      </c>
      <c r="D54" s="167">
        <v>0</v>
      </c>
      <c r="E54" s="167">
        <v>-0.0014621785493639313</v>
      </c>
      <c r="F54" s="167"/>
      <c r="G54" s="168">
        <v>1.472</v>
      </c>
      <c r="H54" s="168">
        <v>1.2975269999999999</v>
      </c>
      <c r="I54" s="168">
        <v>2.769527</v>
      </c>
      <c r="J54" s="168">
        <v>-7.299999999998974E-05</v>
      </c>
      <c r="K54" s="159"/>
    </row>
    <row r="55" spans="1:11" ht="12.75">
      <c r="A55" s="85" t="s">
        <v>76</v>
      </c>
      <c r="B55" s="167">
        <v>0</v>
      </c>
      <c r="C55" s="167">
        <v>0</v>
      </c>
      <c r="D55" s="167">
        <v>0</v>
      </c>
      <c r="E55" s="167">
        <v>0</v>
      </c>
      <c r="F55" s="167"/>
      <c r="G55" s="168">
        <v>0</v>
      </c>
      <c r="H55" s="168">
        <v>0</v>
      </c>
      <c r="I55" s="168">
        <v>0</v>
      </c>
      <c r="J55" s="168">
        <v>0</v>
      </c>
      <c r="K55" s="159"/>
    </row>
    <row r="56" spans="1:11" ht="12.75">
      <c r="A56" s="85" t="s">
        <v>77</v>
      </c>
      <c r="B56" s="167">
        <v>0</v>
      </c>
      <c r="C56" s="167">
        <v>0</v>
      </c>
      <c r="D56" s="167">
        <v>0</v>
      </c>
      <c r="E56" s="167">
        <v>0</v>
      </c>
      <c r="F56" s="167"/>
      <c r="G56" s="168">
        <v>0</v>
      </c>
      <c r="H56" s="168">
        <v>0</v>
      </c>
      <c r="I56" s="168">
        <v>0</v>
      </c>
      <c r="J56" s="168">
        <v>0</v>
      </c>
      <c r="K56" s="159"/>
    </row>
    <row r="57" spans="1:11" ht="12.75">
      <c r="A57" s="85" t="s">
        <v>78</v>
      </c>
      <c r="B57" s="167">
        <v>0</v>
      </c>
      <c r="C57" s="167">
        <v>0</v>
      </c>
      <c r="D57" s="167">
        <v>0</v>
      </c>
      <c r="E57" s="167">
        <v>0</v>
      </c>
      <c r="F57" s="167"/>
      <c r="G57" s="168">
        <v>0</v>
      </c>
      <c r="H57" s="168">
        <v>0</v>
      </c>
      <c r="I57" s="168">
        <v>0</v>
      </c>
      <c r="J57" s="168">
        <v>0</v>
      </c>
      <c r="K57" s="159"/>
    </row>
    <row r="58" spans="1:11" ht="12.75">
      <c r="A58" s="85" t="s">
        <v>79</v>
      </c>
      <c r="B58" s="167">
        <v>-0.7077</v>
      </c>
      <c r="C58" s="167">
        <v>-0.5875988859003939</v>
      </c>
      <c r="D58" s="167">
        <v>0</v>
      </c>
      <c r="E58" s="167">
        <v>-0.1201011140996061</v>
      </c>
      <c r="F58" s="167"/>
      <c r="G58" s="168">
        <v>1.0825</v>
      </c>
      <c r="H58" s="168">
        <v>0.390586</v>
      </c>
      <c r="I58" s="168">
        <v>1.473086</v>
      </c>
      <c r="J58" s="168">
        <v>-1.4000000000180535E-05</v>
      </c>
      <c r="K58" s="159"/>
    </row>
    <row r="59" spans="1:11" ht="12.75">
      <c r="A59" s="85" t="s">
        <v>80</v>
      </c>
      <c r="B59" s="167">
        <v>-1.573744145</v>
      </c>
      <c r="C59" s="167">
        <v>-0.43388136460632515</v>
      </c>
      <c r="D59" s="167">
        <v>0</v>
      </c>
      <c r="E59" s="167">
        <v>-1.139862780393675</v>
      </c>
      <c r="F59" s="167"/>
      <c r="G59" s="168">
        <v>1.3484</v>
      </c>
      <c r="H59" s="168">
        <v>1.912355855</v>
      </c>
      <c r="I59" s="168">
        <v>3.260755855</v>
      </c>
      <c r="J59" s="168">
        <v>-4.414499999993993E-05</v>
      </c>
      <c r="K59" s="159"/>
    </row>
    <row r="60" spans="1:11" ht="12.75">
      <c r="A60" s="85" t="s">
        <v>81</v>
      </c>
      <c r="B60" s="167">
        <v>0</v>
      </c>
      <c r="C60" s="167">
        <v>0</v>
      </c>
      <c r="D60" s="167">
        <v>0</v>
      </c>
      <c r="E60" s="167">
        <v>0</v>
      </c>
      <c r="F60" s="167"/>
      <c r="G60" s="168">
        <v>0</v>
      </c>
      <c r="H60" s="168">
        <v>0</v>
      </c>
      <c r="I60" s="168">
        <v>0</v>
      </c>
      <c r="J60" s="168">
        <v>0</v>
      </c>
      <c r="K60" s="159"/>
    </row>
    <row r="61" spans="1:11" ht="12.75">
      <c r="A61" s="3"/>
      <c r="B61" s="167"/>
      <c r="C61" s="167"/>
      <c r="D61" s="167"/>
      <c r="E61" s="167"/>
      <c r="F61" s="167"/>
      <c r="G61" s="167"/>
      <c r="H61" s="167"/>
      <c r="I61" s="167"/>
      <c r="J61" s="167"/>
      <c r="K61" s="159"/>
    </row>
    <row r="62" spans="1:11" ht="12.75">
      <c r="A62" s="3"/>
      <c r="B62" s="167"/>
      <c r="C62" s="167"/>
      <c r="D62" s="167"/>
      <c r="E62" s="167"/>
      <c r="F62" s="167"/>
      <c r="G62" s="167"/>
      <c r="H62" s="167"/>
      <c r="I62" s="167"/>
      <c r="J62" s="167"/>
      <c r="K62" s="159"/>
    </row>
    <row r="63" spans="1:11" ht="12.75">
      <c r="A63" s="117" t="s">
        <v>99</v>
      </c>
      <c r="B63" s="167"/>
      <c r="C63" s="167"/>
      <c r="D63" s="167"/>
      <c r="E63" s="167"/>
      <c r="F63" s="167"/>
      <c r="G63" s="167"/>
      <c r="H63" s="167"/>
      <c r="I63" s="167"/>
      <c r="J63" s="159"/>
      <c r="K63" s="159"/>
    </row>
    <row r="64" spans="1:11" ht="12.75">
      <c r="A64" s="3"/>
      <c r="B64" s="167"/>
      <c r="C64" s="167"/>
      <c r="D64" s="167"/>
      <c r="E64" s="167"/>
      <c r="F64" s="167"/>
      <c r="G64" s="167"/>
      <c r="H64" s="167"/>
      <c r="I64" s="167"/>
      <c r="J64" s="159"/>
      <c r="K64" s="159"/>
    </row>
    <row r="65" spans="1:11" ht="12.75">
      <c r="A65" s="3"/>
      <c r="B65" s="169" t="s">
        <v>100</v>
      </c>
      <c r="C65" s="169" t="s">
        <v>101</v>
      </c>
      <c r="D65" s="169" t="s">
        <v>102</v>
      </c>
      <c r="E65" s="169" t="s">
        <v>103</v>
      </c>
      <c r="F65" s="169" t="s">
        <v>36</v>
      </c>
      <c r="G65" s="169" t="s">
        <v>104</v>
      </c>
      <c r="H65" s="169" t="s">
        <v>85</v>
      </c>
      <c r="I65" s="167"/>
      <c r="J65" s="159"/>
      <c r="K65" s="159"/>
    </row>
    <row r="66" spans="1:11" ht="12.75">
      <c r="A66" s="85" t="s">
        <v>17</v>
      </c>
      <c r="B66" s="167">
        <v>0.002403</v>
      </c>
      <c r="C66" s="167">
        <v>-0.0009323809523809525</v>
      </c>
      <c r="D66" s="167">
        <v>0</v>
      </c>
      <c r="E66" s="167">
        <v>0</v>
      </c>
      <c r="F66" s="167">
        <v>0.003267</v>
      </c>
      <c r="G66" s="167">
        <v>-0.0012676190476190478</v>
      </c>
      <c r="H66" s="167">
        <v>0.00347</v>
      </c>
      <c r="I66" s="167"/>
      <c r="J66" s="159"/>
      <c r="K66" s="159"/>
    </row>
    <row r="67" spans="1:11" ht="12.75">
      <c r="A67" s="85" t="s">
        <v>74</v>
      </c>
      <c r="B67" s="167">
        <v>0.002403</v>
      </c>
      <c r="C67" s="167">
        <v>-0.0003619657315006591</v>
      </c>
      <c r="D67" s="167">
        <v>0</v>
      </c>
      <c r="E67" s="167">
        <v>0</v>
      </c>
      <c r="F67" s="167">
        <v>0.002908</v>
      </c>
      <c r="G67" s="167">
        <v>-0.00043803426849934105</v>
      </c>
      <c r="H67" s="167">
        <v>0.004510999999999999</v>
      </c>
      <c r="I67" s="167"/>
      <c r="J67" s="159"/>
      <c r="K67" s="159"/>
    </row>
    <row r="68" spans="1:11" ht="12.75">
      <c r="A68" s="85" t="s">
        <v>75</v>
      </c>
      <c r="B68" s="167">
        <v>1.086694</v>
      </c>
      <c r="C68" s="167">
        <v>-0.007237821450636069</v>
      </c>
      <c r="D68" s="167">
        <v>0</v>
      </c>
      <c r="E68" s="167">
        <v>0</v>
      </c>
      <c r="F68" s="167">
        <v>0.219533</v>
      </c>
      <c r="G68" s="167">
        <v>-0.0014621785493639313</v>
      </c>
      <c r="H68" s="167">
        <v>1.2975269999999999</v>
      </c>
      <c r="I68" s="167"/>
      <c r="J68" s="159"/>
      <c r="K68" s="159"/>
    </row>
    <row r="69" spans="1:11" ht="12.75">
      <c r="A69" s="85" t="s">
        <v>76</v>
      </c>
      <c r="B69" s="167">
        <v>0</v>
      </c>
      <c r="C69" s="167">
        <v>0</v>
      </c>
      <c r="D69" s="167">
        <v>0</v>
      </c>
      <c r="E69" s="167">
        <v>0</v>
      </c>
      <c r="F69" s="167">
        <v>0</v>
      </c>
      <c r="G69" s="167">
        <v>0</v>
      </c>
      <c r="H69" s="167">
        <v>0</v>
      </c>
      <c r="I69" s="167"/>
      <c r="J69" s="159"/>
      <c r="K69" s="159"/>
    </row>
    <row r="70" spans="1:11" ht="12.75">
      <c r="A70" s="85" t="s">
        <v>77</v>
      </c>
      <c r="B70" s="167">
        <v>0</v>
      </c>
      <c r="C70" s="167">
        <v>0</v>
      </c>
      <c r="D70" s="167">
        <v>0</v>
      </c>
      <c r="E70" s="167">
        <v>0</v>
      </c>
      <c r="F70" s="167">
        <v>0</v>
      </c>
      <c r="G70" s="167">
        <v>0</v>
      </c>
      <c r="H70" s="167">
        <v>0</v>
      </c>
      <c r="I70" s="167"/>
      <c r="J70" s="159"/>
      <c r="K70" s="159"/>
    </row>
    <row r="71" spans="1:11" ht="12.75">
      <c r="A71" s="85" t="s">
        <v>78</v>
      </c>
      <c r="B71" s="167">
        <v>0</v>
      </c>
      <c r="C71" s="167">
        <v>0</v>
      </c>
      <c r="D71" s="167">
        <v>0</v>
      </c>
      <c r="E71" s="167">
        <v>0</v>
      </c>
      <c r="F71" s="167">
        <v>0</v>
      </c>
      <c r="G71" s="167">
        <v>0</v>
      </c>
      <c r="H71" s="167">
        <v>0</v>
      </c>
      <c r="I71" s="167"/>
      <c r="J71" s="159"/>
      <c r="K71" s="159"/>
    </row>
    <row r="72" spans="1:11" ht="12.75">
      <c r="A72" s="85" t="s">
        <v>79</v>
      </c>
      <c r="B72" s="167">
        <v>0.9119</v>
      </c>
      <c r="C72" s="167">
        <v>-0.5875988859003939</v>
      </c>
      <c r="D72" s="167">
        <v>0</v>
      </c>
      <c r="E72" s="167">
        <v>0</v>
      </c>
      <c r="F72" s="167">
        <v>0.186386</v>
      </c>
      <c r="G72" s="167">
        <v>-0.1201011140996061</v>
      </c>
      <c r="H72" s="167">
        <v>0.390586</v>
      </c>
      <c r="I72" s="167"/>
      <c r="J72" s="159"/>
      <c r="K72" s="159"/>
    </row>
    <row r="73" spans="1:11" ht="12.75">
      <c r="A73" s="85" t="s">
        <v>80</v>
      </c>
      <c r="B73" s="167">
        <v>0.961118</v>
      </c>
      <c r="C73" s="167">
        <v>-0.43388136460632515</v>
      </c>
      <c r="D73" s="167">
        <v>0</v>
      </c>
      <c r="E73" s="167">
        <v>0</v>
      </c>
      <c r="F73" s="167">
        <v>2.524982</v>
      </c>
      <c r="G73" s="167">
        <v>-1.139862780393675</v>
      </c>
      <c r="H73" s="167">
        <v>1.912355855</v>
      </c>
      <c r="I73" s="167"/>
      <c r="J73" s="159"/>
      <c r="K73" s="159"/>
    </row>
    <row r="74" spans="1:11" ht="12.75">
      <c r="A74" s="85" t="s">
        <v>81</v>
      </c>
      <c r="B74" s="167">
        <v>0</v>
      </c>
      <c r="C74" s="167">
        <v>0</v>
      </c>
      <c r="D74" s="167">
        <v>0</v>
      </c>
      <c r="E74" s="167">
        <v>0</v>
      </c>
      <c r="F74" s="167">
        <v>0</v>
      </c>
      <c r="G74" s="167">
        <v>0</v>
      </c>
      <c r="H74" s="167">
        <v>0</v>
      </c>
      <c r="I74" s="167"/>
      <c r="J74" s="159"/>
      <c r="K74" s="159"/>
    </row>
    <row r="75" spans="1:11" ht="12.75">
      <c r="A75" s="3"/>
      <c r="B75" s="167"/>
      <c r="C75" s="167"/>
      <c r="D75" s="167"/>
      <c r="E75" s="167"/>
      <c r="F75" s="167"/>
      <c r="G75" s="167"/>
      <c r="H75" s="167"/>
      <c r="I75" s="167"/>
      <c r="J75" s="159"/>
      <c r="K75" s="159"/>
    </row>
    <row r="76" spans="1:11" ht="12.75">
      <c r="A76" s="3"/>
      <c r="B76" s="159"/>
      <c r="C76" s="159"/>
      <c r="D76" s="159"/>
      <c r="E76" s="159"/>
      <c r="F76" s="159"/>
      <c r="G76" s="159"/>
      <c r="H76" s="159"/>
      <c r="I76" s="159"/>
      <c r="J76" s="159"/>
      <c r="K76" s="159"/>
    </row>
    <row r="77" spans="1:11" ht="12.75">
      <c r="A77" s="3"/>
      <c r="B77" s="159"/>
      <c r="C77" s="159"/>
      <c r="D77" s="159"/>
      <c r="E77" s="159"/>
      <c r="F77" s="159"/>
      <c r="G77" s="159"/>
      <c r="H77" s="159"/>
      <c r="I77" s="159"/>
      <c r="J77" s="159"/>
      <c r="K77" s="159"/>
    </row>
    <row r="78" spans="1:11" ht="12.75">
      <c r="A78" s="117" t="s">
        <v>105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</row>
    <row r="79" spans="1:11" ht="12.75">
      <c r="A79" s="3"/>
      <c r="B79" s="162" t="s">
        <v>100</v>
      </c>
      <c r="C79" s="162"/>
      <c r="D79" s="162" t="s">
        <v>106</v>
      </c>
      <c r="E79" s="162"/>
      <c r="F79" s="162" t="s">
        <v>107</v>
      </c>
      <c r="G79" s="162"/>
      <c r="H79" s="159"/>
      <c r="I79" s="159"/>
      <c r="J79" s="159"/>
      <c r="K79" s="159"/>
    </row>
    <row r="80" spans="1:11" ht="12.75">
      <c r="A80" s="3"/>
      <c r="B80" s="163" t="s">
        <v>72</v>
      </c>
      <c r="C80" s="163" t="s">
        <v>73</v>
      </c>
      <c r="D80" s="163" t="s">
        <v>72</v>
      </c>
      <c r="E80" s="163" t="s">
        <v>73</v>
      </c>
      <c r="F80" s="163" t="s">
        <v>72</v>
      </c>
      <c r="G80" s="163" t="s">
        <v>73</v>
      </c>
      <c r="H80" s="159"/>
      <c r="I80" s="159"/>
      <c r="J80" s="159"/>
      <c r="K80" s="159"/>
    </row>
    <row r="81" spans="1:11" ht="12.75">
      <c r="A81" s="85" t="s">
        <v>17</v>
      </c>
      <c r="B81" s="170">
        <v>0.6221100000000002</v>
      </c>
      <c r="C81" s="171">
        <v>0.0014706190476190476</v>
      </c>
      <c r="D81" s="170">
        <v>0</v>
      </c>
      <c r="E81" s="171">
        <v>0</v>
      </c>
      <c r="F81" s="170">
        <v>0.8457900000000003</v>
      </c>
      <c r="G81" s="171">
        <v>0.001999380952380952</v>
      </c>
      <c r="H81" s="159"/>
      <c r="I81" s="159"/>
      <c r="J81" s="159"/>
      <c r="K81" s="159"/>
    </row>
    <row r="82" spans="1:11" ht="12.75">
      <c r="A82" s="85" t="s">
        <v>74</v>
      </c>
      <c r="B82" s="170">
        <v>0.6227167953304465</v>
      </c>
      <c r="C82" s="171">
        <v>0.002041034268499341</v>
      </c>
      <c r="D82" s="170">
        <v>0</v>
      </c>
      <c r="E82" s="171">
        <v>0</v>
      </c>
      <c r="F82" s="170">
        <v>0.7535832046695541</v>
      </c>
      <c r="G82" s="171">
        <v>0.002469965731500659</v>
      </c>
      <c r="H82" s="159"/>
      <c r="I82" s="159"/>
      <c r="J82" s="159"/>
      <c r="K82" s="159"/>
    </row>
    <row r="83" spans="1:11" ht="12.75">
      <c r="A83" s="85" t="s">
        <v>75</v>
      </c>
      <c r="B83" s="170">
        <v>1.8803360968652474</v>
      </c>
      <c r="C83" s="171">
        <v>1.079456178549364</v>
      </c>
      <c r="D83" s="170">
        <v>0</v>
      </c>
      <c r="E83" s="171">
        <v>0</v>
      </c>
      <c r="F83" s="170">
        <v>0.37986390313475393</v>
      </c>
      <c r="G83" s="171">
        <v>0.21807082145063608</v>
      </c>
      <c r="H83" s="159"/>
      <c r="I83" s="159"/>
      <c r="J83" s="159"/>
      <c r="K83" s="159"/>
    </row>
    <row r="84" spans="1:11" ht="12.75">
      <c r="A84" s="85" t="s">
        <v>76</v>
      </c>
      <c r="B84" s="170">
        <v>0</v>
      </c>
      <c r="C84" s="171">
        <v>0</v>
      </c>
      <c r="D84" s="170">
        <v>0</v>
      </c>
      <c r="E84" s="171">
        <v>0</v>
      </c>
      <c r="F84" s="170">
        <v>0</v>
      </c>
      <c r="G84" s="171">
        <v>0</v>
      </c>
      <c r="H84" s="159"/>
      <c r="I84" s="159"/>
      <c r="J84" s="159"/>
      <c r="K84" s="159"/>
    </row>
    <row r="85" spans="1:11" ht="12.75">
      <c r="A85" s="85" t="s">
        <v>77</v>
      </c>
      <c r="B85" s="170">
        <v>0</v>
      </c>
      <c r="C85" s="171">
        <v>0</v>
      </c>
      <c r="D85" s="170">
        <v>0</v>
      </c>
      <c r="E85" s="171">
        <v>0</v>
      </c>
      <c r="F85" s="170">
        <v>0</v>
      </c>
      <c r="G85" s="171">
        <v>0</v>
      </c>
      <c r="H85" s="159"/>
      <c r="I85" s="159"/>
      <c r="J85" s="159"/>
      <c r="K85" s="159"/>
    </row>
    <row r="86" spans="1:11" ht="12.75">
      <c r="A86" s="85" t="s">
        <v>78</v>
      </c>
      <c r="B86" s="170">
        <v>0</v>
      </c>
      <c r="C86" s="171">
        <v>0</v>
      </c>
      <c r="D86" s="170">
        <v>0</v>
      </c>
      <c r="E86" s="171">
        <v>0</v>
      </c>
      <c r="F86" s="170">
        <v>0</v>
      </c>
      <c r="G86" s="171">
        <v>0</v>
      </c>
      <c r="H86" s="159"/>
      <c r="I86" s="159"/>
      <c r="J86" s="159"/>
      <c r="K86" s="159"/>
    </row>
    <row r="87" spans="1:11" ht="12.75">
      <c r="A87" s="85" t="s">
        <v>79</v>
      </c>
      <c r="B87" s="170">
        <v>0.09432136984355616</v>
      </c>
      <c r="C87" s="171">
        <v>0.32430111409960616</v>
      </c>
      <c r="D87" s="170">
        <v>0</v>
      </c>
      <c r="E87" s="171">
        <v>0</v>
      </c>
      <c r="F87" s="170">
        <v>0.019278630156443752</v>
      </c>
      <c r="G87" s="171">
        <v>0.0662848859003939</v>
      </c>
      <c r="H87" s="159"/>
      <c r="I87" s="159"/>
      <c r="J87" s="159"/>
      <c r="K87" s="159"/>
    </row>
    <row r="88" spans="1:11" ht="12.75">
      <c r="A88" s="85" t="s">
        <v>80</v>
      </c>
      <c r="B88" s="170">
        <v>0.054064782937953575</v>
      </c>
      <c r="C88" s="171">
        <v>0.5272366353936748</v>
      </c>
      <c r="D88" s="170">
        <v>0</v>
      </c>
      <c r="E88" s="171">
        <v>0</v>
      </c>
      <c r="F88" s="170">
        <v>0.14203521706204636</v>
      </c>
      <c r="G88" s="171">
        <v>1.3851192196063251</v>
      </c>
      <c r="H88" s="159"/>
      <c r="I88" s="159"/>
      <c r="J88" s="159"/>
      <c r="K88" s="159"/>
    </row>
    <row r="89" spans="1:11" ht="12.75">
      <c r="A89" s="85" t="s">
        <v>81</v>
      </c>
      <c r="B89" s="170">
        <v>0</v>
      </c>
      <c r="C89" s="171">
        <v>0</v>
      </c>
      <c r="D89" s="170">
        <v>0</v>
      </c>
      <c r="E89" s="171">
        <v>0</v>
      </c>
      <c r="F89" s="170">
        <v>0</v>
      </c>
      <c r="G89" s="171">
        <v>0</v>
      </c>
      <c r="H89" s="159"/>
      <c r="I89" s="159"/>
      <c r="J89" s="159"/>
      <c r="K89" s="159"/>
    </row>
    <row r="90" spans="1:11" ht="12.75">
      <c r="A90" s="3"/>
      <c r="B90" s="159"/>
      <c r="C90" s="159"/>
      <c r="D90" s="159"/>
      <c r="E90" s="159"/>
      <c r="F90" s="159"/>
      <c r="G90" s="159"/>
      <c r="H90" s="159"/>
      <c r="I90" s="159"/>
      <c r="J90" s="159"/>
      <c r="K90" s="159"/>
    </row>
    <row r="91" spans="1:11" ht="12.75">
      <c r="A91" s="3"/>
      <c r="B91" s="159"/>
      <c r="C91" s="159"/>
      <c r="D91" s="159"/>
      <c r="E91" s="159"/>
      <c r="F91" s="159"/>
      <c r="G91" s="159"/>
      <c r="H91" s="159"/>
      <c r="I91" s="159"/>
      <c r="J91" s="159"/>
      <c r="K91" s="159"/>
    </row>
    <row r="92" spans="1:11" ht="12.75">
      <c r="A92" s="117" t="s">
        <v>108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</row>
    <row r="93" spans="1:11" ht="12.75">
      <c r="A93" s="3"/>
      <c r="B93" s="162" t="s">
        <v>100</v>
      </c>
      <c r="C93" s="162"/>
      <c r="D93" s="162" t="s">
        <v>106</v>
      </c>
      <c r="E93" s="162"/>
      <c r="F93" s="162" t="s">
        <v>107</v>
      </c>
      <c r="G93" s="162"/>
      <c r="H93" s="159"/>
      <c r="I93" s="159"/>
      <c r="J93" s="159"/>
      <c r="K93" s="159"/>
    </row>
    <row r="94" spans="1:11" ht="12.75">
      <c r="A94" s="3"/>
      <c r="B94" s="163" t="s">
        <v>72</v>
      </c>
      <c r="C94" s="163" t="s">
        <v>73</v>
      </c>
      <c r="D94" s="163" t="s">
        <v>72</v>
      </c>
      <c r="E94" s="163" t="s">
        <v>73</v>
      </c>
      <c r="F94" s="163" t="s">
        <v>72</v>
      </c>
      <c r="G94" s="163" t="s">
        <v>73</v>
      </c>
      <c r="H94" s="159"/>
      <c r="I94" s="159"/>
      <c r="J94" s="159"/>
      <c r="K94" s="159"/>
    </row>
    <row r="95" spans="1:11" ht="12.75">
      <c r="A95" s="85" t="s">
        <v>17</v>
      </c>
      <c r="B95" s="172">
        <v>0.055053982300884964</v>
      </c>
      <c r="C95" s="172">
        <v>0.08650700280112045</v>
      </c>
      <c r="D95" s="172">
        <v>0</v>
      </c>
      <c r="E95" s="172">
        <v>0</v>
      </c>
      <c r="F95" s="172">
        <v>0.0748486725663717</v>
      </c>
      <c r="G95" s="172">
        <v>0.11761064425770305</v>
      </c>
      <c r="H95" s="159"/>
      <c r="I95" s="159"/>
      <c r="J95" s="159"/>
      <c r="K95" s="159"/>
    </row>
    <row r="96" spans="1:11" ht="12.75">
      <c r="A96" s="85" t="s">
        <v>74</v>
      </c>
      <c r="B96" s="172">
        <v>0.05087555517405609</v>
      </c>
      <c r="C96" s="172">
        <v>0.1407609840344373</v>
      </c>
      <c r="D96" s="172">
        <v>0</v>
      </c>
      <c r="E96" s="172">
        <v>0</v>
      </c>
      <c r="F96" s="172">
        <v>0.0615672552834603</v>
      </c>
      <c r="G96" s="172">
        <v>0.17034246424142474</v>
      </c>
      <c r="H96" s="159"/>
      <c r="I96" s="159"/>
      <c r="J96" s="159"/>
      <c r="K96" s="159"/>
    </row>
    <row r="97" spans="1:11" ht="12.75">
      <c r="A97" s="85" t="s">
        <v>75</v>
      </c>
      <c r="B97" s="172">
        <v>0.12994720779994798</v>
      </c>
      <c r="C97" s="172">
        <v>0.3897516531446288</v>
      </c>
      <c r="D97" s="172">
        <v>0</v>
      </c>
      <c r="E97" s="172">
        <v>0</v>
      </c>
      <c r="F97" s="172">
        <v>0.026251824681047264</v>
      </c>
      <c r="G97" s="172">
        <v>0.07873729832850812</v>
      </c>
      <c r="H97" s="159"/>
      <c r="I97" s="159"/>
      <c r="J97" s="159"/>
      <c r="K97" s="159"/>
    </row>
    <row r="98" spans="1:11" ht="12.75">
      <c r="A98" s="85" t="s">
        <v>76</v>
      </c>
      <c r="B98" s="172">
        <v>0</v>
      </c>
      <c r="C98" s="172">
        <v>0</v>
      </c>
      <c r="D98" s="172">
        <v>0</v>
      </c>
      <c r="E98" s="172">
        <v>0</v>
      </c>
      <c r="F98" s="172">
        <v>0</v>
      </c>
      <c r="G98" s="172">
        <v>0</v>
      </c>
      <c r="H98" s="159"/>
      <c r="I98" s="159"/>
      <c r="J98" s="159"/>
      <c r="K98" s="159"/>
    </row>
    <row r="99" spans="1:11" ht="12.75">
      <c r="A99" s="85" t="s">
        <v>77</v>
      </c>
      <c r="B99" s="172">
        <v>0</v>
      </c>
      <c r="C99" s="172">
        <v>0</v>
      </c>
      <c r="D99" s="172">
        <v>0</v>
      </c>
      <c r="E99" s="172">
        <v>0</v>
      </c>
      <c r="F99" s="172">
        <v>0</v>
      </c>
      <c r="G99" s="172">
        <v>0</v>
      </c>
      <c r="H99" s="159"/>
      <c r="I99" s="159"/>
      <c r="J99" s="159"/>
      <c r="K99" s="159"/>
    </row>
    <row r="100" spans="1:11" ht="12.75">
      <c r="A100" s="85" t="s">
        <v>78</v>
      </c>
      <c r="B100" s="172">
        <v>0</v>
      </c>
      <c r="C100" s="172">
        <v>0</v>
      </c>
      <c r="D100" s="172">
        <v>0</v>
      </c>
      <c r="E100" s="172">
        <v>0</v>
      </c>
      <c r="F100" s="172">
        <v>0</v>
      </c>
      <c r="G100" s="172">
        <v>0</v>
      </c>
      <c r="H100" s="159"/>
      <c r="I100" s="159"/>
      <c r="J100" s="159"/>
      <c r="K100" s="159"/>
    </row>
    <row r="101" spans="1:11" ht="12.75">
      <c r="A101" s="85" t="s">
        <v>79</v>
      </c>
      <c r="B101" s="172">
        <v>0.09723852561191357</v>
      </c>
      <c r="C101" s="172">
        <v>0.22014874353377648</v>
      </c>
      <c r="D101" s="172">
        <v>0</v>
      </c>
      <c r="E101" s="172">
        <v>0</v>
      </c>
      <c r="F101" s="172">
        <v>0.019874876449942014</v>
      </c>
      <c r="G101" s="172">
        <v>0.04499686776213013</v>
      </c>
      <c r="H101" s="159"/>
      <c r="I101" s="159"/>
      <c r="J101" s="159"/>
      <c r="K101" s="159"/>
    </row>
    <row r="102" spans="1:11" ht="12.75">
      <c r="A102" s="85" t="s">
        <v>80</v>
      </c>
      <c r="B102" s="172">
        <v>0.03861770209853827</v>
      </c>
      <c r="C102" s="172">
        <v>0.161689350893546</v>
      </c>
      <c r="D102" s="172">
        <v>0</v>
      </c>
      <c r="E102" s="172">
        <v>0</v>
      </c>
      <c r="F102" s="172">
        <v>0.10145372647289026</v>
      </c>
      <c r="G102" s="172">
        <v>0.4247789559636669</v>
      </c>
      <c r="H102" s="159"/>
      <c r="I102" s="159"/>
      <c r="J102" s="159"/>
      <c r="K102" s="159"/>
    </row>
    <row r="103" spans="1:11" ht="12.75">
      <c r="A103" s="85" t="s">
        <v>81</v>
      </c>
      <c r="B103" s="172">
        <v>0</v>
      </c>
      <c r="C103" s="172">
        <v>0</v>
      </c>
      <c r="D103" s="172">
        <v>0</v>
      </c>
      <c r="E103" s="172">
        <v>0</v>
      </c>
      <c r="F103" s="172">
        <v>0</v>
      </c>
      <c r="G103" s="172">
        <v>0</v>
      </c>
      <c r="H103" s="159"/>
      <c r="I103" s="159"/>
      <c r="J103" s="159"/>
      <c r="K103" s="159"/>
    </row>
    <row r="104" spans="2:11" ht="12.75"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2:11" ht="12.75"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2:11" ht="12.75"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2:11" ht="12.75"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2:11" ht="12.75"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2:11" ht="12.75"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2:11" ht="12.75"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2:11" ht="12.75"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2:11" ht="12.75"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2:11" ht="12.75"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2:11" ht="12.75"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2:11" ht="12.75"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2:11" ht="12.75"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2:11" ht="12.75"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2:11" ht="12.75"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2:11" ht="12.75"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2:11" ht="12.75"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2:11" ht="12.75"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2:11" ht="12.75"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2:11" ht="12.75"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2:11" ht="12.75"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2:11" ht="12.75"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2:11" ht="12.75"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2:11" ht="12.75"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2:11" ht="12.75"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2:11" ht="12.75"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2:11" ht="12.75"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2:11" ht="12.75"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2:11" ht="12.75"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2:11" ht="12.75"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2:11" ht="12.75"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2:11" ht="12.75"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2:11" ht="12.75"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2:11" ht="12.75"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2:11" ht="12.75"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2:11" ht="12.75"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2:11" ht="12.75"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2:11" ht="12.75"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2:11" ht="12.75"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2:11" ht="12.75"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2:11" ht="12.75"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2:11" ht="12.75"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2:11" ht="12.75"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2:11" ht="12.75"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2:11" ht="12.75"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2:11" ht="12.75"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2:11" ht="12.75"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2:11" ht="12.75"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2:11" ht="12.75"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2:11" ht="12.75"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2:11" ht="12.75"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2:11" ht="12.75"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2:11" ht="12.75"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2:11" ht="12.75"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2:11" ht="12.75"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2:11" ht="12.75"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2:11" ht="12.75"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2:11" ht="12.75"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2:11" ht="12.75"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2:11" ht="12.75"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2:11" ht="12.75"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2:11" ht="12.75"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2:11" ht="12.75"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2:11" ht="12.75"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2:11" ht="12.75"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2:11" ht="12.75"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2:11" ht="12.75"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2:11" ht="12.75"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2:11" ht="12.75"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2:11" ht="12.75"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2:11" ht="12.75">
      <c r="B174" s="55"/>
      <c r="C174" s="55"/>
      <c r="D174" s="55"/>
      <c r="E174" s="55"/>
      <c r="F174" s="55"/>
      <c r="G174" s="55"/>
      <c r="H174" s="55"/>
      <c r="I174" s="55"/>
      <c r="J174" s="55"/>
      <c r="K174" s="55"/>
    </row>
    <row r="175" spans="2:11" ht="12.75">
      <c r="B175" s="55"/>
      <c r="C175" s="55"/>
      <c r="D175" s="55"/>
      <c r="E175" s="55"/>
      <c r="F175" s="55"/>
      <c r="G175" s="55"/>
      <c r="H175" s="55"/>
      <c r="I175" s="55"/>
      <c r="J175" s="55"/>
      <c r="K175" s="55"/>
    </row>
    <row r="176" spans="2:11" ht="12.75">
      <c r="B176" s="55"/>
      <c r="C176" s="55"/>
      <c r="D176" s="55"/>
      <c r="E176" s="55"/>
      <c r="F176" s="55"/>
      <c r="G176" s="55"/>
      <c r="H176" s="55"/>
      <c r="I176" s="55"/>
      <c r="J176" s="55"/>
      <c r="K176" s="55"/>
    </row>
    <row r="177" spans="2:11" ht="12.75">
      <c r="B177" s="55"/>
      <c r="C177" s="55"/>
      <c r="D177" s="55"/>
      <c r="E177" s="55"/>
      <c r="F177" s="55"/>
      <c r="G177" s="55"/>
      <c r="H177" s="55"/>
      <c r="I177" s="55"/>
      <c r="J177" s="55"/>
      <c r="K177" s="55"/>
    </row>
    <row r="178" spans="2:11" ht="12.75">
      <c r="B178" s="55"/>
      <c r="C178" s="55"/>
      <c r="D178" s="55"/>
      <c r="E178" s="55"/>
      <c r="F178" s="55"/>
      <c r="G178" s="55"/>
      <c r="H178" s="55"/>
      <c r="I178" s="55"/>
      <c r="J178" s="55"/>
      <c r="K178" s="55"/>
    </row>
    <row r="179" spans="2:11" ht="12.75">
      <c r="B179" s="55"/>
      <c r="C179" s="55"/>
      <c r="D179" s="55"/>
      <c r="E179" s="55"/>
      <c r="F179" s="55"/>
      <c r="G179" s="55"/>
      <c r="H179" s="55"/>
      <c r="I179" s="55"/>
      <c r="J179" s="55"/>
      <c r="K179" s="55"/>
    </row>
    <row r="180" spans="2:11" ht="12.75">
      <c r="B180" s="55"/>
      <c r="C180" s="55"/>
      <c r="D180" s="55"/>
      <c r="E180" s="55"/>
      <c r="F180" s="55"/>
      <c r="G180" s="55"/>
      <c r="H180" s="55"/>
      <c r="I180" s="55"/>
      <c r="J180" s="55"/>
      <c r="K180" s="55"/>
    </row>
    <row r="181" spans="2:11" ht="12.75">
      <c r="B181" s="55"/>
      <c r="C181" s="55"/>
      <c r="D181" s="55"/>
      <c r="E181" s="55"/>
      <c r="F181" s="55"/>
      <c r="G181" s="55"/>
      <c r="H181" s="55"/>
      <c r="I181" s="55"/>
      <c r="J181" s="55"/>
      <c r="K181" s="55"/>
    </row>
    <row r="182" spans="2:11" ht="12.75">
      <c r="B182" s="55"/>
      <c r="C182" s="55"/>
      <c r="D182" s="55"/>
      <c r="E182" s="55"/>
      <c r="F182" s="55"/>
      <c r="G182" s="55"/>
      <c r="H182" s="55"/>
      <c r="I182" s="55"/>
      <c r="J182" s="55"/>
      <c r="K182" s="55"/>
    </row>
    <row r="183" spans="2:11" ht="12.75">
      <c r="B183" s="55"/>
      <c r="C183" s="55"/>
      <c r="D183" s="55"/>
      <c r="E183" s="55"/>
      <c r="F183" s="55"/>
      <c r="G183" s="55"/>
      <c r="H183" s="55"/>
      <c r="I183" s="55"/>
      <c r="J183" s="55"/>
      <c r="K183" s="55"/>
    </row>
    <row r="184" spans="2:11" ht="12.75">
      <c r="B184" s="55"/>
      <c r="C184" s="55"/>
      <c r="D184" s="55"/>
      <c r="E184" s="55"/>
      <c r="F184" s="55"/>
      <c r="G184" s="55"/>
      <c r="H184" s="55"/>
      <c r="I184" s="55"/>
      <c r="J184" s="55"/>
      <c r="K184" s="55"/>
    </row>
    <row r="185" spans="2:11" ht="12.75">
      <c r="B185" s="55"/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2:11" ht="12.75">
      <c r="B186" s="55"/>
      <c r="C186" s="55"/>
      <c r="D186" s="55"/>
      <c r="E186" s="55"/>
      <c r="F186" s="55"/>
      <c r="G186" s="55"/>
      <c r="H186" s="55"/>
      <c r="I186" s="55"/>
      <c r="J186" s="55"/>
      <c r="K186" s="55"/>
    </row>
    <row r="187" spans="2:11" ht="12.75">
      <c r="B187" s="55"/>
      <c r="C187" s="55"/>
      <c r="D187" s="55"/>
      <c r="E187" s="55"/>
      <c r="F187" s="55"/>
      <c r="G187" s="55"/>
      <c r="H187" s="55"/>
      <c r="I187" s="55"/>
      <c r="J187" s="55"/>
      <c r="K187" s="55"/>
    </row>
    <row r="188" spans="2:11" ht="12.75">
      <c r="B188" s="55"/>
      <c r="C188" s="55"/>
      <c r="D188" s="55"/>
      <c r="E188" s="55"/>
      <c r="F188" s="55"/>
      <c r="G188" s="55"/>
      <c r="H188" s="55"/>
      <c r="I188" s="55"/>
      <c r="J188" s="55"/>
      <c r="K188" s="55"/>
    </row>
    <row r="189" spans="2:11" ht="12.75">
      <c r="B189" s="55"/>
      <c r="C189" s="55"/>
      <c r="D189" s="55"/>
      <c r="E189" s="55"/>
      <c r="F189" s="55"/>
      <c r="G189" s="55"/>
      <c r="H189" s="55"/>
      <c r="I189" s="55"/>
      <c r="J189" s="55"/>
      <c r="K189" s="55"/>
    </row>
    <row r="190" spans="2:11" ht="12.75">
      <c r="B190" s="55"/>
      <c r="C190" s="55"/>
      <c r="D190" s="55"/>
      <c r="E190" s="55"/>
      <c r="F190" s="55"/>
      <c r="G190" s="55"/>
      <c r="H190" s="55"/>
      <c r="I190" s="55"/>
      <c r="J190" s="55"/>
      <c r="K190" s="55"/>
    </row>
    <row r="191" spans="2:11" ht="12.75">
      <c r="B191" s="55"/>
      <c r="C191" s="55"/>
      <c r="D191" s="55"/>
      <c r="E191" s="55"/>
      <c r="F191" s="55"/>
      <c r="G191" s="55"/>
      <c r="H191" s="55"/>
      <c r="I191" s="55"/>
      <c r="J191" s="55"/>
      <c r="K191" s="55"/>
    </row>
    <row r="192" spans="2:11" ht="12.75">
      <c r="B192" s="55"/>
      <c r="C192" s="55"/>
      <c r="D192" s="55"/>
      <c r="E192" s="55"/>
      <c r="F192" s="55"/>
      <c r="G192" s="55"/>
      <c r="H192" s="55"/>
      <c r="I192" s="55"/>
      <c r="J192" s="55"/>
      <c r="K192" s="55"/>
    </row>
    <row r="193" spans="2:11" ht="12.75">
      <c r="B193" s="55"/>
      <c r="C193" s="55"/>
      <c r="D193" s="55"/>
      <c r="E193" s="55"/>
      <c r="F193" s="55"/>
      <c r="G193" s="55"/>
      <c r="H193" s="55"/>
      <c r="I193" s="55"/>
      <c r="J193" s="55"/>
      <c r="K193" s="55"/>
    </row>
    <row r="194" spans="2:11" ht="12.75">
      <c r="B194" s="55"/>
      <c r="C194" s="55"/>
      <c r="D194" s="55"/>
      <c r="E194" s="55"/>
      <c r="F194" s="55"/>
      <c r="G194" s="55"/>
      <c r="H194" s="55"/>
      <c r="I194" s="55"/>
      <c r="J194" s="55"/>
      <c r="K194" s="55"/>
    </row>
    <row r="195" spans="2:11" ht="12.75">
      <c r="B195" s="55"/>
      <c r="C195" s="55"/>
      <c r="D195" s="55"/>
      <c r="E195" s="55"/>
      <c r="F195" s="55"/>
      <c r="G195" s="55"/>
      <c r="H195" s="55"/>
      <c r="I195" s="55"/>
      <c r="J195" s="55"/>
      <c r="K195" s="55"/>
    </row>
    <row r="196" spans="2:11" ht="12.75">
      <c r="B196" s="55"/>
      <c r="C196" s="55"/>
      <c r="D196" s="55"/>
      <c r="E196" s="55"/>
      <c r="F196" s="55"/>
      <c r="G196" s="55"/>
      <c r="H196" s="55"/>
      <c r="I196" s="55"/>
      <c r="J196" s="55"/>
      <c r="K196" s="55"/>
    </row>
    <row r="197" spans="2:11" ht="12.75">
      <c r="B197" s="55"/>
      <c r="C197" s="55"/>
      <c r="D197" s="55"/>
      <c r="E197" s="55"/>
      <c r="F197" s="55"/>
      <c r="G197" s="55"/>
      <c r="H197" s="55"/>
      <c r="I197" s="55"/>
      <c r="J197" s="55"/>
      <c r="K197" s="55"/>
    </row>
    <row r="198" spans="2:11" ht="12.75">
      <c r="B198" s="55"/>
      <c r="C198" s="55"/>
      <c r="D198" s="55"/>
      <c r="E198" s="55"/>
      <c r="F198" s="55"/>
      <c r="G198" s="55"/>
      <c r="H198" s="55"/>
      <c r="I198" s="55"/>
      <c r="J198" s="55"/>
      <c r="K198" s="55"/>
    </row>
    <row r="199" spans="2:11" ht="12.75">
      <c r="B199" s="55"/>
      <c r="C199" s="55"/>
      <c r="D199" s="55"/>
      <c r="E199" s="55"/>
      <c r="F199" s="55"/>
      <c r="G199" s="55"/>
      <c r="H199" s="55"/>
      <c r="I199" s="55"/>
      <c r="J199" s="55"/>
      <c r="K199" s="55"/>
    </row>
    <row r="200" spans="2:11" ht="12.75">
      <c r="B200" s="55"/>
      <c r="C200" s="55"/>
      <c r="D200" s="55"/>
      <c r="E200" s="55"/>
      <c r="F200" s="55"/>
      <c r="G200" s="55"/>
      <c r="H200" s="55"/>
      <c r="I200" s="55"/>
      <c r="J200" s="55"/>
      <c r="K200" s="55"/>
    </row>
    <row r="201" spans="2:11" ht="12.75">
      <c r="B201" s="55"/>
      <c r="C201" s="55"/>
      <c r="D201" s="55"/>
      <c r="E201" s="55"/>
      <c r="F201" s="55"/>
      <c r="G201" s="55"/>
      <c r="H201" s="55"/>
      <c r="I201" s="55"/>
      <c r="J201" s="55"/>
      <c r="K201" s="55"/>
    </row>
    <row r="202" spans="2:11" ht="12.75">
      <c r="B202" s="55"/>
      <c r="C202" s="55"/>
      <c r="D202" s="55"/>
      <c r="E202" s="55"/>
      <c r="F202" s="55"/>
      <c r="G202" s="55"/>
      <c r="H202" s="55"/>
      <c r="I202" s="55"/>
      <c r="J202" s="55"/>
      <c r="K202" s="55"/>
    </row>
    <row r="203" spans="2:11" ht="12.75">
      <c r="B203" s="55"/>
      <c r="C203" s="55"/>
      <c r="D203" s="55"/>
      <c r="E203" s="55"/>
      <c r="F203" s="55"/>
      <c r="G203" s="55"/>
      <c r="H203" s="55"/>
      <c r="I203" s="55"/>
      <c r="J203" s="55"/>
      <c r="K203" s="55"/>
    </row>
    <row r="204" spans="2:11" ht="12.75">
      <c r="B204" s="55"/>
      <c r="C204" s="55"/>
      <c r="D204" s="55"/>
      <c r="E204" s="55"/>
      <c r="F204" s="55"/>
      <c r="G204" s="55"/>
      <c r="H204" s="55"/>
      <c r="I204" s="55"/>
      <c r="J204" s="55"/>
      <c r="K204" s="55"/>
    </row>
    <row r="205" spans="2:11" ht="12.75">
      <c r="B205" s="55"/>
      <c r="C205" s="55"/>
      <c r="D205" s="55"/>
      <c r="E205" s="55"/>
      <c r="F205" s="55"/>
      <c r="G205" s="55"/>
      <c r="H205" s="55"/>
      <c r="I205" s="55"/>
      <c r="J205" s="55"/>
      <c r="K205" s="55"/>
    </row>
    <row r="206" spans="2:11" ht="12.75">
      <c r="B206" s="55"/>
      <c r="C206" s="55"/>
      <c r="D206" s="55"/>
      <c r="E206" s="55"/>
      <c r="F206" s="55"/>
      <c r="G206" s="55"/>
      <c r="H206" s="55"/>
      <c r="I206" s="55"/>
      <c r="J206" s="55"/>
      <c r="K206" s="55"/>
    </row>
    <row r="207" spans="2:11" ht="12.75">
      <c r="B207" s="55"/>
      <c r="C207" s="55"/>
      <c r="D207" s="55"/>
      <c r="E207" s="55"/>
      <c r="F207" s="55"/>
      <c r="G207" s="55"/>
      <c r="H207" s="55"/>
      <c r="I207" s="55"/>
      <c r="J207" s="55"/>
      <c r="K207" s="55"/>
    </row>
    <row r="208" spans="2:11" ht="12.75">
      <c r="B208" s="55"/>
      <c r="C208" s="55"/>
      <c r="D208" s="55"/>
      <c r="E208" s="55"/>
      <c r="F208" s="55"/>
      <c r="G208" s="55"/>
      <c r="H208" s="55"/>
      <c r="I208" s="55"/>
      <c r="J208" s="55"/>
      <c r="K208" s="55"/>
    </row>
    <row r="209" spans="2:11" ht="12.75">
      <c r="B209" s="55"/>
      <c r="C209" s="55"/>
      <c r="D209" s="55"/>
      <c r="E209" s="55"/>
      <c r="F209" s="55"/>
      <c r="G209" s="55"/>
      <c r="H209" s="55"/>
      <c r="I209" s="55"/>
      <c r="J209" s="55"/>
      <c r="K209" s="55"/>
    </row>
    <row r="210" spans="2:11" ht="12.75">
      <c r="B210" s="55"/>
      <c r="C210" s="55"/>
      <c r="D210" s="55"/>
      <c r="E210" s="55"/>
      <c r="F210" s="55"/>
      <c r="G210" s="55"/>
      <c r="H210" s="55"/>
      <c r="I210" s="55"/>
      <c r="J210" s="55"/>
      <c r="K210" s="55"/>
    </row>
    <row r="211" spans="2:11" ht="12.75">
      <c r="B211" s="55"/>
      <c r="C211" s="55"/>
      <c r="D211" s="55"/>
      <c r="E211" s="55"/>
      <c r="F211" s="55"/>
      <c r="G211" s="55"/>
      <c r="H211" s="55"/>
      <c r="I211" s="55"/>
      <c r="J211" s="55"/>
      <c r="K211" s="55"/>
    </row>
    <row r="212" spans="2:11" ht="12.75">
      <c r="B212" s="55"/>
      <c r="C212" s="55"/>
      <c r="D212" s="55"/>
      <c r="E212" s="55"/>
      <c r="F212" s="55"/>
      <c r="G212" s="55"/>
      <c r="H212" s="55"/>
      <c r="I212" s="55"/>
      <c r="J212" s="55"/>
      <c r="K212" s="55"/>
    </row>
    <row r="213" spans="2:11" ht="12.75">
      <c r="B213" s="55"/>
      <c r="C213" s="55"/>
      <c r="D213" s="55"/>
      <c r="E213" s="55"/>
      <c r="F213" s="55"/>
      <c r="G213" s="55"/>
      <c r="H213" s="55"/>
      <c r="I213" s="55"/>
      <c r="J213" s="55"/>
      <c r="K213" s="55"/>
    </row>
    <row r="214" spans="2:11" ht="12.75">
      <c r="B214" s="55"/>
      <c r="C214" s="55"/>
      <c r="D214" s="55"/>
      <c r="E214" s="55"/>
      <c r="F214" s="55"/>
      <c r="G214" s="55"/>
      <c r="H214" s="55"/>
      <c r="I214" s="55"/>
      <c r="J214" s="55"/>
      <c r="K214" s="55"/>
    </row>
    <row r="215" spans="2:11" ht="12.75">
      <c r="B215" s="55"/>
      <c r="C215" s="55"/>
      <c r="D215" s="55"/>
      <c r="E215" s="55"/>
      <c r="F215" s="55"/>
      <c r="G215" s="55"/>
      <c r="H215" s="55"/>
      <c r="I215" s="55"/>
      <c r="J215" s="55"/>
      <c r="K215" s="55"/>
    </row>
    <row r="216" spans="2:11" ht="12.75">
      <c r="B216" s="55"/>
      <c r="C216" s="55"/>
      <c r="D216" s="55"/>
      <c r="E216" s="55"/>
      <c r="F216" s="55"/>
      <c r="G216" s="55"/>
      <c r="H216" s="55"/>
      <c r="I216" s="55"/>
      <c r="J216" s="55"/>
      <c r="K216" s="55"/>
    </row>
    <row r="217" spans="2:11" ht="12.75">
      <c r="B217" s="55"/>
      <c r="C217" s="55"/>
      <c r="D217" s="55"/>
      <c r="E217" s="55"/>
      <c r="F217" s="55"/>
      <c r="G217" s="55"/>
      <c r="H217" s="55"/>
      <c r="I217" s="55"/>
      <c r="J217" s="55"/>
      <c r="K217" s="55"/>
    </row>
    <row r="218" spans="2:11" ht="12.75">
      <c r="B218" s="55"/>
      <c r="C218" s="55"/>
      <c r="D218" s="55"/>
      <c r="E218" s="55"/>
      <c r="F218" s="55"/>
      <c r="G218" s="55"/>
      <c r="H218" s="55"/>
      <c r="I218" s="55"/>
      <c r="J218" s="55"/>
      <c r="K218" s="55"/>
    </row>
    <row r="219" spans="2:11" ht="12.75">
      <c r="B219" s="55"/>
      <c r="C219" s="55"/>
      <c r="D219" s="55"/>
      <c r="E219" s="55"/>
      <c r="F219" s="55"/>
      <c r="G219" s="55"/>
      <c r="H219" s="55"/>
      <c r="I219" s="55"/>
      <c r="J219" s="55"/>
      <c r="K219" s="55"/>
    </row>
    <row r="220" spans="2:11" ht="12.75">
      <c r="B220" s="55"/>
      <c r="C220" s="55"/>
      <c r="D220" s="55"/>
      <c r="E220" s="55"/>
      <c r="F220" s="55"/>
      <c r="G220" s="55"/>
      <c r="H220" s="55"/>
      <c r="I220" s="55"/>
      <c r="J220" s="55"/>
      <c r="K220" s="55"/>
    </row>
    <row r="221" spans="2:11" ht="12.75">
      <c r="B221" s="55"/>
      <c r="C221" s="55"/>
      <c r="D221" s="55"/>
      <c r="E221" s="55"/>
      <c r="F221" s="55"/>
      <c r="G221" s="55"/>
      <c r="H221" s="55"/>
      <c r="I221" s="55"/>
      <c r="J221" s="55"/>
      <c r="K221" s="55"/>
    </row>
    <row r="222" spans="2:11" ht="12.75">
      <c r="B222" s="55"/>
      <c r="C222" s="55"/>
      <c r="D222" s="55"/>
      <c r="E222" s="55"/>
      <c r="F222" s="55"/>
      <c r="G222" s="55"/>
      <c r="H222" s="55"/>
      <c r="I222" s="55"/>
      <c r="J222" s="55"/>
      <c r="K222" s="55"/>
    </row>
    <row r="223" spans="2:11" ht="12.75">
      <c r="B223" s="55"/>
      <c r="C223" s="55"/>
      <c r="D223" s="55"/>
      <c r="E223" s="55"/>
      <c r="F223" s="55"/>
      <c r="G223" s="55"/>
      <c r="H223" s="55"/>
      <c r="I223" s="55"/>
      <c r="J223" s="55"/>
      <c r="K223" s="55"/>
    </row>
    <row r="224" spans="2:11" ht="12.75">
      <c r="B224" s="55"/>
      <c r="C224" s="55"/>
      <c r="D224" s="55"/>
      <c r="E224" s="55"/>
      <c r="F224" s="55"/>
      <c r="G224" s="55"/>
      <c r="H224" s="55"/>
      <c r="I224" s="55"/>
      <c r="J224" s="55"/>
      <c r="K224" s="55"/>
    </row>
    <row r="225" spans="2:11" ht="12.75">
      <c r="B225" s="55"/>
      <c r="C225" s="55"/>
      <c r="D225" s="55"/>
      <c r="E225" s="55"/>
      <c r="F225" s="55"/>
      <c r="G225" s="55"/>
      <c r="H225" s="55"/>
      <c r="I225" s="55"/>
      <c r="J225" s="55"/>
      <c r="K225" s="55"/>
    </row>
    <row r="226" spans="2:11" ht="12.75">
      <c r="B226" s="55"/>
      <c r="C226" s="55"/>
      <c r="D226" s="55"/>
      <c r="E226" s="55"/>
      <c r="F226" s="55"/>
      <c r="G226" s="55"/>
      <c r="H226" s="55"/>
      <c r="I226" s="55"/>
      <c r="J226" s="55"/>
      <c r="K226" s="55"/>
    </row>
    <row r="227" spans="2:11" ht="12.75">
      <c r="B227" s="55"/>
      <c r="C227" s="55"/>
      <c r="D227" s="55"/>
      <c r="E227" s="55"/>
      <c r="F227" s="55"/>
      <c r="G227" s="55"/>
      <c r="H227" s="55"/>
      <c r="I227" s="55"/>
      <c r="J227" s="55"/>
      <c r="K227" s="55"/>
    </row>
    <row r="228" spans="2:11" ht="12.75">
      <c r="B228" s="55"/>
      <c r="C228" s="55"/>
      <c r="D228" s="55"/>
      <c r="E228" s="55"/>
      <c r="F228" s="55"/>
      <c r="G228" s="55"/>
      <c r="H228" s="55"/>
      <c r="I228" s="55"/>
      <c r="J228" s="55"/>
      <c r="K228" s="55"/>
    </row>
    <row r="229" spans="2:11" ht="12.75">
      <c r="B229" s="55"/>
      <c r="C229" s="55"/>
      <c r="D229" s="55"/>
      <c r="E229" s="55"/>
      <c r="F229" s="55"/>
      <c r="G229" s="55"/>
      <c r="H229" s="55"/>
      <c r="I229" s="55"/>
      <c r="J229" s="55"/>
      <c r="K229" s="55"/>
    </row>
    <row r="230" spans="2:11" ht="12.75">
      <c r="B230" s="55"/>
      <c r="C230" s="55"/>
      <c r="D230" s="55"/>
      <c r="E230" s="55"/>
      <c r="F230" s="55"/>
      <c r="G230" s="55"/>
      <c r="H230" s="55"/>
      <c r="I230" s="55"/>
      <c r="J230" s="55"/>
      <c r="K230" s="55"/>
    </row>
    <row r="231" spans="2:11" ht="12.75">
      <c r="B231" s="55"/>
      <c r="C231" s="55"/>
      <c r="D231" s="55"/>
      <c r="E231" s="55"/>
      <c r="F231" s="55"/>
      <c r="G231" s="55"/>
      <c r="H231" s="55"/>
      <c r="I231" s="55"/>
      <c r="J231" s="55"/>
      <c r="K231" s="55"/>
    </row>
    <row r="232" spans="2:11" ht="12.75">
      <c r="B232" s="55"/>
      <c r="C232" s="55"/>
      <c r="D232" s="55"/>
      <c r="E232" s="55"/>
      <c r="F232" s="55"/>
      <c r="G232" s="55"/>
      <c r="H232" s="55"/>
      <c r="I232" s="55"/>
      <c r="J232" s="55"/>
      <c r="K232" s="55"/>
    </row>
    <row r="233" spans="2:11" ht="12.75">
      <c r="B233" s="55"/>
      <c r="C233" s="55"/>
      <c r="D233" s="55"/>
      <c r="E233" s="55"/>
      <c r="F233" s="55"/>
      <c r="G233" s="55"/>
      <c r="H233" s="55"/>
      <c r="I233" s="55"/>
      <c r="J233" s="55"/>
      <c r="K233" s="55"/>
    </row>
    <row r="234" spans="2:11" ht="12.75">
      <c r="B234" s="55"/>
      <c r="C234" s="55"/>
      <c r="D234" s="55"/>
      <c r="E234" s="55"/>
      <c r="F234" s="55"/>
      <c r="G234" s="55"/>
      <c r="H234" s="55"/>
      <c r="I234" s="55"/>
      <c r="J234" s="55"/>
      <c r="K234" s="55"/>
    </row>
    <row r="235" spans="2:11" ht="12.75">
      <c r="B235" s="55"/>
      <c r="C235" s="55"/>
      <c r="D235" s="55"/>
      <c r="E235" s="55"/>
      <c r="F235" s="55"/>
      <c r="G235" s="55"/>
      <c r="H235" s="55"/>
      <c r="I235" s="55"/>
      <c r="J235" s="55"/>
      <c r="K235" s="55"/>
    </row>
    <row r="236" spans="2:11" ht="12.75">
      <c r="B236" s="55"/>
      <c r="C236" s="55"/>
      <c r="D236" s="55"/>
      <c r="E236" s="55"/>
      <c r="F236" s="55"/>
      <c r="G236" s="55"/>
      <c r="H236" s="55"/>
      <c r="I236" s="55"/>
      <c r="J236" s="55"/>
      <c r="K236" s="55"/>
    </row>
    <row r="237" spans="2:11" ht="12.75">
      <c r="B237" s="55"/>
      <c r="C237" s="55"/>
      <c r="D237" s="55"/>
      <c r="E237" s="55"/>
      <c r="F237" s="55"/>
      <c r="G237" s="55"/>
      <c r="H237" s="55"/>
      <c r="I237" s="55"/>
      <c r="J237" s="55"/>
      <c r="K237" s="55"/>
    </row>
    <row r="238" spans="2:11" ht="12.75">
      <c r="B238" s="55"/>
      <c r="C238" s="55"/>
      <c r="D238" s="55"/>
      <c r="E238" s="55"/>
      <c r="F238" s="55"/>
      <c r="G238" s="55"/>
      <c r="H238" s="55"/>
      <c r="I238" s="55"/>
      <c r="J238" s="55"/>
      <c r="K238" s="55"/>
    </row>
    <row r="239" spans="2:11" ht="12.75">
      <c r="B239" s="55"/>
      <c r="C239" s="55"/>
      <c r="D239" s="55"/>
      <c r="E239" s="55"/>
      <c r="F239" s="55"/>
      <c r="G239" s="55"/>
      <c r="H239" s="55"/>
      <c r="I239" s="55"/>
      <c r="J239" s="55"/>
      <c r="K239" s="55"/>
    </row>
    <row r="240" spans="2:11" ht="12.75">
      <c r="B240" s="55"/>
      <c r="C240" s="55"/>
      <c r="D240" s="55"/>
      <c r="E240" s="55"/>
      <c r="F240" s="55"/>
      <c r="G240" s="55"/>
      <c r="H240" s="55"/>
      <c r="I240" s="55"/>
      <c r="J240" s="55"/>
      <c r="K240" s="55"/>
    </row>
    <row r="241" spans="2:11" ht="12.75">
      <c r="B241" s="55"/>
      <c r="C241" s="55"/>
      <c r="D241" s="55"/>
      <c r="E241" s="55"/>
      <c r="F241" s="55"/>
      <c r="G241" s="55"/>
      <c r="H241" s="55"/>
      <c r="I241" s="55"/>
      <c r="J241" s="55"/>
      <c r="K241" s="55"/>
    </row>
    <row r="242" spans="2:11" ht="12.75">
      <c r="B242" s="55"/>
      <c r="C242" s="55"/>
      <c r="D242" s="55"/>
      <c r="E242" s="55"/>
      <c r="F242" s="55"/>
      <c r="G242" s="55"/>
      <c r="H242" s="55"/>
      <c r="I242" s="55"/>
      <c r="J242" s="55"/>
      <c r="K242" s="55"/>
    </row>
    <row r="243" spans="2:11" ht="12.75">
      <c r="B243" s="55"/>
      <c r="C243" s="55"/>
      <c r="D243" s="55"/>
      <c r="E243" s="55"/>
      <c r="F243" s="55"/>
      <c r="G243" s="55"/>
      <c r="H243" s="55"/>
      <c r="I243" s="55"/>
      <c r="J243" s="55"/>
      <c r="K243" s="55"/>
    </row>
    <row r="244" spans="2:11" ht="12.75">
      <c r="B244" s="55"/>
      <c r="C244" s="55"/>
      <c r="D244" s="55"/>
      <c r="E244" s="55"/>
      <c r="F244" s="55"/>
      <c r="G244" s="55"/>
      <c r="H244" s="55"/>
      <c r="I244" s="55"/>
      <c r="J244" s="55"/>
      <c r="K244" s="55"/>
    </row>
    <row r="245" spans="2:11" ht="12.75">
      <c r="B245" s="55"/>
      <c r="C245" s="55"/>
      <c r="D245" s="55"/>
      <c r="E245" s="55"/>
      <c r="F245" s="55"/>
      <c r="G245" s="55"/>
      <c r="H245" s="55"/>
      <c r="I245" s="55"/>
      <c r="J245" s="55"/>
      <c r="K245" s="55"/>
    </row>
    <row r="246" spans="2:11" ht="12.75">
      <c r="B246" s="55"/>
      <c r="C246" s="55"/>
      <c r="D246" s="55"/>
      <c r="E246" s="55"/>
      <c r="F246" s="55"/>
      <c r="G246" s="55"/>
      <c r="H246" s="55"/>
      <c r="I246" s="55"/>
      <c r="J246" s="55"/>
      <c r="K246" s="55"/>
    </row>
    <row r="247" spans="2:11" ht="12.75">
      <c r="B247" s="55"/>
      <c r="C247" s="55"/>
      <c r="D247" s="55"/>
      <c r="E247" s="55"/>
      <c r="F247" s="55"/>
      <c r="G247" s="55"/>
      <c r="H247" s="55"/>
      <c r="I247" s="55"/>
      <c r="J247" s="55"/>
      <c r="K247" s="55"/>
    </row>
    <row r="248" spans="2:11" ht="12.75">
      <c r="B248" s="55"/>
      <c r="C248" s="55"/>
      <c r="D248" s="55"/>
      <c r="E248" s="55"/>
      <c r="F248" s="55"/>
      <c r="G248" s="55"/>
      <c r="H248" s="55"/>
      <c r="I248" s="55"/>
      <c r="J248" s="55"/>
      <c r="K248" s="55"/>
    </row>
    <row r="249" spans="2:11" ht="12.75">
      <c r="B249" s="55"/>
      <c r="C249" s="55"/>
      <c r="D249" s="55"/>
      <c r="E249" s="55"/>
      <c r="F249" s="55"/>
      <c r="G249" s="55"/>
      <c r="H249" s="55"/>
      <c r="I249" s="55"/>
      <c r="J249" s="55"/>
      <c r="K249" s="55"/>
    </row>
    <row r="250" spans="2:11" ht="12.75">
      <c r="B250" s="55"/>
      <c r="C250" s="55"/>
      <c r="D250" s="55"/>
      <c r="E250" s="55"/>
      <c r="F250" s="55"/>
      <c r="G250" s="55"/>
      <c r="H250" s="55"/>
      <c r="I250" s="55"/>
      <c r="J250" s="55"/>
      <c r="K250" s="55"/>
    </row>
    <row r="251" spans="2:11" ht="12.75">
      <c r="B251" s="55"/>
      <c r="C251" s="55"/>
      <c r="D251" s="55"/>
      <c r="E251" s="55"/>
      <c r="F251" s="55"/>
      <c r="G251" s="55"/>
      <c r="H251" s="55"/>
      <c r="I251" s="55"/>
      <c r="J251" s="55"/>
      <c r="K251" s="55"/>
    </row>
    <row r="252" spans="2:11" ht="12.75">
      <c r="B252" s="55"/>
      <c r="C252" s="55"/>
      <c r="D252" s="55"/>
      <c r="E252" s="55"/>
      <c r="F252" s="55"/>
      <c r="G252" s="55"/>
      <c r="H252" s="55"/>
      <c r="I252" s="55"/>
      <c r="J252" s="55"/>
      <c r="K252" s="55"/>
    </row>
    <row r="253" spans="2:11" ht="12.75">
      <c r="B253" s="55"/>
      <c r="C253" s="55"/>
      <c r="D253" s="55"/>
      <c r="E253" s="55"/>
      <c r="F253" s="55"/>
      <c r="G253" s="55"/>
      <c r="H253" s="55"/>
      <c r="I253" s="55"/>
      <c r="J253" s="55"/>
      <c r="K253" s="55"/>
    </row>
    <row r="254" spans="2:11" ht="12.75">
      <c r="B254" s="55"/>
      <c r="C254" s="55"/>
      <c r="D254" s="55"/>
      <c r="E254" s="55"/>
      <c r="F254" s="55"/>
      <c r="G254" s="55"/>
      <c r="H254" s="55"/>
      <c r="I254" s="55"/>
      <c r="J254" s="55"/>
      <c r="K254" s="55"/>
    </row>
    <row r="255" spans="2:11" ht="12.75">
      <c r="B255" s="55"/>
      <c r="C255" s="55"/>
      <c r="D255" s="55"/>
      <c r="E255" s="55"/>
      <c r="F255" s="55"/>
      <c r="G255" s="55"/>
      <c r="H255" s="55"/>
      <c r="I255" s="55"/>
      <c r="J255" s="55"/>
      <c r="K255" s="55"/>
    </row>
    <row r="256" spans="2:11" ht="12.75">
      <c r="B256" s="55"/>
      <c r="C256" s="55"/>
      <c r="D256" s="55"/>
      <c r="E256" s="55"/>
      <c r="F256" s="55"/>
      <c r="G256" s="55"/>
      <c r="H256" s="55"/>
      <c r="I256" s="55"/>
      <c r="J256" s="55"/>
      <c r="K256" s="55"/>
    </row>
    <row r="257" spans="2:11" ht="12.75">
      <c r="B257" s="55"/>
      <c r="C257" s="55"/>
      <c r="D257" s="55"/>
      <c r="E257" s="55"/>
      <c r="F257" s="55"/>
      <c r="G257" s="55"/>
      <c r="H257" s="55"/>
      <c r="I257" s="55"/>
      <c r="J257" s="55"/>
      <c r="K257" s="55"/>
    </row>
    <row r="258" spans="2:11" ht="12.75">
      <c r="B258" s="55"/>
      <c r="C258" s="55"/>
      <c r="D258" s="55"/>
      <c r="E258" s="55"/>
      <c r="F258" s="55"/>
      <c r="G258" s="55"/>
      <c r="H258" s="55"/>
      <c r="I258" s="55"/>
      <c r="J258" s="55"/>
      <c r="K258" s="55"/>
    </row>
    <row r="259" spans="2:11" ht="12.75">
      <c r="B259" s="55"/>
      <c r="C259" s="55"/>
      <c r="D259" s="55"/>
      <c r="E259" s="55"/>
      <c r="F259" s="55"/>
      <c r="G259" s="55"/>
      <c r="H259" s="55"/>
      <c r="I259" s="55"/>
      <c r="J259" s="55"/>
      <c r="K259" s="55"/>
    </row>
    <row r="260" spans="2:11" ht="12.75">
      <c r="B260" s="55"/>
      <c r="C260" s="55"/>
      <c r="D260" s="55"/>
      <c r="E260" s="55"/>
      <c r="F260" s="55"/>
      <c r="G260" s="55"/>
      <c r="H260" s="55"/>
      <c r="I260" s="55"/>
      <c r="J260" s="55"/>
      <c r="K260" s="55"/>
    </row>
    <row r="261" spans="2:11" ht="12.75">
      <c r="B261" s="55"/>
      <c r="C261" s="55"/>
      <c r="D261" s="55"/>
      <c r="E261" s="55"/>
      <c r="F261" s="55"/>
      <c r="G261" s="55"/>
      <c r="H261" s="55"/>
      <c r="I261" s="55"/>
      <c r="J261" s="55"/>
      <c r="K261" s="55"/>
    </row>
    <row r="262" spans="2:11" ht="12.75">
      <c r="B262" s="55"/>
      <c r="C262" s="55"/>
      <c r="D262" s="55"/>
      <c r="E262" s="55"/>
      <c r="F262" s="55"/>
      <c r="G262" s="55"/>
      <c r="H262" s="55"/>
      <c r="I262" s="55"/>
      <c r="J262" s="55"/>
      <c r="K262" s="55"/>
    </row>
    <row r="263" spans="2:11" ht="12.75">
      <c r="B263" s="55"/>
      <c r="C263" s="55"/>
      <c r="D263" s="55"/>
      <c r="E263" s="55"/>
      <c r="F263" s="55"/>
      <c r="G263" s="55"/>
      <c r="H263" s="55"/>
      <c r="I263" s="55"/>
      <c r="J263" s="55"/>
      <c r="K263" s="55"/>
    </row>
    <row r="264" spans="2:11" ht="12.75">
      <c r="B264" s="55"/>
      <c r="C264" s="55"/>
      <c r="D264" s="55"/>
      <c r="E264" s="55"/>
      <c r="F264" s="55"/>
      <c r="G264" s="55"/>
      <c r="H264" s="55"/>
      <c r="I264" s="55"/>
      <c r="J264" s="55"/>
      <c r="K264" s="55"/>
    </row>
    <row r="265" spans="2:11" ht="12.75">
      <c r="B265" s="55"/>
      <c r="C265" s="55"/>
      <c r="D265" s="55"/>
      <c r="E265" s="55"/>
      <c r="F265" s="55"/>
      <c r="G265" s="55"/>
      <c r="H265" s="55"/>
      <c r="I265" s="55"/>
      <c r="J265" s="55"/>
      <c r="K265" s="55"/>
    </row>
    <row r="266" spans="2:11" ht="12.75">
      <c r="B266" s="55"/>
      <c r="C266" s="55"/>
      <c r="D266" s="55"/>
      <c r="E266" s="55"/>
      <c r="F266" s="55"/>
      <c r="G266" s="55"/>
      <c r="H266" s="55"/>
      <c r="I266" s="55"/>
      <c r="J266" s="55"/>
      <c r="K266" s="55"/>
    </row>
    <row r="267" spans="2:11" ht="12.75">
      <c r="B267" s="55"/>
      <c r="C267" s="55"/>
      <c r="D267" s="55"/>
      <c r="E267" s="55"/>
      <c r="F267" s="55"/>
      <c r="G267" s="55"/>
      <c r="H267" s="55"/>
      <c r="I267" s="55"/>
      <c r="J267" s="55"/>
      <c r="K267" s="55"/>
    </row>
    <row r="268" spans="2:11" ht="12.75">
      <c r="B268" s="55"/>
      <c r="C268" s="55"/>
      <c r="D268" s="55"/>
      <c r="E268" s="55"/>
      <c r="F268" s="55"/>
      <c r="G268" s="55"/>
      <c r="H268" s="55"/>
      <c r="I268" s="55"/>
      <c r="J268" s="55"/>
      <c r="K268" s="55"/>
    </row>
    <row r="269" spans="2:11" ht="12.75">
      <c r="B269" s="55"/>
      <c r="C269" s="55"/>
      <c r="D269" s="55"/>
      <c r="E269" s="55"/>
      <c r="F269" s="55"/>
      <c r="G269" s="55"/>
      <c r="H269" s="55"/>
      <c r="I269" s="55"/>
      <c r="J269" s="55"/>
      <c r="K269" s="55"/>
    </row>
    <row r="270" spans="2:11" ht="12.75">
      <c r="B270" s="55"/>
      <c r="C270" s="55"/>
      <c r="D270" s="55"/>
      <c r="E270" s="55"/>
      <c r="F270" s="55"/>
      <c r="G270" s="55"/>
      <c r="H270" s="55"/>
      <c r="I270" s="55"/>
      <c r="J270" s="55"/>
      <c r="K270" s="55"/>
    </row>
    <row r="271" spans="2:11" ht="12.75">
      <c r="B271" s="55"/>
      <c r="C271" s="55"/>
      <c r="D271" s="55"/>
      <c r="E271" s="55"/>
      <c r="F271" s="55"/>
      <c r="G271" s="55"/>
      <c r="H271" s="55"/>
      <c r="I271" s="55"/>
      <c r="J271" s="55"/>
      <c r="K271" s="55"/>
    </row>
    <row r="272" spans="2:11" ht="12.75">
      <c r="B272" s="55"/>
      <c r="C272" s="55"/>
      <c r="D272" s="55"/>
      <c r="E272" s="55"/>
      <c r="F272" s="55"/>
      <c r="G272" s="55"/>
      <c r="H272" s="55"/>
      <c r="I272" s="55"/>
      <c r="J272" s="55"/>
      <c r="K272" s="55"/>
    </row>
    <row r="273" spans="2:11" ht="12.75">
      <c r="B273" s="55"/>
      <c r="C273" s="55"/>
      <c r="D273" s="55"/>
      <c r="E273" s="55"/>
      <c r="F273" s="55"/>
      <c r="G273" s="55"/>
      <c r="H273" s="55"/>
      <c r="I273" s="55"/>
      <c r="J273" s="55"/>
      <c r="K273" s="55"/>
    </row>
    <row r="274" spans="2:11" ht="12.75">
      <c r="B274" s="55"/>
      <c r="C274" s="55"/>
      <c r="D274" s="55"/>
      <c r="E274" s="55"/>
      <c r="F274" s="55"/>
      <c r="G274" s="55"/>
      <c r="H274" s="55"/>
      <c r="I274" s="55"/>
      <c r="J274" s="55"/>
      <c r="K274" s="55"/>
    </row>
    <row r="275" spans="2:11" ht="12.75">
      <c r="B275" s="55"/>
      <c r="C275" s="55"/>
      <c r="D275" s="55"/>
      <c r="E275" s="55"/>
      <c r="F275" s="55"/>
      <c r="G275" s="55"/>
      <c r="H275" s="55"/>
      <c r="I275" s="55"/>
      <c r="J275" s="55"/>
      <c r="K275" s="55"/>
    </row>
    <row r="276" spans="2:11" ht="12.75">
      <c r="B276" s="55"/>
      <c r="C276" s="55"/>
      <c r="D276" s="55"/>
      <c r="E276" s="55"/>
      <c r="F276" s="55"/>
      <c r="G276" s="55"/>
      <c r="H276" s="55"/>
      <c r="I276" s="55"/>
      <c r="J276" s="55"/>
      <c r="K276" s="55"/>
    </row>
    <row r="277" spans="2:11" ht="12.75">
      <c r="B277" s="55"/>
      <c r="C277" s="55"/>
      <c r="D277" s="55"/>
      <c r="E277" s="55"/>
      <c r="F277" s="55"/>
      <c r="G277" s="55"/>
      <c r="H277" s="55"/>
      <c r="I277" s="55"/>
      <c r="J277" s="55"/>
      <c r="K277" s="55"/>
    </row>
    <row r="278" spans="2:11" ht="12.75">
      <c r="B278" s="55"/>
      <c r="C278" s="55"/>
      <c r="D278" s="55"/>
      <c r="E278" s="55"/>
      <c r="F278" s="55"/>
      <c r="G278" s="55"/>
      <c r="H278" s="55"/>
      <c r="I278" s="55"/>
      <c r="J278" s="55"/>
      <c r="K278" s="55"/>
    </row>
    <row r="279" spans="2:11" ht="12.75">
      <c r="B279" s="55"/>
      <c r="C279" s="55"/>
      <c r="D279" s="55"/>
      <c r="E279" s="55"/>
      <c r="F279" s="55"/>
      <c r="G279" s="55"/>
      <c r="H279" s="55"/>
      <c r="I279" s="55"/>
      <c r="J279" s="55"/>
      <c r="K279" s="55"/>
    </row>
    <row r="280" spans="2:11" ht="12.75">
      <c r="B280" s="55"/>
      <c r="C280" s="55"/>
      <c r="D280" s="55"/>
      <c r="E280" s="55"/>
      <c r="F280" s="55"/>
      <c r="G280" s="55"/>
      <c r="H280" s="55"/>
      <c r="I280" s="55"/>
      <c r="J280" s="55"/>
      <c r="K280" s="55"/>
    </row>
    <row r="281" spans="2:11" ht="12.75">
      <c r="B281" s="55"/>
      <c r="C281" s="55"/>
      <c r="D281" s="55"/>
      <c r="E281" s="55"/>
      <c r="F281" s="55"/>
      <c r="G281" s="55"/>
      <c r="H281" s="55"/>
      <c r="I281" s="55"/>
      <c r="J281" s="55"/>
      <c r="K281" s="55"/>
    </row>
    <row r="282" spans="2:11" ht="12.75">
      <c r="B282" s="55"/>
      <c r="C282" s="55"/>
      <c r="D282" s="55"/>
      <c r="E282" s="55"/>
      <c r="F282" s="55"/>
      <c r="G282" s="55"/>
      <c r="H282" s="55"/>
      <c r="I282" s="55"/>
      <c r="J282" s="55"/>
      <c r="K282" s="55"/>
    </row>
    <row r="283" spans="2:11" ht="12.75">
      <c r="B283" s="55"/>
      <c r="C283" s="55"/>
      <c r="D283" s="55"/>
      <c r="E283" s="55"/>
      <c r="F283" s="55"/>
      <c r="G283" s="55"/>
      <c r="H283" s="55"/>
      <c r="I283" s="55"/>
      <c r="J283" s="55"/>
      <c r="K283" s="55"/>
    </row>
    <row r="284" spans="2:11" ht="12.75">
      <c r="B284" s="55"/>
      <c r="C284" s="55"/>
      <c r="D284" s="55"/>
      <c r="E284" s="55"/>
      <c r="F284" s="55"/>
      <c r="G284" s="55"/>
      <c r="H284" s="55"/>
      <c r="I284" s="55"/>
      <c r="J284" s="55"/>
      <c r="K284" s="55"/>
    </row>
    <row r="285" spans="2:11" ht="12.75">
      <c r="B285" s="55"/>
      <c r="C285" s="55"/>
      <c r="D285" s="55"/>
      <c r="E285" s="55"/>
      <c r="F285" s="55"/>
      <c r="G285" s="55"/>
      <c r="H285" s="55"/>
      <c r="I285" s="55"/>
      <c r="J285" s="55"/>
      <c r="K285" s="55"/>
    </row>
    <row r="286" spans="2:11" ht="12.75">
      <c r="B286" s="55"/>
      <c r="C286" s="55"/>
      <c r="D286" s="55"/>
      <c r="E286" s="55"/>
      <c r="F286" s="55"/>
      <c r="G286" s="55"/>
      <c r="H286" s="55"/>
      <c r="I286" s="55"/>
      <c r="J286" s="55"/>
      <c r="K286" s="55"/>
    </row>
    <row r="287" spans="2:11" ht="12.75">
      <c r="B287" s="55"/>
      <c r="C287" s="55"/>
      <c r="D287" s="55"/>
      <c r="E287" s="55"/>
      <c r="F287" s="55"/>
      <c r="G287" s="55"/>
      <c r="H287" s="55"/>
      <c r="I287" s="55"/>
      <c r="J287" s="55"/>
      <c r="K287" s="55"/>
    </row>
    <row r="288" spans="2:11" ht="12.75">
      <c r="B288" s="55"/>
      <c r="C288" s="55"/>
      <c r="D288" s="55"/>
      <c r="E288" s="55"/>
      <c r="F288" s="55"/>
      <c r="G288" s="55"/>
      <c r="H288" s="55"/>
      <c r="I288" s="55"/>
      <c r="J288" s="55"/>
      <c r="K288" s="55"/>
    </row>
    <row r="289" spans="2:11" ht="12.75">
      <c r="B289" s="55"/>
      <c r="C289" s="55"/>
      <c r="D289" s="55"/>
      <c r="E289" s="55"/>
      <c r="F289" s="55"/>
      <c r="G289" s="55"/>
      <c r="H289" s="55"/>
      <c r="I289" s="55"/>
      <c r="J289" s="55"/>
      <c r="K289" s="55"/>
    </row>
    <row r="290" spans="2:11" ht="12.75">
      <c r="B290" s="55"/>
      <c r="C290" s="55"/>
      <c r="D290" s="55"/>
      <c r="E290" s="55"/>
      <c r="F290" s="55"/>
      <c r="G290" s="55"/>
      <c r="H290" s="55"/>
      <c r="I290" s="55"/>
      <c r="J290" s="55"/>
      <c r="K290" s="55"/>
    </row>
    <row r="291" spans="2:11" ht="12.75">
      <c r="B291" s="55"/>
      <c r="C291" s="55"/>
      <c r="D291" s="55"/>
      <c r="E291" s="55"/>
      <c r="F291" s="55"/>
      <c r="G291" s="55"/>
      <c r="H291" s="55"/>
      <c r="I291" s="55"/>
      <c r="J291" s="55"/>
      <c r="K291" s="55"/>
    </row>
    <row r="292" spans="2:11" ht="12.75">
      <c r="B292" s="55"/>
      <c r="C292" s="55"/>
      <c r="D292" s="55"/>
      <c r="E292" s="55"/>
      <c r="F292" s="55"/>
      <c r="G292" s="55"/>
      <c r="H292" s="55"/>
      <c r="I292" s="55"/>
      <c r="J292" s="55"/>
      <c r="K292" s="55"/>
    </row>
    <row r="293" spans="2:11" ht="12.75">
      <c r="B293" s="55"/>
      <c r="C293" s="55"/>
      <c r="D293" s="55"/>
      <c r="E293" s="55"/>
      <c r="F293" s="55"/>
      <c r="G293" s="55"/>
      <c r="H293" s="55"/>
      <c r="I293" s="55"/>
      <c r="J293" s="55"/>
      <c r="K293" s="55"/>
    </row>
    <row r="294" spans="2:11" ht="12.75">
      <c r="B294" s="55"/>
      <c r="C294" s="55"/>
      <c r="D294" s="55"/>
      <c r="E294" s="55"/>
      <c r="F294" s="55"/>
      <c r="G294" s="55"/>
      <c r="H294" s="55"/>
      <c r="I294" s="55"/>
      <c r="J294" s="55"/>
      <c r="K294" s="55"/>
    </row>
    <row r="295" spans="2:11" ht="12.75">
      <c r="B295" s="55"/>
      <c r="C295" s="55"/>
      <c r="D295" s="55"/>
      <c r="E295" s="55"/>
      <c r="F295" s="55"/>
      <c r="G295" s="55"/>
      <c r="H295" s="55"/>
      <c r="I295" s="55"/>
      <c r="J295" s="55"/>
      <c r="K295" s="55"/>
    </row>
    <row r="296" spans="2:11" ht="12.75">
      <c r="B296" s="55"/>
      <c r="C296" s="55"/>
      <c r="D296" s="55"/>
      <c r="E296" s="55"/>
      <c r="F296" s="55"/>
      <c r="G296" s="55"/>
      <c r="H296" s="55"/>
      <c r="I296" s="55"/>
      <c r="J296" s="55"/>
      <c r="K296" s="55"/>
    </row>
    <row r="297" spans="2:11" ht="12.75">
      <c r="B297" s="55"/>
      <c r="C297" s="55"/>
      <c r="D297" s="55"/>
      <c r="E297" s="55"/>
      <c r="F297" s="55"/>
      <c r="G297" s="55"/>
      <c r="H297" s="55"/>
      <c r="I297" s="55"/>
      <c r="J297" s="55"/>
      <c r="K297" s="55"/>
    </row>
    <row r="298" spans="2:11" ht="12.75">
      <c r="B298" s="55"/>
      <c r="C298" s="55"/>
      <c r="D298" s="55"/>
      <c r="E298" s="55"/>
      <c r="F298" s="55"/>
      <c r="G298" s="55"/>
      <c r="H298" s="55"/>
      <c r="I298" s="55"/>
      <c r="J298" s="55"/>
      <c r="K298" s="55"/>
    </row>
    <row r="299" spans="2:11" ht="12.75">
      <c r="B299" s="55"/>
      <c r="C299" s="55"/>
      <c r="D299" s="55"/>
      <c r="E299" s="55"/>
      <c r="F299" s="55"/>
      <c r="G299" s="55"/>
      <c r="H299" s="55"/>
      <c r="I299" s="55"/>
      <c r="J299" s="55"/>
      <c r="K299" s="55"/>
    </row>
    <row r="300" spans="2:11" ht="12.75">
      <c r="B300" s="55"/>
      <c r="C300" s="55"/>
      <c r="D300" s="55"/>
      <c r="E300" s="55"/>
      <c r="F300" s="55"/>
      <c r="G300" s="55"/>
      <c r="H300" s="55"/>
      <c r="I300" s="55"/>
      <c r="J300" s="55"/>
      <c r="K300" s="55"/>
    </row>
    <row r="301" spans="2:11" ht="12.75">
      <c r="B301" s="55"/>
      <c r="C301" s="55"/>
      <c r="D301" s="55"/>
      <c r="E301" s="55"/>
      <c r="F301" s="55"/>
      <c r="G301" s="55"/>
      <c r="H301" s="55"/>
      <c r="I301" s="55"/>
      <c r="J301" s="55"/>
      <c r="K301" s="55"/>
    </row>
    <row r="302" spans="2:11" ht="12.75">
      <c r="B302" s="55"/>
      <c r="C302" s="55"/>
      <c r="D302" s="55"/>
      <c r="E302" s="55"/>
      <c r="F302" s="55"/>
      <c r="G302" s="55"/>
      <c r="H302" s="55"/>
      <c r="I302" s="55"/>
      <c r="J302" s="55"/>
      <c r="K302" s="55"/>
    </row>
    <row r="303" spans="2:11" ht="12.75">
      <c r="B303" s="55"/>
      <c r="C303" s="55"/>
      <c r="D303" s="55"/>
      <c r="E303" s="55"/>
      <c r="F303" s="55"/>
      <c r="G303" s="55"/>
      <c r="H303" s="55"/>
      <c r="I303" s="55"/>
      <c r="J303" s="55"/>
      <c r="K303" s="55"/>
    </row>
    <row r="304" spans="2:11" ht="12.75">
      <c r="B304" s="55"/>
      <c r="C304" s="55"/>
      <c r="D304" s="55"/>
      <c r="E304" s="55"/>
      <c r="F304" s="55"/>
      <c r="G304" s="55"/>
      <c r="H304" s="55"/>
      <c r="I304" s="55"/>
      <c r="J304" s="55"/>
      <c r="K304" s="55"/>
    </row>
    <row r="305" spans="2:11" ht="12.75">
      <c r="B305" s="55"/>
      <c r="C305" s="55"/>
      <c r="D305" s="55"/>
      <c r="E305" s="55"/>
      <c r="F305" s="55"/>
      <c r="G305" s="55"/>
      <c r="H305" s="55"/>
      <c r="I305" s="55"/>
      <c r="J305" s="55"/>
      <c r="K305" s="55"/>
    </row>
    <row r="306" spans="2:11" ht="12.75">
      <c r="B306" s="55"/>
      <c r="C306" s="55"/>
      <c r="D306" s="55"/>
      <c r="E306" s="55"/>
      <c r="F306" s="55"/>
      <c r="G306" s="55"/>
      <c r="H306" s="55"/>
      <c r="I306" s="55"/>
      <c r="J306" s="55"/>
      <c r="K306" s="55"/>
    </row>
    <row r="307" spans="2:11" ht="12.75">
      <c r="B307" s="55"/>
      <c r="C307" s="55"/>
      <c r="D307" s="55"/>
      <c r="E307" s="55"/>
      <c r="F307" s="55"/>
      <c r="G307" s="55"/>
      <c r="H307" s="55"/>
      <c r="I307" s="55"/>
      <c r="J307" s="55"/>
      <c r="K307" s="55"/>
    </row>
    <row r="308" spans="2:11" ht="12.75">
      <c r="B308" s="55"/>
      <c r="C308" s="55"/>
      <c r="D308" s="55"/>
      <c r="E308" s="55"/>
      <c r="F308" s="55"/>
      <c r="G308" s="55"/>
      <c r="H308" s="55"/>
      <c r="I308" s="55"/>
      <c r="J308" s="55"/>
      <c r="K308" s="55"/>
    </row>
    <row r="309" spans="2:11" ht="12.75">
      <c r="B309" s="55"/>
      <c r="C309" s="55"/>
      <c r="D309" s="55"/>
      <c r="E309" s="55"/>
      <c r="F309" s="55"/>
      <c r="G309" s="55"/>
      <c r="H309" s="55"/>
      <c r="I309" s="55"/>
      <c r="J309" s="55"/>
      <c r="K309" s="55"/>
    </row>
    <row r="310" spans="2:11" ht="12.75">
      <c r="B310" s="55"/>
      <c r="C310" s="55"/>
      <c r="D310" s="55"/>
      <c r="E310" s="55"/>
      <c r="F310" s="55"/>
      <c r="G310" s="55"/>
      <c r="H310" s="55"/>
      <c r="I310" s="55"/>
      <c r="J310" s="55"/>
      <c r="K310" s="55"/>
    </row>
    <row r="311" spans="2:11" ht="12.75">
      <c r="B311" s="55"/>
      <c r="C311" s="55"/>
      <c r="D311" s="55"/>
      <c r="E311" s="55"/>
      <c r="F311" s="55"/>
      <c r="G311" s="55"/>
      <c r="H311" s="55"/>
      <c r="I311" s="55"/>
      <c r="J311" s="55"/>
      <c r="K311" s="55"/>
    </row>
    <row r="312" spans="2:11" ht="12.75">
      <c r="B312" s="55"/>
      <c r="C312" s="55"/>
      <c r="D312" s="55"/>
      <c r="E312" s="55"/>
      <c r="F312" s="55"/>
      <c r="G312" s="55"/>
      <c r="H312" s="55"/>
      <c r="I312" s="55"/>
      <c r="J312" s="55"/>
      <c r="K312" s="55"/>
    </row>
    <row r="313" spans="2:11" ht="12.75">
      <c r="B313" s="55"/>
      <c r="C313" s="55"/>
      <c r="D313" s="55"/>
      <c r="E313" s="55"/>
      <c r="F313" s="55"/>
      <c r="G313" s="55"/>
      <c r="H313" s="55"/>
      <c r="I313" s="55"/>
      <c r="J313" s="55"/>
      <c r="K313" s="55"/>
    </row>
    <row r="314" spans="2:11" ht="12.75">
      <c r="B314" s="55"/>
      <c r="C314" s="55"/>
      <c r="D314" s="55"/>
      <c r="E314" s="55"/>
      <c r="F314" s="55"/>
      <c r="G314" s="55"/>
      <c r="H314" s="55"/>
      <c r="I314" s="55"/>
      <c r="J314" s="55"/>
      <c r="K314" s="55"/>
    </row>
    <row r="315" spans="2:11" ht="12.75">
      <c r="B315" s="55"/>
      <c r="C315" s="55"/>
      <c r="D315" s="55"/>
      <c r="E315" s="55"/>
      <c r="F315" s="55"/>
      <c r="G315" s="55"/>
      <c r="H315" s="55"/>
      <c r="I315" s="55"/>
      <c r="J315" s="55"/>
      <c r="K315" s="55"/>
    </row>
    <row r="316" spans="2:11" ht="12.75">
      <c r="B316" s="55"/>
      <c r="C316" s="55"/>
      <c r="D316" s="55"/>
      <c r="E316" s="55"/>
      <c r="F316" s="55"/>
      <c r="G316" s="55"/>
      <c r="H316" s="55"/>
      <c r="I316" s="55"/>
      <c r="J316" s="55"/>
      <c r="K316" s="55"/>
    </row>
    <row r="317" spans="2:11" ht="12.75">
      <c r="B317" s="55"/>
      <c r="C317" s="55"/>
      <c r="D317" s="55"/>
      <c r="E317" s="55"/>
      <c r="F317" s="55"/>
      <c r="G317" s="55"/>
      <c r="H317" s="55"/>
      <c r="I317" s="55"/>
      <c r="J317" s="55"/>
      <c r="K317" s="55"/>
    </row>
    <row r="318" spans="2:11" ht="12.75">
      <c r="B318" s="55"/>
      <c r="C318" s="55"/>
      <c r="D318" s="55"/>
      <c r="E318" s="55"/>
      <c r="F318" s="55"/>
      <c r="G318" s="55"/>
      <c r="H318" s="55"/>
      <c r="I318" s="55"/>
      <c r="J318" s="55"/>
      <c r="K318" s="55"/>
    </row>
    <row r="319" spans="2:11" ht="12.75">
      <c r="B319" s="55"/>
      <c r="C319" s="55"/>
      <c r="D319" s="55"/>
      <c r="E319" s="55"/>
      <c r="F319" s="55"/>
      <c r="G319" s="55"/>
      <c r="H319" s="55"/>
      <c r="I319" s="55"/>
      <c r="J319" s="55"/>
      <c r="K319" s="55"/>
    </row>
    <row r="320" spans="2:11" ht="12.75">
      <c r="B320" s="55"/>
      <c r="C320" s="55"/>
      <c r="D320" s="55"/>
      <c r="E320" s="55"/>
      <c r="F320" s="55"/>
      <c r="G320" s="55"/>
      <c r="H320" s="55"/>
      <c r="I320" s="55"/>
      <c r="J320" s="55"/>
      <c r="K320" s="55"/>
    </row>
    <row r="321" spans="2:11" ht="12.75">
      <c r="B321" s="55"/>
      <c r="C321" s="55"/>
      <c r="D321" s="55"/>
      <c r="E321" s="55"/>
      <c r="F321" s="55"/>
      <c r="G321" s="55"/>
      <c r="H321" s="55"/>
      <c r="I321" s="55"/>
      <c r="J321" s="55"/>
      <c r="K321" s="55"/>
    </row>
    <row r="322" spans="2:11" ht="12.75">
      <c r="B322" s="55"/>
      <c r="C322" s="55"/>
      <c r="D322" s="55"/>
      <c r="E322" s="55"/>
      <c r="F322" s="55"/>
      <c r="G322" s="55"/>
      <c r="H322" s="55"/>
      <c r="I322" s="55"/>
      <c r="J322" s="55"/>
      <c r="K322" s="55"/>
    </row>
    <row r="323" spans="2:11" ht="12.75">
      <c r="B323" s="55"/>
      <c r="C323" s="55"/>
      <c r="D323" s="55"/>
      <c r="E323" s="55"/>
      <c r="F323" s="55"/>
      <c r="G323" s="55"/>
      <c r="H323" s="55"/>
      <c r="I323" s="55"/>
      <c r="J323" s="55"/>
      <c r="K323" s="55"/>
    </row>
    <row r="324" spans="2:11" ht="12.75">
      <c r="B324" s="55"/>
      <c r="C324" s="55"/>
      <c r="D324" s="55"/>
      <c r="E324" s="55"/>
      <c r="F324" s="55"/>
      <c r="G324" s="55"/>
      <c r="H324" s="55"/>
      <c r="I324" s="55"/>
      <c r="J324" s="55"/>
      <c r="K324" s="55"/>
    </row>
    <row r="325" spans="2:11" ht="12.75">
      <c r="B325" s="55"/>
      <c r="C325" s="55"/>
      <c r="D325" s="55"/>
      <c r="E325" s="55"/>
      <c r="F325" s="55"/>
      <c r="G325" s="55"/>
      <c r="H325" s="55"/>
      <c r="I325" s="55"/>
      <c r="J325" s="55"/>
      <c r="K325" s="55"/>
    </row>
    <row r="326" spans="2:11" ht="12.75">
      <c r="B326" s="55"/>
      <c r="C326" s="55"/>
      <c r="D326" s="55"/>
      <c r="E326" s="55"/>
      <c r="F326" s="55"/>
      <c r="G326" s="55"/>
      <c r="H326" s="55"/>
      <c r="I326" s="55"/>
      <c r="J326" s="55"/>
      <c r="K326" s="55"/>
    </row>
    <row r="327" spans="2:11" ht="12.75">
      <c r="B327" s="55"/>
      <c r="C327" s="55"/>
      <c r="D327" s="55"/>
      <c r="E327" s="55"/>
      <c r="F327" s="55"/>
      <c r="G327" s="55"/>
      <c r="H327" s="55"/>
      <c r="I327" s="55"/>
      <c r="J327" s="55"/>
      <c r="K327" s="55"/>
    </row>
    <row r="328" spans="2:11" ht="12.75">
      <c r="B328" s="55"/>
      <c r="C328" s="55"/>
      <c r="D328" s="55"/>
      <c r="E328" s="55"/>
      <c r="F328" s="55"/>
      <c r="G328" s="55"/>
      <c r="H328" s="55"/>
      <c r="I328" s="55"/>
      <c r="J328" s="55"/>
      <c r="K328" s="55"/>
    </row>
    <row r="329" spans="2:11" ht="12.75">
      <c r="B329" s="55"/>
      <c r="C329" s="55"/>
      <c r="D329" s="55"/>
      <c r="E329" s="55"/>
      <c r="F329" s="55"/>
      <c r="G329" s="55"/>
      <c r="H329" s="55"/>
      <c r="I329" s="55"/>
      <c r="J329" s="55"/>
      <c r="K329" s="55"/>
    </row>
    <row r="330" spans="2:11" ht="12.75">
      <c r="B330" s="55"/>
      <c r="C330" s="55"/>
      <c r="D330" s="55"/>
      <c r="E330" s="55"/>
      <c r="F330" s="55"/>
      <c r="G330" s="55"/>
      <c r="H330" s="55"/>
      <c r="I330" s="55"/>
      <c r="J330" s="55"/>
      <c r="K330" s="55"/>
    </row>
    <row r="331" spans="2:11" ht="12.75">
      <c r="B331" s="55"/>
      <c r="C331" s="55"/>
      <c r="D331" s="55"/>
      <c r="E331" s="55"/>
      <c r="F331" s="55"/>
      <c r="G331" s="55"/>
      <c r="H331" s="55"/>
      <c r="I331" s="55"/>
      <c r="J331" s="55"/>
      <c r="K331" s="55"/>
    </row>
    <row r="332" spans="2:11" ht="12.75">
      <c r="B332" s="55"/>
      <c r="C332" s="55"/>
      <c r="D332" s="55"/>
      <c r="E332" s="55"/>
      <c r="F332" s="55"/>
      <c r="G332" s="55"/>
      <c r="H332" s="55"/>
      <c r="I332" s="55"/>
      <c r="J332" s="55"/>
      <c r="K332" s="55"/>
    </row>
    <row r="333" spans="2:11" ht="12.75">
      <c r="B333" s="55"/>
      <c r="C333" s="55"/>
      <c r="D333" s="55"/>
      <c r="E333" s="55"/>
      <c r="F333" s="55"/>
      <c r="G333" s="55"/>
      <c r="H333" s="55"/>
      <c r="I333" s="55"/>
      <c r="J333" s="55"/>
      <c r="K333" s="55"/>
    </row>
    <row r="334" spans="2:11" ht="12.75">
      <c r="B334" s="55"/>
      <c r="C334" s="55"/>
      <c r="D334" s="55"/>
      <c r="E334" s="55"/>
      <c r="F334" s="55"/>
      <c r="G334" s="55"/>
      <c r="H334" s="55"/>
      <c r="I334" s="55"/>
      <c r="J334" s="55"/>
      <c r="K334" s="55"/>
    </row>
    <row r="335" spans="2:11" ht="12.75">
      <c r="B335" s="55"/>
      <c r="C335" s="55"/>
      <c r="D335" s="55"/>
      <c r="E335" s="55"/>
      <c r="F335" s="55"/>
      <c r="G335" s="55"/>
      <c r="H335" s="55"/>
      <c r="I335" s="55"/>
      <c r="J335" s="55"/>
      <c r="K335" s="55"/>
    </row>
    <row r="336" spans="2:11" ht="12.75">
      <c r="B336" s="55"/>
      <c r="C336" s="55"/>
      <c r="D336" s="55"/>
      <c r="E336" s="55"/>
      <c r="F336" s="55"/>
      <c r="G336" s="55"/>
      <c r="H336" s="55"/>
      <c r="I336" s="55"/>
      <c r="J336" s="55"/>
      <c r="K336" s="55"/>
    </row>
    <row r="337" spans="2:11" ht="12.75">
      <c r="B337" s="55"/>
      <c r="C337" s="55"/>
      <c r="D337" s="55"/>
      <c r="E337" s="55"/>
      <c r="F337" s="55"/>
      <c r="G337" s="55"/>
      <c r="H337" s="55"/>
      <c r="I337" s="55"/>
      <c r="J337" s="55"/>
      <c r="K337" s="55"/>
    </row>
    <row r="338" spans="2:11" ht="12.75">
      <c r="B338" s="55"/>
      <c r="C338" s="55"/>
      <c r="D338" s="55"/>
      <c r="E338" s="55"/>
      <c r="F338" s="55"/>
      <c r="G338" s="55"/>
      <c r="H338" s="55"/>
      <c r="I338" s="55"/>
      <c r="J338" s="55"/>
      <c r="K338" s="55"/>
    </row>
    <row r="339" spans="2:11" ht="12.75">
      <c r="B339" s="55"/>
      <c r="C339" s="55"/>
      <c r="D339" s="55"/>
      <c r="E339" s="55"/>
      <c r="F339" s="55"/>
      <c r="G339" s="55"/>
      <c r="H339" s="55"/>
      <c r="I339" s="55"/>
      <c r="J339" s="55"/>
      <c r="K339" s="55"/>
    </row>
    <row r="340" spans="2:11" ht="12.75">
      <c r="B340" s="55"/>
      <c r="C340" s="55"/>
      <c r="D340" s="55"/>
      <c r="E340" s="55"/>
      <c r="F340" s="55"/>
      <c r="G340" s="55"/>
      <c r="H340" s="55"/>
      <c r="I340" s="55"/>
      <c r="J340" s="55"/>
      <c r="K340" s="55"/>
    </row>
    <row r="341" spans="2:11" ht="12.75">
      <c r="B341" s="55"/>
      <c r="C341" s="55"/>
      <c r="D341" s="55"/>
      <c r="E341" s="55"/>
      <c r="F341" s="55"/>
      <c r="G341" s="55"/>
      <c r="H341" s="55"/>
      <c r="I341" s="55"/>
      <c r="J341" s="55"/>
      <c r="K341" s="55"/>
    </row>
    <row r="342" spans="2:11" ht="12.75">
      <c r="B342" s="55"/>
      <c r="C342" s="55"/>
      <c r="D342" s="55"/>
      <c r="E342" s="55"/>
      <c r="F342" s="55"/>
      <c r="G342" s="55"/>
      <c r="H342" s="55"/>
      <c r="I342" s="55"/>
      <c r="J342" s="55"/>
      <c r="K342" s="55"/>
    </row>
    <row r="343" spans="2:11" ht="12.75">
      <c r="B343" s="55"/>
      <c r="C343" s="55"/>
      <c r="D343" s="55"/>
      <c r="E343" s="55"/>
      <c r="F343" s="55"/>
      <c r="G343" s="55"/>
      <c r="H343" s="55"/>
      <c r="I343" s="55"/>
      <c r="J343" s="55"/>
      <c r="K343" s="55"/>
    </row>
    <row r="344" spans="2:11" ht="12.75">
      <c r="B344" s="55"/>
      <c r="C344" s="55"/>
      <c r="D344" s="55"/>
      <c r="E344" s="55"/>
      <c r="F344" s="55"/>
      <c r="G344" s="55"/>
      <c r="H344" s="55"/>
      <c r="I344" s="55"/>
      <c r="J344" s="55"/>
      <c r="K344" s="55"/>
    </row>
    <row r="345" spans="2:11" ht="12.75">
      <c r="B345" s="55"/>
      <c r="C345" s="55"/>
      <c r="D345" s="55"/>
      <c r="E345" s="55"/>
      <c r="F345" s="55"/>
      <c r="G345" s="55"/>
      <c r="H345" s="55"/>
      <c r="I345" s="55"/>
      <c r="J345" s="55"/>
      <c r="K345" s="55"/>
    </row>
    <row r="346" spans="2:11" ht="12.75">
      <c r="B346" s="55"/>
      <c r="C346" s="55"/>
      <c r="D346" s="55"/>
      <c r="E346" s="55"/>
      <c r="F346" s="55"/>
      <c r="G346" s="55"/>
      <c r="H346" s="55"/>
      <c r="I346" s="55"/>
      <c r="J346" s="55"/>
      <c r="K346" s="55"/>
    </row>
    <row r="347" spans="2:11" ht="12.75">
      <c r="B347" s="55"/>
      <c r="C347" s="55"/>
      <c r="D347" s="55"/>
      <c r="E347" s="55"/>
      <c r="F347" s="55"/>
      <c r="G347" s="55"/>
      <c r="H347" s="55"/>
      <c r="I347" s="55"/>
      <c r="J347" s="55"/>
      <c r="K347" s="55"/>
    </row>
    <row r="348" spans="2:11" ht="12.75">
      <c r="B348" s="55"/>
      <c r="C348" s="55"/>
      <c r="D348" s="55"/>
      <c r="E348" s="55"/>
      <c r="F348" s="55"/>
      <c r="G348" s="55"/>
      <c r="H348" s="55"/>
      <c r="I348" s="55"/>
      <c r="J348" s="55"/>
      <c r="K348" s="55"/>
    </row>
    <row r="349" spans="2:11" ht="12.75">
      <c r="B349" s="55"/>
      <c r="C349" s="55"/>
      <c r="D349" s="55"/>
      <c r="E349" s="55"/>
      <c r="F349" s="55"/>
      <c r="G349" s="55"/>
      <c r="H349" s="55"/>
      <c r="I349" s="55"/>
      <c r="J349" s="55"/>
      <c r="K349" s="55"/>
    </row>
    <row r="350" spans="2:11" ht="12.75">
      <c r="B350" s="55"/>
      <c r="C350" s="55"/>
      <c r="D350" s="55"/>
      <c r="E350" s="55"/>
      <c r="F350" s="55"/>
      <c r="G350" s="55"/>
      <c r="H350" s="55"/>
      <c r="I350" s="55"/>
      <c r="J350" s="55"/>
      <c r="K350" s="55"/>
    </row>
    <row r="351" spans="2:11" ht="12.75">
      <c r="B351" s="55"/>
      <c r="C351" s="55"/>
      <c r="D351" s="55"/>
      <c r="E351" s="55"/>
      <c r="F351" s="55"/>
      <c r="G351" s="55"/>
      <c r="H351" s="55"/>
      <c r="I351" s="55"/>
      <c r="J351" s="55"/>
      <c r="K351" s="55"/>
    </row>
    <row r="352" spans="2:11" ht="12.75">
      <c r="B352" s="55"/>
      <c r="C352" s="55"/>
      <c r="D352" s="55"/>
      <c r="E352" s="55"/>
      <c r="F352" s="55"/>
      <c r="G352" s="55"/>
      <c r="H352" s="55"/>
      <c r="I352" s="55"/>
      <c r="J352" s="55"/>
      <c r="K352" s="55"/>
    </row>
    <row r="353" spans="2:11" ht="12.75">
      <c r="B353" s="55"/>
      <c r="C353" s="55"/>
      <c r="D353" s="55"/>
      <c r="E353" s="55"/>
      <c r="F353" s="55"/>
      <c r="G353" s="55"/>
      <c r="H353" s="55"/>
      <c r="I353" s="55"/>
      <c r="J353" s="55"/>
      <c r="K353" s="55"/>
    </row>
    <row r="354" spans="2:11" ht="12.75">
      <c r="B354" s="55"/>
      <c r="C354" s="55"/>
      <c r="D354" s="55"/>
      <c r="E354" s="55"/>
      <c r="F354" s="55"/>
      <c r="G354" s="55"/>
      <c r="H354" s="55"/>
      <c r="I354" s="55"/>
      <c r="J354" s="55"/>
      <c r="K354" s="55"/>
    </row>
    <row r="355" spans="2:11" ht="12.75">
      <c r="B355" s="55"/>
      <c r="C355" s="55"/>
      <c r="D355" s="55"/>
      <c r="E355" s="55"/>
      <c r="F355" s="55"/>
      <c r="G355" s="55"/>
      <c r="H355" s="55"/>
      <c r="I355" s="55"/>
      <c r="J355" s="55"/>
      <c r="K355" s="55"/>
    </row>
    <row r="356" spans="2:11" ht="12.75">
      <c r="B356" s="55"/>
      <c r="C356" s="55"/>
      <c r="D356" s="55"/>
      <c r="E356" s="55"/>
      <c r="F356" s="55"/>
      <c r="G356" s="55"/>
      <c r="H356" s="55"/>
      <c r="I356" s="55"/>
      <c r="J356" s="55"/>
      <c r="K356" s="55"/>
    </row>
    <row r="357" spans="2:11" ht="12.75">
      <c r="B357" s="55"/>
      <c r="C357" s="55"/>
      <c r="D357" s="55"/>
      <c r="E357" s="55"/>
      <c r="F357" s="55"/>
      <c r="G357" s="55"/>
      <c r="H357" s="55"/>
      <c r="I357" s="55"/>
      <c r="J357" s="55"/>
      <c r="K357" s="55"/>
    </row>
    <row r="358" spans="2:11" ht="12.75">
      <c r="B358" s="55"/>
      <c r="C358" s="55"/>
      <c r="D358" s="55"/>
      <c r="E358" s="55"/>
      <c r="F358" s="55"/>
      <c r="G358" s="55"/>
      <c r="H358" s="55"/>
      <c r="I358" s="55"/>
      <c r="J358" s="55"/>
      <c r="K358" s="55"/>
    </row>
    <row r="359" spans="2:11" ht="12.75">
      <c r="B359" s="55"/>
      <c r="C359" s="55"/>
      <c r="D359" s="55"/>
      <c r="E359" s="55"/>
      <c r="F359" s="55"/>
      <c r="G359" s="55"/>
      <c r="H359" s="55"/>
      <c r="I359" s="55"/>
      <c r="J359" s="55"/>
      <c r="K359" s="55"/>
    </row>
    <row r="360" spans="2:11" ht="12.75">
      <c r="B360" s="55"/>
      <c r="C360" s="55"/>
      <c r="D360" s="55"/>
      <c r="E360" s="55"/>
      <c r="F360" s="55"/>
      <c r="G360" s="55"/>
      <c r="H360" s="55"/>
      <c r="I360" s="55"/>
      <c r="J360" s="55"/>
      <c r="K360" s="55"/>
    </row>
    <row r="361" spans="2:11" ht="12.75">
      <c r="B361" s="55"/>
      <c r="C361" s="55"/>
      <c r="D361" s="55"/>
      <c r="E361" s="55"/>
      <c r="F361" s="55"/>
      <c r="G361" s="55"/>
      <c r="H361" s="55"/>
      <c r="I361" s="55"/>
      <c r="J361" s="55"/>
      <c r="K361" s="55"/>
    </row>
    <row r="362" spans="2:11" ht="12.75">
      <c r="B362" s="55"/>
      <c r="C362" s="55"/>
      <c r="D362" s="55"/>
      <c r="E362" s="55"/>
      <c r="F362" s="55"/>
      <c r="G362" s="55"/>
      <c r="H362" s="55"/>
      <c r="I362" s="55"/>
      <c r="J362" s="55"/>
      <c r="K362" s="55"/>
    </row>
    <row r="363" spans="2:11" ht="12.75">
      <c r="B363" s="55"/>
      <c r="C363" s="55"/>
      <c r="D363" s="55"/>
      <c r="E363" s="55"/>
      <c r="F363" s="55"/>
      <c r="G363" s="55"/>
      <c r="H363" s="55"/>
      <c r="I363" s="55"/>
      <c r="J363" s="55"/>
      <c r="K363" s="55"/>
    </row>
    <row r="364" spans="2:11" ht="12.75">
      <c r="B364" s="55"/>
      <c r="C364" s="55"/>
      <c r="D364" s="55"/>
      <c r="E364" s="55"/>
      <c r="F364" s="55"/>
      <c r="G364" s="55"/>
      <c r="H364" s="55"/>
      <c r="I364" s="55"/>
      <c r="J364" s="55"/>
      <c r="K364" s="55"/>
    </row>
    <row r="365" spans="2:11" ht="12.75">
      <c r="B365" s="55"/>
      <c r="C365" s="55"/>
      <c r="D365" s="55"/>
      <c r="E365" s="55"/>
      <c r="F365" s="55"/>
      <c r="G365" s="55"/>
      <c r="H365" s="55"/>
      <c r="I365" s="55"/>
      <c r="J365" s="55"/>
      <c r="K365" s="55"/>
    </row>
    <row r="366" spans="2:11" ht="12.75">
      <c r="B366" s="55"/>
      <c r="C366" s="55"/>
      <c r="D366" s="55"/>
      <c r="E366" s="55"/>
      <c r="F366" s="55"/>
      <c r="G366" s="55"/>
      <c r="H366" s="55"/>
      <c r="I366" s="55"/>
      <c r="J366" s="55"/>
      <c r="K366" s="55"/>
    </row>
    <row r="367" spans="2:11" ht="12.75">
      <c r="B367" s="55"/>
      <c r="C367" s="55"/>
      <c r="D367" s="55"/>
      <c r="E367" s="55"/>
      <c r="F367" s="55"/>
      <c r="G367" s="55"/>
      <c r="H367" s="55"/>
      <c r="I367" s="55"/>
      <c r="J367" s="55"/>
      <c r="K367" s="55"/>
    </row>
    <row r="368" spans="2:11" ht="12.75">
      <c r="B368" s="55"/>
      <c r="C368" s="55"/>
      <c r="D368" s="55"/>
      <c r="E368" s="55"/>
      <c r="F368" s="55"/>
      <c r="G368" s="55"/>
      <c r="H368" s="55"/>
      <c r="I368" s="55"/>
      <c r="J368" s="55"/>
      <c r="K368" s="55"/>
    </row>
    <row r="369" spans="2:11" ht="12.75">
      <c r="B369" s="55"/>
      <c r="C369" s="55"/>
      <c r="D369" s="55"/>
      <c r="E369" s="55"/>
      <c r="F369" s="55"/>
      <c r="G369" s="55"/>
      <c r="H369" s="55"/>
      <c r="I369" s="55"/>
      <c r="J369" s="55"/>
      <c r="K369" s="55"/>
    </row>
    <row r="370" spans="2:11" ht="12.75">
      <c r="B370" s="55"/>
      <c r="C370" s="55"/>
      <c r="D370" s="55"/>
      <c r="E370" s="55"/>
      <c r="F370" s="55"/>
      <c r="G370" s="55"/>
      <c r="H370" s="55"/>
      <c r="I370" s="55"/>
      <c r="J370" s="55"/>
      <c r="K370" s="55"/>
    </row>
    <row r="371" spans="2:11" ht="12.75">
      <c r="B371" s="55"/>
      <c r="C371" s="55"/>
      <c r="D371" s="55"/>
      <c r="E371" s="55"/>
      <c r="F371" s="55"/>
      <c r="G371" s="55"/>
      <c r="H371" s="55"/>
      <c r="I371" s="55"/>
      <c r="J371" s="55"/>
      <c r="K371" s="55"/>
    </row>
    <row r="372" spans="2:11" ht="12.75">
      <c r="B372" s="55"/>
      <c r="C372" s="55"/>
      <c r="D372" s="55"/>
      <c r="E372" s="55"/>
      <c r="F372" s="55"/>
      <c r="G372" s="55"/>
      <c r="H372" s="55"/>
      <c r="I372" s="55"/>
      <c r="J372" s="55"/>
      <c r="K372" s="55"/>
    </row>
    <row r="373" spans="2:11" ht="12.75">
      <c r="B373" s="55"/>
      <c r="C373" s="55"/>
      <c r="D373" s="55"/>
      <c r="E373" s="55"/>
      <c r="F373" s="55"/>
      <c r="G373" s="55"/>
      <c r="H373" s="55"/>
      <c r="I373" s="55"/>
      <c r="J373" s="55"/>
      <c r="K373" s="55"/>
    </row>
    <row r="374" spans="2:11" ht="12.75">
      <c r="B374" s="55"/>
      <c r="C374" s="55"/>
      <c r="D374" s="55"/>
      <c r="E374" s="55"/>
      <c r="F374" s="55"/>
      <c r="G374" s="55"/>
      <c r="H374" s="55"/>
      <c r="I374" s="55"/>
      <c r="J374" s="55"/>
      <c r="K374" s="55"/>
    </row>
    <row r="375" spans="2:11" ht="12.75">
      <c r="B375" s="55"/>
      <c r="C375" s="55"/>
      <c r="D375" s="55"/>
      <c r="E375" s="55"/>
      <c r="F375" s="55"/>
      <c r="G375" s="55"/>
      <c r="H375" s="55"/>
      <c r="I375" s="55"/>
      <c r="J375" s="55"/>
      <c r="K375" s="55"/>
    </row>
    <row r="376" spans="2:11" ht="12.75">
      <c r="B376" s="55"/>
      <c r="C376" s="55"/>
      <c r="D376" s="55"/>
      <c r="E376" s="55"/>
      <c r="F376" s="55"/>
      <c r="G376" s="55"/>
      <c r="H376" s="55"/>
      <c r="I376" s="55"/>
      <c r="J376" s="55"/>
      <c r="K376" s="55"/>
    </row>
    <row r="377" spans="2:11" ht="12.75">
      <c r="B377" s="55"/>
      <c r="C377" s="55"/>
      <c r="D377" s="55"/>
      <c r="E377" s="55"/>
      <c r="F377" s="55"/>
      <c r="G377" s="55"/>
      <c r="H377" s="55"/>
      <c r="I377" s="55"/>
      <c r="J377" s="55"/>
      <c r="K377" s="55"/>
    </row>
    <row r="378" spans="2:11" ht="12.75">
      <c r="B378" s="55"/>
      <c r="C378" s="55"/>
      <c r="D378" s="55"/>
      <c r="E378" s="55"/>
      <c r="F378" s="55"/>
      <c r="G378" s="55"/>
      <c r="H378" s="55"/>
      <c r="I378" s="55"/>
      <c r="J378" s="55"/>
      <c r="K378" s="55"/>
    </row>
    <row r="379" spans="2:11" ht="12.75">
      <c r="B379" s="55"/>
      <c r="C379" s="55"/>
      <c r="D379" s="55"/>
      <c r="E379" s="55"/>
      <c r="F379" s="55"/>
      <c r="G379" s="55"/>
      <c r="H379" s="55"/>
      <c r="I379" s="55"/>
      <c r="J379" s="55"/>
      <c r="K379" s="55"/>
    </row>
    <row r="380" spans="2:11" ht="12.75">
      <c r="B380" s="55"/>
      <c r="C380" s="55"/>
      <c r="D380" s="55"/>
      <c r="E380" s="55"/>
      <c r="F380" s="55"/>
      <c r="G380" s="55"/>
      <c r="H380" s="55"/>
      <c r="I380" s="55"/>
      <c r="J380" s="55"/>
      <c r="K380" s="55"/>
    </row>
    <row r="381" spans="2:11" ht="12.75">
      <c r="B381" s="55"/>
      <c r="C381" s="55"/>
      <c r="D381" s="55"/>
      <c r="E381" s="55"/>
      <c r="F381" s="55"/>
      <c r="G381" s="55"/>
      <c r="H381" s="55"/>
      <c r="I381" s="55"/>
      <c r="J381" s="55"/>
      <c r="K381" s="55"/>
    </row>
    <row r="382" spans="2:11" ht="12.75">
      <c r="B382" s="55"/>
      <c r="C382" s="55"/>
      <c r="D382" s="55"/>
      <c r="E382" s="55"/>
      <c r="F382" s="55"/>
      <c r="G382" s="55"/>
      <c r="H382" s="55"/>
      <c r="I382" s="55"/>
      <c r="J382" s="55"/>
      <c r="K382" s="55"/>
    </row>
    <row r="383" spans="2:11" ht="12.75">
      <c r="B383" s="55"/>
      <c r="C383" s="55"/>
      <c r="D383" s="55"/>
      <c r="E383" s="55"/>
      <c r="F383" s="55"/>
      <c r="G383" s="55"/>
      <c r="H383" s="55"/>
      <c r="I383" s="55"/>
      <c r="J383" s="55"/>
      <c r="K383" s="55"/>
    </row>
    <row r="384" spans="2:11" ht="12.75">
      <c r="B384" s="55"/>
      <c r="C384" s="55"/>
      <c r="D384" s="55"/>
      <c r="E384" s="55"/>
      <c r="F384" s="55"/>
      <c r="G384" s="55"/>
      <c r="H384" s="55"/>
      <c r="I384" s="55"/>
      <c r="J384" s="55"/>
      <c r="K384" s="55"/>
    </row>
    <row r="385" spans="2:11" ht="12.75">
      <c r="B385" s="55"/>
      <c r="C385" s="55"/>
      <c r="D385" s="55"/>
      <c r="E385" s="55"/>
      <c r="F385" s="55"/>
      <c r="G385" s="55"/>
      <c r="H385" s="55"/>
      <c r="I385" s="55"/>
      <c r="J385" s="55"/>
      <c r="K385" s="55"/>
    </row>
    <row r="386" spans="2:11" ht="12.75">
      <c r="B386" s="55"/>
      <c r="C386" s="55"/>
      <c r="D386" s="55"/>
      <c r="E386" s="55"/>
      <c r="F386" s="55"/>
      <c r="G386" s="55"/>
      <c r="H386" s="55"/>
      <c r="I386" s="55"/>
      <c r="J386" s="55"/>
      <c r="K386" s="55"/>
    </row>
    <row r="387" spans="2:11" ht="12.75">
      <c r="B387" s="55"/>
      <c r="C387" s="55"/>
      <c r="D387" s="55"/>
      <c r="E387" s="55"/>
      <c r="F387" s="55"/>
      <c r="G387" s="55"/>
      <c r="H387" s="55"/>
      <c r="I387" s="55"/>
      <c r="J387" s="55"/>
      <c r="K387" s="55"/>
    </row>
    <row r="388" spans="2:11" ht="12.75">
      <c r="B388" s="55"/>
      <c r="C388" s="55"/>
      <c r="D388" s="55"/>
      <c r="E388" s="55"/>
      <c r="F388" s="55"/>
      <c r="G388" s="55"/>
      <c r="H388" s="55"/>
      <c r="I388" s="55"/>
      <c r="J388" s="55"/>
      <c r="K388" s="55"/>
    </row>
    <row r="389" spans="2:11" ht="12.75">
      <c r="B389" s="55"/>
      <c r="C389" s="55"/>
      <c r="D389" s="55"/>
      <c r="E389" s="55"/>
      <c r="F389" s="55"/>
      <c r="G389" s="55"/>
      <c r="H389" s="55"/>
      <c r="I389" s="55"/>
      <c r="J389" s="55"/>
      <c r="K389" s="55"/>
    </row>
    <row r="390" spans="2:11" ht="12.75">
      <c r="B390" s="55"/>
      <c r="C390" s="55"/>
      <c r="D390" s="55"/>
      <c r="E390" s="55"/>
      <c r="F390" s="55"/>
      <c r="G390" s="55"/>
      <c r="H390" s="55"/>
      <c r="I390" s="55"/>
      <c r="J390" s="55"/>
      <c r="K390" s="55"/>
    </row>
    <row r="391" spans="2:11" ht="12.75">
      <c r="B391" s="55"/>
      <c r="C391" s="55"/>
      <c r="D391" s="55"/>
      <c r="E391" s="55"/>
      <c r="F391" s="55"/>
      <c r="G391" s="55"/>
      <c r="H391" s="55"/>
      <c r="I391" s="55"/>
      <c r="J391" s="55"/>
      <c r="K391" s="55"/>
    </row>
    <row r="392" spans="2:11" ht="12.75">
      <c r="B392" s="55"/>
      <c r="C392" s="55"/>
      <c r="D392" s="55"/>
      <c r="E392" s="55"/>
      <c r="F392" s="55"/>
      <c r="G392" s="55"/>
      <c r="H392" s="55"/>
      <c r="I392" s="55"/>
      <c r="J392" s="55"/>
      <c r="K392" s="55"/>
    </row>
    <row r="393" spans="2:11" ht="12.75">
      <c r="B393" s="55"/>
      <c r="C393" s="55"/>
      <c r="D393" s="55"/>
      <c r="E393" s="55"/>
      <c r="F393" s="55"/>
      <c r="G393" s="55"/>
      <c r="H393" s="55"/>
      <c r="I393" s="55"/>
      <c r="J393" s="55"/>
      <c r="K393" s="55"/>
    </row>
    <row r="394" spans="2:11" ht="12.75">
      <c r="B394" s="55"/>
      <c r="C394" s="55"/>
      <c r="D394" s="55"/>
      <c r="E394" s="55"/>
      <c r="F394" s="55"/>
      <c r="G394" s="55"/>
      <c r="H394" s="55"/>
      <c r="I394" s="55"/>
      <c r="J394" s="55"/>
      <c r="K394" s="55"/>
    </row>
    <row r="395" spans="2:11" ht="12.75">
      <c r="B395" s="55"/>
      <c r="C395" s="55"/>
      <c r="D395" s="55"/>
      <c r="E395" s="55"/>
      <c r="F395" s="55"/>
      <c r="G395" s="55"/>
      <c r="H395" s="55"/>
      <c r="I395" s="55"/>
      <c r="J395" s="55"/>
      <c r="K395" s="55"/>
    </row>
    <row r="396" spans="2:11" ht="12.75">
      <c r="B396" s="55"/>
      <c r="C396" s="55"/>
      <c r="D396" s="55"/>
      <c r="E396" s="55"/>
      <c r="F396" s="55"/>
      <c r="G396" s="55"/>
      <c r="H396" s="55"/>
      <c r="I396" s="55"/>
      <c r="J396" s="55"/>
      <c r="K396" s="55"/>
    </row>
    <row r="397" spans="2:11" ht="12.75">
      <c r="B397" s="55"/>
      <c r="C397" s="55"/>
      <c r="D397" s="55"/>
      <c r="E397" s="55"/>
      <c r="F397" s="55"/>
      <c r="G397" s="55"/>
      <c r="H397" s="55"/>
      <c r="I397" s="55"/>
      <c r="J397" s="55"/>
      <c r="K397" s="55"/>
    </row>
    <row r="398" spans="2:11" ht="12.75">
      <c r="B398" s="55"/>
      <c r="C398" s="55"/>
      <c r="D398" s="55"/>
      <c r="E398" s="55"/>
      <c r="F398" s="55"/>
      <c r="G398" s="55"/>
      <c r="H398" s="55"/>
      <c r="I398" s="55"/>
      <c r="J398" s="55"/>
      <c r="K398" s="55"/>
    </row>
    <row r="399" spans="2:11" ht="12.75">
      <c r="B399" s="55"/>
      <c r="C399" s="55"/>
      <c r="D399" s="55"/>
      <c r="E399" s="55"/>
      <c r="F399" s="55"/>
      <c r="G399" s="55"/>
      <c r="H399" s="55"/>
      <c r="I399" s="55"/>
      <c r="J399" s="55"/>
      <c r="K399" s="55"/>
    </row>
    <row r="400" spans="2:11" ht="12.75">
      <c r="B400" s="55"/>
      <c r="C400" s="55"/>
      <c r="D400" s="55"/>
      <c r="E400" s="55"/>
      <c r="F400" s="55"/>
      <c r="G400" s="55"/>
      <c r="H400" s="55"/>
      <c r="I400" s="55"/>
      <c r="J400" s="55"/>
      <c r="K400" s="55"/>
    </row>
    <row r="401" spans="2:11" ht="12.75">
      <c r="B401" s="55"/>
      <c r="C401" s="55"/>
      <c r="D401" s="55"/>
      <c r="E401" s="55"/>
      <c r="F401" s="55"/>
      <c r="G401" s="55"/>
      <c r="H401" s="55"/>
      <c r="I401" s="55"/>
      <c r="J401" s="55"/>
      <c r="K401" s="55"/>
    </row>
    <row r="402" spans="2:11" ht="12.75">
      <c r="B402" s="55"/>
      <c r="C402" s="55"/>
      <c r="D402" s="55"/>
      <c r="E402" s="55"/>
      <c r="F402" s="55"/>
      <c r="G402" s="55"/>
      <c r="H402" s="55"/>
      <c r="I402" s="55"/>
      <c r="J402" s="55"/>
      <c r="K402" s="55"/>
    </row>
    <row r="403" spans="2:11" ht="12.75">
      <c r="B403" s="55"/>
      <c r="C403" s="55"/>
      <c r="D403" s="55"/>
      <c r="E403" s="55"/>
      <c r="F403" s="55"/>
      <c r="G403" s="55"/>
      <c r="H403" s="55"/>
      <c r="I403" s="55"/>
      <c r="J403" s="55"/>
      <c r="K403" s="55"/>
    </row>
    <row r="404" spans="2:11" ht="12.75">
      <c r="B404" s="55"/>
      <c r="C404" s="55"/>
      <c r="D404" s="55"/>
      <c r="E404" s="55"/>
      <c r="F404" s="55"/>
      <c r="G404" s="55"/>
      <c r="H404" s="55"/>
      <c r="I404" s="55"/>
      <c r="J404" s="55"/>
      <c r="K404" s="55"/>
    </row>
    <row r="405" spans="2:11" ht="12.75">
      <c r="B405" s="55"/>
      <c r="C405" s="55"/>
      <c r="D405" s="55"/>
      <c r="E405" s="55"/>
      <c r="F405" s="55"/>
      <c r="G405" s="55"/>
      <c r="H405" s="55"/>
      <c r="I405" s="55"/>
      <c r="J405" s="55"/>
      <c r="K405" s="55"/>
    </row>
    <row r="406" spans="2:11" ht="12.75">
      <c r="B406" s="55"/>
      <c r="C406" s="55"/>
      <c r="D406" s="55"/>
      <c r="E406" s="55"/>
      <c r="F406" s="55"/>
      <c r="G406" s="55"/>
      <c r="H406" s="55"/>
      <c r="I406" s="55"/>
      <c r="J406" s="55"/>
      <c r="K406" s="55"/>
    </row>
    <row r="407" spans="2:11" ht="12.75">
      <c r="B407" s="55"/>
      <c r="C407" s="55"/>
      <c r="D407" s="55"/>
      <c r="E407" s="55"/>
      <c r="F407" s="55"/>
      <c r="G407" s="55"/>
      <c r="H407" s="55"/>
      <c r="I407" s="55"/>
      <c r="J407" s="55"/>
      <c r="K407" s="55"/>
    </row>
    <row r="408" spans="2:11" ht="12.75">
      <c r="B408" s="55"/>
      <c r="C408" s="55"/>
      <c r="D408" s="55"/>
      <c r="E408" s="55"/>
      <c r="F408" s="55"/>
      <c r="G408" s="55"/>
      <c r="H408" s="55"/>
      <c r="I408" s="55"/>
      <c r="J408" s="55"/>
      <c r="K408" s="55"/>
    </row>
    <row r="409" spans="2:11" ht="12.75">
      <c r="B409" s="55"/>
      <c r="C409" s="55"/>
      <c r="D409" s="55"/>
      <c r="E409" s="55"/>
      <c r="F409" s="55"/>
      <c r="G409" s="55"/>
      <c r="H409" s="55"/>
      <c r="I409" s="55"/>
      <c r="J409" s="55"/>
      <c r="K409" s="55"/>
    </row>
    <row r="410" spans="2:11" ht="12.75">
      <c r="B410" s="55"/>
      <c r="C410" s="55"/>
      <c r="D410" s="55"/>
      <c r="E410" s="55"/>
      <c r="F410" s="55"/>
      <c r="G410" s="55"/>
      <c r="H410" s="55"/>
      <c r="I410" s="55"/>
      <c r="J410" s="55"/>
      <c r="K410" s="55"/>
    </row>
    <row r="411" spans="2:11" ht="12.75">
      <c r="B411" s="55"/>
      <c r="C411" s="55"/>
      <c r="D411" s="55"/>
      <c r="E411" s="55"/>
      <c r="F411" s="55"/>
      <c r="G411" s="55"/>
      <c r="H411" s="55"/>
      <c r="I411" s="55"/>
      <c r="J411" s="55"/>
      <c r="K411" s="55"/>
    </row>
    <row r="412" spans="2:11" ht="12.75">
      <c r="B412" s="55"/>
      <c r="C412" s="55"/>
      <c r="D412" s="55"/>
      <c r="E412" s="55"/>
      <c r="F412" s="55"/>
      <c r="G412" s="55"/>
      <c r="H412" s="55"/>
      <c r="I412" s="55"/>
      <c r="J412" s="55"/>
      <c r="K412" s="55"/>
    </row>
    <row r="413" spans="2:11" ht="12.75">
      <c r="B413" s="55"/>
      <c r="C413" s="55"/>
      <c r="D413" s="55"/>
      <c r="E413" s="55"/>
      <c r="F413" s="55"/>
      <c r="G413" s="55"/>
      <c r="H413" s="55"/>
      <c r="I413" s="55"/>
      <c r="J413" s="55"/>
      <c r="K413" s="55"/>
    </row>
    <row r="414" spans="2:11" ht="12.75">
      <c r="B414" s="55"/>
      <c r="C414" s="55"/>
      <c r="D414" s="55"/>
      <c r="E414" s="55"/>
      <c r="F414" s="55"/>
      <c r="G414" s="55"/>
      <c r="H414" s="55"/>
      <c r="I414" s="55"/>
      <c r="J414" s="55"/>
      <c r="K414" s="55"/>
    </row>
    <row r="415" spans="2:11" ht="12.75">
      <c r="B415" s="55"/>
      <c r="C415" s="55"/>
      <c r="D415" s="55"/>
      <c r="E415" s="55"/>
      <c r="F415" s="55"/>
      <c r="G415" s="55"/>
      <c r="H415" s="55"/>
      <c r="I415" s="55"/>
      <c r="J415" s="55"/>
      <c r="K415" s="55"/>
    </row>
    <row r="416" spans="2:11" ht="12.75">
      <c r="B416" s="55"/>
      <c r="C416" s="55"/>
      <c r="D416" s="55"/>
      <c r="E416" s="55"/>
      <c r="F416" s="55"/>
      <c r="G416" s="55"/>
      <c r="H416" s="55"/>
      <c r="I416" s="55"/>
      <c r="J416" s="55"/>
      <c r="K416" s="55"/>
    </row>
    <row r="417" spans="2:11" ht="12.75">
      <c r="B417" s="55"/>
      <c r="C417" s="55"/>
      <c r="D417" s="55"/>
      <c r="E417" s="55"/>
      <c r="F417" s="55"/>
      <c r="G417" s="55"/>
      <c r="H417" s="55"/>
      <c r="I417" s="55"/>
      <c r="J417" s="55"/>
      <c r="K417" s="55"/>
    </row>
    <row r="418" spans="2:11" ht="12.75">
      <c r="B418" s="55"/>
      <c r="C418" s="55"/>
      <c r="D418" s="55"/>
      <c r="E418" s="55"/>
      <c r="F418" s="55"/>
      <c r="G418" s="55"/>
      <c r="H418" s="55"/>
      <c r="I418" s="55"/>
      <c r="J418" s="55"/>
      <c r="K418" s="55"/>
    </row>
    <row r="419" spans="2:11" ht="12.75">
      <c r="B419" s="55"/>
      <c r="C419" s="55"/>
      <c r="D419" s="55"/>
      <c r="E419" s="55"/>
      <c r="F419" s="55"/>
      <c r="G419" s="55"/>
      <c r="H419" s="55"/>
      <c r="I419" s="55"/>
      <c r="J419" s="55"/>
      <c r="K419" s="55"/>
    </row>
    <row r="420" spans="2:11" ht="12.75">
      <c r="B420" s="55"/>
      <c r="C420" s="55"/>
      <c r="D420" s="55"/>
      <c r="E420" s="55"/>
      <c r="F420" s="55"/>
      <c r="G420" s="55"/>
      <c r="H420" s="55"/>
      <c r="I420" s="55"/>
      <c r="J420" s="55"/>
      <c r="K420" s="55"/>
    </row>
    <row r="421" spans="2:11" ht="12.75">
      <c r="B421" s="55"/>
      <c r="C421" s="55"/>
      <c r="D421" s="55"/>
      <c r="E421" s="55"/>
      <c r="F421" s="55"/>
      <c r="G421" s="55"/>
      <c r="H421" s="55"/>
      <c r="I421" s="55"/>
      <c r="J421" s="55"/>
      <c r="K421" s="55"/>
    </row>
    <row r="422" spans="2:11" ht="12.75">
      <c r="B422" s="55"/>
      <c r="C422" s="55"/>
      <c r="D422" s="55"/>
      <c r="E422" s="55"/>
      <c r="F422" s="55"/>
      <c r="G422" s="55"/>
      <c r="H422" s="55"/>
      <c r="I422" s="55"/>
      <c r="J422" s="55"/>
      <c r="K422" s="55"/>
    </row>
    <row r="423" spans="2:11" ht="12.75">
      <c r="B423" s="55"/>
      <c r="C423" s="55"/>
      <c r="D423" s="55"/>
      <c r="E423" s="55"/>
      <c r="F423" s="55"/>
      <c r="G423" s="55"/>
      <c r="H423" s="55"/>
      <c r="I423" s="55"/>
      <c r="J423" s="55"/>
      <c r="K423" s="55"/>
    </row>
    <row r="424" spans="2:11" ht="12.75">
      <c r="B424" s="55"/>
      <c r="C424" s="55"/>
      <c r="D424" s="55"/>
      <c r="E424" s="55"/>
      <c r="F424" s="55"/>
      <c r="G424" s="55"/>
      <c r="H424" s="55"/>
      <c r="I424" s="55"/>
      <c r="J424" s="55"/>
      <c r="K424" s="55"/>
    </row>
    <row r="425" spans="2:11" ht="12.75">
      <c r="B425" s="55"/>
      <c r="C425" s="55"/>
      <c r="D425" s="55"/>
      <c r="E425" s="55"/>
      <c r="F425" s="55"/>
      <c r="G425" s="55"/>
      <c r="H425" s="55"/>
      <c r="I425" s="55"/>
      <c r="J425" s="55"/>
      <c r="K425" s="55"/>
    </row>
    <row r="426" spans="2:11" ht="12.75">
      <c r="B426" s="55"/>
      <c r="C426" s="55"/>
      <c r="D426" s="55"/>
      <c r="E426" s="55"/>
      <c r="F426" s="55"/>
      <c r="G426" s="55"/>
      <c r="H426" s="55"/>
      <c r="I426" s="55"/>
      <c r="J426" s="55"/>
      <c r="K426" s="55"/>
    </row>
    <row r="427" spans="2:11" ht="12.75">
      <c r="B427" s="55"/>
      <c r="C427" s="55"/>
      <c r="D427" s="55"/>
      <c r="E427" s="55"/>
      <c r="F427" s="55"/>
      <c r="G427" s="55"/>
      <c r="H427" s="55"/>
      <c r="I427" s="55"/>
      <c r="J427" s="55"/>
      <c r="K427" s="55"/>
    </row>
    <row r="428" spans="2:11" ht="12.75">
      <c r="B428" s="55"/>
      <c r="C428" s="55"/>
      <c r="D428" s="55"/>
      <c r="E428" s="55"/>
      <c r="F428" s="55"/>
      <c r="G428" s="55"/>
      <c r="H428" s="55"/>
      <c r="I428" s="55"/>
      <c r="J428" s="55"/>
      <c r="K428" s="55"/>
    </row>
    <row r="429" spans="2:11" ht="12.75">
      <c r="B429" s="55"/>
      <c r="C429" s="55"/>
      <c r="D429" s="55"/>
      <c r="E429" s="55"/>
      <c r="F429" s="55"/>
      <c r="G429" s="55"/>
      <c r="H429" s="55"/>
      <c r="I429" s="55"/>
      <c r="J429" s="55"/>
      <c r="K429" s="55"/>
    </row>
    <row r="430" spans="2:11" ht="12.75">
      <c r="B430" s="55"/>
      <c r="C430" s="55"/>
      <c r="D430" s="55"/>
      <c r="E430" s="55"/>
      <c r="F430" s="55"/>
      <c r="G430" s="55"/>
      <c r="H430" s="55"/>
      <c r="I430" s="55"/>
      <c r="J430" s="55"/>
      <c r="K430" s="55"/>
    </row>
    <row r="431" spans="2:11" ht="12.75">
      <c r="B431" s="55"/>
      <c r="C431" s="55"/>
      <c r="D431" s="55"/>
      <c r="E431" s="55"/>
      <c r="F431" s="55"/>
      <c r="G431" s="55"/>
      <c r="H431" s="55"/>
      <c r="I431" s="55"/>
      <c r="J431" s="55"/>
      <c r="K431" s="55"/>
    </row>
    <row r="432" spans="2:11" ht="12.75">
      <c r="B432" s="55"/>
      <c r="C432" s="55"/>
      <c r="D432" s="55"/>
      <c r="E432" s="55"/>
      <c r="F432" s="55"/>
      <c r="G432" s="55"/>
      <c r="H432" s="55"/>
      <c r="I432" s="55"/>
      <c r="J432" s="55"/>
      <c r="K432" s="55"/>
    </row>
    <row r="433" spans="2:11" ht="12.75">
      <c r="B433" s="55"/>
      <c r="C433" s="55"/>
      <c r="D433" s="55"/>
      <c r="E433" s="55"/>
      <c r="F433" s="55"/>
      <c r="G433" s="55"/>
      <c r="H433" s="55"/>
      <c r="I433" s="55"/>
      <c r="J433" s="55"/>
      <c r="K433" s="55"/>
    </row>
    <row r="434" spans="2:11" ht="12.75">
      <c r="B434" s="55"/>
      <c r="C434" s="55"/>
      <c r="D434" s="55"/>
      <c r="E434" s="55"/>
      <c r="F434" s="55"/>
      <c r="G434" s="55"/>
      <c r="H434" s="55"/>
      <c r="I434" s="55"/>
      <c r="J434" s="55"/>
      <c r="K434" s="55"/>
    </row>
    <row r="435" spans="2:11" ht="12.75">
      <c r="B435" s="55"/>
      <c r="C435" s="55"/>
      <c r="D435" s="55"/>
      <c r="E435" s="55"/>
      <c r="F435" s="55"/>
      <c r="G435" s="55"/>
      <c r="H435" s="55"/>
      <c r="I435" s="55"/>
      <c r="J435" s="55"/>
      <c r="K435" s="55"/>
    </row>
    <row r="436" spans="2:11" ht="12.75">
      <c r="B436" s="55"/>
      <c r="C436" s="55"/>
      <c r="D436" s="55"/>
      <c r="E436" s="55"/>
      <c r="F436" s="55"/>
      <c r="G436" s="55"/>
      <c r="H436" s="55"/>
      <c r="I436" s="55"/>
      <c r="J436" s="55"/>
      <c r="K436" s="55"/>
    </row>
    <row r="437" spans="2:11" ht="12.75">
      <c r="B437" s="55"/>
      <c r="C437" s="55"/>
      <c r="D437" s="55"/>
      <c r="E437" s="55"/>
      <c r="F437" s="55"/>
      <c r="G437" s="55"/>
      <c r="H437" s="55"/>
      <c r="I437" s="55"/>
      <c r="J437" s="55"/>
      <c r="K437" s="55"/>
    </row>
    <row r="438" spans="2:11" ht="12.75">
      <c r="B438" s="55"/>
      <c r="C438" s="55"/>
      <c r="D438" s="55"/>
      <c r="E438" s="55"/>
      <c r="F438" s="55"/>
      <c r="G438" s="55"/>
      <c r="H438" s="55"/>
      <c r="I438" s="55"/>
      <c r="J438" s="55"/>
      <c r="K438" s="55"/>
    </row>
    <row r="439" spans="2:11" ht="12.75">
      <c r="B439" s="55"/>
      <c r="C439" s="55"/>
      <c r="D439" s="55"/>
      <c r="E439" s="55"/>
      <c r="F439" s="55"/>
      <c r="G439" s="55"/>
      <c r="H439" s="55"/>
      <c r="I439" s="55"/>
      <c r="J439" s="55"/>
      <c r="K439" s="55"/>
    </row>
    <row r="440" spans="2:11" ht="12.75">
      <c r="B440" s="55"/>
      <c r="C440" s="55"/>
      <c r="D440" s="55"/>
      <c r="E440" s="55"/>
      <c r="F440" s="55"/>
      <c r="G440" s="55"/>
      <c r="H440" s="55"/>
      <c r="I440" s="55"/>
      <c r="J440" s="55"/>
      <c r="K440" s="55"/>
    </row>
    <row r="441" spans="2:11" ht="12.75">
      <c r="B441" s="55"/>
      <c r="C441" s="55"/>
      <c r="D441" s="55"/>
      <c r="E441" s="55"/>
      <c r="F441" s="55"/>
      <c r="G441" s="55"/>
      <c r="H441" s="55"/>
      <c r="I441" s="55"/>
      <c r="J441" s="55"/>
      <c r="K441" s="55"/>
    </row>
    <row r="442" spans="2:11" ht="12.75">
      <c r="B442" s="55"/>
      <c r="C442" s="55"/>
      <c r="D442" s="55"/>
      <c r="E442" s="55"/>
      <c r="F442" s="55"/>
      <c r="G442" s="55"/>
      <c r="H442" s="55"/>
      <c r="I442" s="55"/>
      <c r="J442" s="55"/>
      <c r="K442" s="55"/>
    </row>
    <row r="443" spans="2:11" ht="12.75">
      <c r="B443" s="55"/>
      <c r="C443" s="55"/>
      <c r="D443" s="55"/>
      <c r="E443" s="55"/>
      <c r="F443" s="55"/>
      <c r="G443" s="55"/>
      <c r="H443" s="55"/>
      <c r="I443" s="55"/>
      <c r="J443" s="55"/>
      <c r="K443" s="55"/>
    </row>
    <row r="444" spans="2:11" ht="12.75">
      <c r="B444" s="55"/>
      <c r="C444" s="55"/>
      <c r="D444" s="55"/>
      <c r="E444" s="55"/>
      <c r="F444" s="55"/>
      <c r="G444" s="55"/>
      <c r="H444" s="55"/>
      <c r="I444" s="55"/>
      <c r="J444" s="55"/>
      <c r="K444" s="55"/>
    </row>
    <row r="445" spans="2:11" ht="12.75">
      <c r="B445" s="55"/>
      <c r="C445" s="55"/>
      <c r="D445" s="55"/>
      <c r="E445" s="55"/>
      <c r="F445" s="55"/>
      <c r="G445" s="55"/>
      <c r="H445" s="55"/>
      <c r="I445" s="55"/>
      <c r="J445" s="55"/>
      <c r="K445" s="55"/>
    </row>
    <row r="446" spans="2:11" ht="12.75">
      <c r="B446" s="55"/>
      <c r="C446" s="55"/>
      <c r="D446" s="55"/>
      <c r="E446" s="55"/>
      <c r="F446" s="55"/>
      <c r="G446" s="55"/>
      <c r="H446" s="55"/>
      <c r="I446" s="55"/>
      <c r="J446" s="55"/>
      <c r="K446" s="55"/>
    </row>
    <row r="447" spans="2:11" ht="12.75">
      <c r="B447" s="55"/>
      <c r="C447" s="55"/>
      <c r="D447" s="55"/>
      <c r="E447" s="55"/>
      <c r="F447" s="55"/>
      <c r="G447" s="55"/>
      <c r="H447" s="55"/>
      <c r="I447" s="55"/>
      <c r="J447" s="55"/>
      <c r="K447" s="55"/>
    </row>
    <row r="448" spans="2:11" ht="12.75">
      <c r="B448" s="55"/>
      <c r="C448" s="55"/>
      <c r="D448" s="55"/>
      <c r="E448" s="55"/>
      <c r="F448" s="55"/>
      <c r="G448" s="55"/>
      <c r="H448" s="55"/>
      <c r="I448" s="55"/>
      <c r="J448" s="55"/>
      <c r="K448" s="55"/>
    </row>
    <row r="449" spans="2:11" ht="12.75">
      <c r="B449" s="55"/>
      <c r="C449" s="55"/>
      <c r="D449" s="55"/>
      <c r="E449" s="55"/>
      <c r="F449" s="55"/>
      <c r="G449" s="55"/>
      <c r="H449" s="55"/>
      <c r="I449" s="55"/>
      <c r="J449" s="55"/>
      <c r="K449" s="55"/>
    </row>
    <row r="450" spans="2:11" ht="12.75">
      <c r="B450" s="55"/>
      <c r="C450" s="55"/>
      <c r="D450" s="55"/>
      <c r="E450" s="55"/>
      <c r="F450" s="55"/>
      <c r="G450" s="55"/>
      <c r="H450" s="55"/>
      <c r="I450" s="55"/>
      <c r="J450" s="55"/>
      <c r="K450" s="55"/>
    </row>
    <row r="451" spans="2:11" ht="12.75">
      <c r="B451" s="55"/>
      <c r="C451" s="55"/>
      <c r="D451" s="55"/>
      <c r="E451" s="55"/>
      <c r="F451" s="55"/>
      <c r="G451" s="55"/>
      <c r="H451" s="55"/>
      <c r="I451" s="55"/>
      <c r="J451" s="55"/>
      <c r="K451" s="55"/>
    </row>
    <row r="452" spans="2:11" ht="12.75">
      <c r="B452" s="55"/>
      <c r="C452" s="55"/>
      <c r="D452" s="55"/>
      <c r="E452" s="55"/>
      <c r="F452" s="55"/>
      <c r="G452" s="55"/>
      <c r="H452" s="55"/>
      <c r="I452" s="55"/>
      <c r="J452" s="55"/>
      <c r="K452" s="55"/>
    </row>
    <row r="453" spans="2:11" ht="12.75">
      <c r="B453" s="55"/>
      <c r="C453" s="55"/>
      <c r="D453" s="55"/>
      <c r="E453" s="55"/>
      <c r="F453" s="55"/>
      <c r="G453" s="55"/>
      <c r="H453" s="55"/>
      <c r="I453" s="55"/>
      <c r="J453" s="55"/>
      <c r="K453" s="55"/>
    </row>
    <row r="454" spans="2:11" ht="12.75">
      <c r="B454" s="55"/>
      <c r="C454" s="55"/>
      <c r="D454" s="55"/>
      <c r="E454" s="55"/>
      <c r="F454" s="55"/>
      <c r="G454" s="55"/>
      <c r="H454" s="55"/>
      <c r="I454" s="55"/>
      <c r="J454" s="55"/>
      <c r="K454" s="55"/>
    </row>
    <row r="455" spans="2:11" ht="12.75">
      <c r="B455" s="55"/>
      <c r="C455" s="55"/>
      <c r="D455" s="55"/>
      <c r="E455" s="55"/>
      <c r="F455" s="55"/>
      <c r="G455" s="55"/>
      <c r="H455" s="55"/>
      <c r="I455" s="55"/>
      <c r="J455" s="55"/>
      <c r="K455" s="55"/>
    </row>
    <row r="456" spans="2:11" ht="12.75">
      <c r="B456" s="55"/>
      <c r="C456" s="55"/>
      <c r="D456" s="55"/>
      <c r="E456" s="55"/>
      <c r="F456" s="55"/>
      <c r="G456" s="55"/>
      <c r="H456" s="55"/>
      <c r="I456" s="55"/>
      <c r="J456" s="55"/>
      <c r="K456" s="55"/>
    </row>
    <row r="457" spans="2:11" ht="12.75">
      <c r="B457" s="55"/>
      <c r="C457" s="55"/>
      <c r="D457" s="55"/>
      <c r="E457" s="55"/>
      <c r="F457" s="55"/>
      <c r="G457" s="55"/>
      <c r="H457" s="55"/>
      <c r="I457" s="55"/>
      <c r="J457" s="55"/>
      <c r="K457" s="55"/>
    </row>
    <row r="458" spans="2:11" ht="12.75">
      <c r="B458" s="55"/>
      <c r="C458" s="55"/>
      <c r="D458" s="55"/>
      <c r="E458" s="55"/>
      <c r="F458" s="55"/>
      <c r="G458" s="55"/>
      <c r="H458" s="55"/>
      <c r="I458" s="55"/>
      <c r="J458" s="55"/>
      <c r="K458" s="55"/>
    </row>
    <row r="459" spans="2:11" ht="12.75">
      <c r="B459" s="55"/>
      <c r="C459" s="55"/>
      <c r="D459" s="55"/>
      <c r="E459" s="55"/>
      <c r="F459" s="55"/>
      <c r="G459" s="55"/>
      <c r="H459" s="55"/>
      <c r="I459" s="55"/>
      <c r="J459" s="55"/>
      <c r="K459" s="55"/>
    </row>
    <row r="460" spans="2:11" ht="12.75">
      <c r="B460" s="55"/>
      <c r="C460" s="55"/>
      <c r="D460" s="55"/>
      <c r="E460" s="55"/>
      <c r="F460" s="55"/>
      <c r="G460" s="55"/>
      <c r="H460" s="55"/>
      <c r="I460" s="55"/>
      <c r="J460" s="55"/>
      <c r="K460" s="55"/>
    </row>
    <row r="461" spans="2:11" ht="12.75">
      <c r="B461" s="55"/>
      <c r="C461" s="55"/>
      <c r="D461" s="55"/>
      <c r="E461" s="55"/>
      <c r="F461" s="55"/>
      <c r="G461" s="55"/>
      <c r="H461" s="55"/>
      <c r="I461" s="55"/>
      <c r="J461" s="55"/>
      <c r="K461" s="55"/>
    </row>
    <row r="462" spans="2:11" ht="12.75">
      <c r="B462" s="55"/>
      <c r="C462" s="55"/>
      <c r="D462" s="55"/>
      <c r="E462" s="55"/>
      <c r="F462" s="55"/>
      <c r="G462" s="55"/>
      <c r="H462" s="55"/>
      <c r="I462" s="55"/>
      <c r="J462" s="55"/>
      <c r="K462" s="55"/>
    </row>
    <row r="463" spans="2:11" ht="12.75">
      <c r="B463" s="55"/>
      <c r="C463" s="55"/>
      <c r="D463" s="55"/>
      <c r="E463" s="55"/>
      <c r="F463" s="55"/>
      <c r="G463" s="55"/>
      <c r="H463" s="55"/>
      <c r="I463" s="55"/>
      <c r="J463" s="55"/>
      <c r="K463" s="55"/>
    </row>
    <row r="464" spans="2:11" ht="12.75">
      <c r="B464" s="55"/>
      <c r="C464" s="55"/>
      <c r="D464" s="55"/>
      <c r="E464" s="55"/>
      <c r="F464" s="55"/>
      <c r="G464" s="55"/>
      <c r="H464" s="55"/>
      <c r="I464" s="55"/>
      <c r="J464" s="55"/>
      <c r="K464" s="55"/>
    </row>
    <row r="465" spans="2:11" ht="12.75">
      <c r="B465" s="55"/>
      <c r="C465" s="55"/>
      <c r="D465" s="55"/>
      <c r="E465" s="55"/>
      <c r="F465" s="55"/>
      <c r="G465" s="55"/>
      <c r="H465" s="55"/>
      <c r="I465" s="55"/>
      <c r="J465" s="55"/>
      <c r="K465" s="55"/>
    </row>
    <row r="466" spans="2:11" ht="12.75">
      <c r="B466" s="55"/>
      <c r="C466" s="55"/>
      <c r="D466" s="55"/>
      <c r="E466" s="55"/>
      <c r="F466" s="55"/>
      <c r="G466" s="55"/>
      <c r="H466" s="55"/>
      <c r="I466" s="55"/>
      <c r="J466" s="55"/>
      <c r="K466" s="55"/>
    </row>
    <row r="467" spans="2:11" ht="12.75">
      <c r="B467" s="55"/>
      <c r="C467" s="55"/>
      <c r="D467" s="55"/>
      <c r="E467" s="55"/>
      <c r="F467" s="55"/>
      <c r="G467" s="55"/>
      <c r="H467" s="55"/>
      <c r="I467" s="55"/>
      <c r="J467" s="55"/>
      <c r="K467" s="55"/>
    </row>
    <row r="468" spans="2:11" ht="12.75">
      <c r="B468" s="55"/>
      <c r="C468" s="55"/>
      <c r="D468" s="55"/>
      <c r="E468" s="55"/>
      <c r="F468" s="55"/>
      <c r="G468" s="55"/>
      <c r="H468" s="55"/>
      <c r="I468" s="55"/>
      <c r="J468" s="55"/>
      <c r="K468" s="55"/>
    </row>
    <row r="469" spans="2:11" ht="12.75">
      <c r="B469" s="55"/>
      <c r="C469" s="55"/>
      <c r="D469" s="55"/>
      <c r="E469" s="55"/>
      <c r="F469" s="55"/>
      <c r="G469" s="55"/>
      <c r="H469" s="55"/>
      <c r="I469" s="55"/>
      <c r="J469" s="55"/>
      <c r="K469" s="55"/>
    </row>
    <row r="470" spans="2:11" ht="12.75">
      <c r="B470" s="55"/>
      <c r="C470" s="55"/>
      <c r="D470" s="55"/>
      <c r="E470" s="55"/>
      <c r="F470" s="55"/>
      <c r="G470" s="55"/>
      <c r="H470" s="55"/>
      <c r="I470" s="55"/>
      <c r="J470" s="55"/>
      <c r="K470" s="55"/>
    </row>
    <row r="471" spans="2:11" ht="12.75">
      <c r="B471" s="55"/>
      <c r="C471" s="55"/>
      <c r="D471" s="55"/>
      <c r="E471" s="55"/>
      <c r="F471" s="55"/>
      <c r="G471" s="55"/>
      <c r="H471" s="55"/>
      <c r="I471" s="55"/>
      <c r="J471" s="55"/>
      <c r="K471" s="55"/>
    </row>
    <row r="472" spans="2:11" ht="12.75">
      <c r="B472" s="55"/>
      <c r="C472" s="55"/>
      <c r="D472" s="55"/>
      <c r="E472" s="55"/>
      <c r="F472" s="55"/>
      <c r="G472" s="55"/>
      <c r="H472" s="55"/>
      <c r="I472" s="55"/>
      <c r="J472" s="55"/>
      <c r="K472" s="55"/>
    </row>
    <row r="473" spans="2:11" ht="12.75">
      <c r="B473" s="55"/>
      <c r="C473" s="55"/>
      <c r="D473" s="55"/>
      <c r="E473" s="55"/>
      <c r="F473" s="55"/>
      <c r="G473" s="55"/>
      <c r="H473" s="55"/>
      <c r="I473" s="55"/>
      <c r="J473" s="55"/>
      <c r="K473" s="55"/>
    </row>
    <row r="474" spans="2:11" ht="12.75">
      <c r="B474" s="55"/>
      <c r="C474" s="55"/>
      <c r="D474" s="55"/>
      <c r="E474" s="55"/>
      <c r="F474" s="55"/>
      <c r="G474" s="55"/>
      <c r="H474" s="55"/>
      <c r="I474" s="55"/>
      <c r="J474" s="55"/>
      <c r="K474" s="55"/>
    </row>
    <row r="475" spans="2:11" ht="12.75">
      <c r="B475" s="55"/>
      <c r="C475" s="55"/>
      <c r="D475" s="55"/>
      <c r="E475" s="55"/>
      <c r="F475" s="55"/>
      <c r="G475" s="55"/>
      <c r="H475" s="55"/>
      <c r="I475" s="55"/>
      <c r="J475" s="55"/>
      <c r="K475" s="55"/>
    </row>
    <row r="476" spans="2:11" ht="12.75">
      <c r="B476" s="55"/>
      <c r="C476" s="55"/>
      <c r="D476" s="55"/>
      <c r="E476" s="55"/>
      <c r="F476" s="55"/>
      <c r="G476" s="55"/>
      <c r="H476" s="55"/>
      <c r="I476" s="55"/>
      <c r="J476" s="55"/>
      <c r="K476" s="55"/>
    </row>
    <row r="477" spans="2:11" ht="12.75">
      <c r="B477" s="55"/>
      <c r="C477" s="55"/>
      <c r="D477" s="55"/>
      <c r="E477" s="55"/>
      <c r="F477" s="55"/>
      <c r="G477" s="55"/>
      <c r="H477" s="55"/>
      <c r="I477" s="55"/>
      <c r="J477" s="55"/>
      <c r="K477" s="55"/>
    </row>
    <row r="478" spans="2:11" ht="12.75">
      <c r="B478" s="55"/>
      <c r="C478" s="55"/>
      <c r="D478" s="55"/>
      <c r="E478" s="55"/>
      <c r="F478" s="55"/>
      <c r="G478" s="55"/>
      <c r="H478" s="55"/>
      <c r="I478" s="55"/>
      <c r="J478" s="55"/>
      <c r="K478" s="55"/>
    </row>
    <row r="479" spans="2:11" ht="12.75">
      <c r="B479" s="55"/>
      <c r="C479" s="55"/>
      <c r="D479" s="55"/>
      <c r="E479" s="55"/>
      <c r="F479" s="55"/>
      <c r="G479" s="55"/>
      <c r="H479" s="55"/>
      <c r="I479" s="55"/>
      <c r="J479" s="55"/>
      <c r="K479" s="55"/>
    </row>
    <row r="480" spans="2:11" ht="12.75">
      <c r="B480" s="55"/>
      <c r="C480" s="55"/>
      <c r="D480" s="55"/>
      <c r="E480" s="55"/>
      <c r="F480" s="55"/>
      <c r="G480" s="55"/>
      <c r="H480" s="55"/>
      <c r="I480" s="55"/>
      <c r="J480" s="55"/>
      <c r="K480" s="55"/>
    </row>
    <row r="481" spans="2:11" ht="12.75">
      <c r="B481" s="55"/>
      <c r="C481" s="55"/>
      <c r="D481" s="55"/>
      <c r="E481" s="55"/>
      <c r="F481" s="55"/>
      <c r="G481" s="55"/>
      <c r="H481" s="55"/>
      <c r="I481" s="55"/>
      <c r="J481" s="55"/>
      <c r="K481" s="55"/>
    </row>
    <row r="482" spans="2:11" ht="12.75">
      <c r="B482" s="55"/>
      <c r="C482" s="55"/>
      <c r="D482" s="55"/>
      <c r="E482" s="55"/>
      <c r="F482" s="55"/>
      <c r="G482" s="55"/>
      <c r="H482" s="55"/>
      <c r="I482" s="55"/>
      <c r="J482" s="55"/>
      <c r="K482" s="55"/>
    </row>
    <row r="483" spans="2:11" ht="12.75">
      <c r="B483" s="55"/>
      <c r="C483" s="55"/>
      <c r="D483" s="55"/>
      <c r="E483" s="55"/>
      <c r="F483" s="55"/>
      <c r="G483" s="55"/>
      <c r="H483" s="55"/>
      <c r="I483" s="55"/>
      <c r="J483" s="55"/>
      <c r="K483" s="55"/>
    </row>
    <row r="484" spans="2:11" ht="12.75">
      <c r="B484" s="55"/>
      <c r="C484" s="55"/>
      <c r="D484" s="55"/>
      <c r="E484" s="55"/>
      <c r="F484" s="55"/>
      <c r="G484" s="55"/>
      <c r="H484" s="55"/>
      <c r="I484" s="55"/>
      <c r="J484" s="55"/>
      <c r="K484" s="55"/>
    </row>
    <row r="485" spans="2:11" ht="12.75">
      <c r="B485" s="55"/>
      <c r="C485" s="55"/>
      <c r="D485" s="55"/>
      <c r="E485" s="55"/>
      <c r="F485" s="55"/>
      <c r="G485" s="55"/>
      <c r="H485" s="55"/>
      <c r="I485" s="55"/>
      <c r="J485" s="55"/>
      <c r="K485" s="55"/>
    </row>
    <row r="486" spans="2:11" ht="12.75">
      <c r="B486" s="55"/>
      <c r="C486" s="55"/>
      <c r="D486" s="55"/>
      <c r="E486" s="55"/>
      <c r="F486" s="55"/>
      <c r="G486" s="55"/>
      <c r="H486" s="55"/>
      <c r="I486" s="55"/>
      <c r="J486" s="55"/>
      <c r="K486" s="55"/>
    </row>
    <row r="487" spans="2:11" ht="12.75">
      <c r="B487" s="55"/>
      <c r="C487" s="55"/>
      <c r="D487" s="55"/>
      <c r="E487" s="55"/>
      <c r="F487" s="55"/>
      <c r="G487" s="55"/>
      <c r="H487" s="55"/>
      <c r="I487" s="55"/>
      <c r="J487" s="55"/>
      <c r="K487" s="55"/>
    </row>
    <row r="488" spans="2:11" ht="12.75">
      <c r="B488" s="55"/>
      <c r="C488" s="55"/>
      <c r="D488" s="55"/>
      <c r="E488" s="55"/>
      <c r="F488" s="55"/>
      <c r="G488" s="55"/>
      <c r="H488" s="55"/>
      <c r="I488" s="55"/>
      <c r="J488" s="55"/>
      <c r="K488" s="55"/>
    </row>
    <row r="489" spans="2:11" ht="12.75">
      <c r="B489" s="55"/>
      <c r="C489" s="55"/>
      <c r="D489" s="55"/>
      <c r="E489" s="55"/>
      <c r="F489" s="55"/>
      <c r="G489" s="55"/>
      <c r="H489" s="55"/>
      <c r="I489" s="55"/>
      <c r="J489" s="55"/>
      <c r="K489" s="55"/>
    </row>
    <row r="490" spans="2:11" ht="12.75">
      <c r="B490" s="55"/>
      <c r="C490" s="55"/>
      <c r="D490" s="55"/>
      <c r="E490" s="55"/>
      <c r="F490" s="55"/>
      <c r="G490" s="55"/>
      <c r="H490" s="55"/>
      <c r="I490" s="55"/>
      <c r="J490" s="55"/>
      <c r="K490" s="55"/>
    </row>
    <row r="491" spans="2:11" ht="12.75">
      <c r="B491" s="55"/>
      <c r="C491" s="55"/>
      <c r="D491" s="55"/>
      <c r="E491" s="55"/>
      <c r="F491" s="55"/>
      <c r="G491" s="55"/>
      <c r="H491" s="55"/>
      <c r="I491" s="55"/>
      <c r="J491" s="55"/>
      <c r="K491" s="55"/>
    </row>
    <row r="492" spans="2:11" ht="12.75">
      <c r="B492" s="55"/>
      <c r="C492" s="55"/>
      <c r="D492" s="55"/>
      <c r="E492" s="55"/>
      <c r="F492" s="55"/>
      <c r="G492" s="55"/>
      <c r="H492" s="55"/>
      <c r="I492" s="55"/>
      <c r="J492" s="55"/>
      <c r="K492" s="55"/>
    </row>
    <row r="493" spans="2:11" ht="12.75">
      <c r="B493" s="55"/>
      <c r="C493" s="55"/>
      <c r="D493" s="55"/>
      <c r="E493" s="55"/>
      <c r="F493" s="55"/>
      <c r="G493" s="55"/>
      <c r="H493" s="55"/>
      <c r="I493" s="55"/>
      <c r="J493" s="55"/>
      <c r="K493" s="55"/>
    </row>
    <row r="494" spans="2:11" ht="12.75">
      <c r="B494" s="55"/>
      <c r="C494" s="55"/>
      <c r="D494" s="55"/>
      <c r="E494" s="55"/>
      <c r="F494" s="55"/>
      <c r="G494" s="55"/>
      <c r="H494" s="55"/>
      <c r="I494" s="55"/>
      <c r="J494" s="55"/>
      <c r="K494" s="55"/>
    </row>
    <row r="495" spans="2:11" ht="12.75">
      <c r="B495" s="55"/>
      <c r="C495" s="55"/>
      <c r="D495" s="55"/>
      <c r="E495" s="55"/>
      <c r="F495" s="55"/>
      <c r="G495" s="55"/>
      <c r="H495" s="55"/>
      <c r="I495" s="55"/>
      <c r="J495" s="55"/>
      <c r="K495" s="55"/>
    </row>
    <row r="496" spans="2:11" ht="12.75">
      <c r="B496" s="55"/>
      <c r="C496" s="55"/>
      <c r="D496" s="55"/>
      <c r="E496" s="55"/>
      <c r="F496" s="55"/>
      <c r="G496" s="55"/>
      <c r="H496" s="55"/>
      <c r="I496" s="55"/>
      <c r="J496" s="55"/>
      <c r="K496" s="55"/>
    </row>
    <row r="497" spans="2:11" ht="12.75">
      <c r="B497" s="55"/>
      <c r="C497" s="55"/>
      <c r="D497" s="55"/>
      <c r="E497" s="55"/>
      <c r="F497" s="55"/>
      <c r="G497" s="55"/>
      <c r="H497" s="55"/>
      <c r="I497" s="55"/>
      <c r="J497" s="55"/>
      <c r="K497" s="55"/>
    </row>
    <row r="498" spans="2:11" ht="12.75">
      <c r="B498" s="55"/>
      <c r="C498" s="55"/>
      <c r="D498" s="55"/>
      <c r="E498" s="55"/>
      <c r="F498" s="55"/>
      <c r="G498" s="55"/>
      <c r="H498" s="55"/>
      <c r="I498" s="55"/>
      <c r="J498" s="55"/>
      <c r="K498" s="55"/>
    </row>
    <row r="499" spans="2:11" ht="12.75">
      <c r="B499" s="55"/>
      <c r="C499" s="55"/>
      <c r="D499" s="55"/>
      <c r="E499" s="55"/>
      <c r="F499" s="55"/>
      <c r="G499" s="55"/>
      <c r="H499" s="55"/>
      <c r="I499" s="55"/>
      <c r="J499" s="55"/>
      <c r="K499" s="55"/>
    </row>
    <row r="500" spans="2:11" ht="12.75">
      <c r="B500" s="55"/>
      <c r="C500" s="55"/>
      <c r="D500" s="55"/>
      <c r="E500" s="55"/>
      <c r="F500" s="55"/>
      <c r="G500" s="55"/>
      <c r="H500" s="55"/>
      <c r="I500" s="55"/>
      <c r="J500" s="55"/>
      <c r="K500" s="55"/>
    </row>
    <row r="501" spans="2:11" ht="12.75">
      <c r="B501" s="55"/>
      <c r="C501" s="55"/>
      <c r="D501" s="55"/>
      <c r="E501" s="55"/>
      <c r="F501" s="55"/>
      <c r="G501" s="55"/>
      <c r="H501" s="55"/>
      <c r="I501" s="55"/>
      <c r="J501" s="55"/>
      <c r="K501" s="55"/>
    </row>
    <row r="502" spans="2:11" ht="12.75">
      <c r="B502" s="55"/>
      <c r="C502" s="55"/>
      <c r="D502" s="55"/>
      <c r="E502" s="55"/>
      <c r="F502" s="55"/>
      <c r="G502" s="55"/>
      <c r="H502" s="55"/>
      <c r="I502" s="55"/>
      <c r="J502" s="55"/>
      <c r="K502" s="55"/>
    </row>
    <row r="503" spans="2:11" ht="12.75">
      <c r="B503" s="55"/>
      <c r="C503" s="55"/>
      <c r="D503" s="55"/>
      <c r="E503" s="55"/>
      <c r="F503" s="55"/>
      <c r="G503" s="55"/>
      <c r="H503" s="55"/>
      <c r="I503" s="55"/>
      <c r="J503" s="55"/>
      <c r="K503" s="55"/>
    </row>
    <row r="504" spans="2:11" ht="12.75">
      <c r="B504" s="55"/>
      <c r="C504" s="55"/>
      <c r="D504" s="55"/>
      <c r="E504" s="55"/>
      <c r="F504" s="55"/>
      <c r="G504" s="55"/>
      <c r="H504" s="55"/>
      <c r="I504" s="55"/>
      <c r="J504" s="55"/>
      <c r="K504" s="55"/>
    </row>
    <row r="505" spans="2:11" ht="12.75">
      <c r="B505" s="55"/>
      <c r="C505" s="55"/>
      <c r="D505" s="55"/>
      <c r="E505" s="55"/>
      <c r="F505" s="55"/>
      <c r="G505" s="55"/>
      <c r="H505" s="55"/>
      <c r="I505" s="55"/>
      <c r="J505" s="55"/>
      <c r="K505" s="55"/>
    </row>
    <row r="506" spans="2:11" ht="12.75">
      <c r="B506" s="55"/>
      <c r="C506" s="55"/>
      <c r="D506" s="55"/>
      <c r="E506" s="55"/>
      <c r="F506" s="55"/>
      <c r="G506" s="55"/>
      <c r="H506" s="55"/>
      <c r="I506" s="55"/>
      <c r="J506" s="55"/>
      <c r="K506" s="55"/>
    </row>
    <row r="507" spans="2:11" ht="12.75">
      <c r="B507" s="55"/>
      <c r="C507" s="55"/>
      <c r="D507" s="55"/>
      <c r="E507" s="55"/>
      <c r="F507" s="55"/>
      <c r="G507" s="55"/>
      <c r="H507" s="55"/>
      <c r="I507" s="55"/>
      <c r="J507" s="55"/>
      <c r="K507" s="55"/>
    </row>
    <row r="508" spans="2:11" ht="12.75">
      <c r="B508" s="55"/>
      <c r="C508" s="55"/>
      <c r="D508" s="55"/>
      <c r="E508" s="55"/>
      <c r="F508" s="55"/>
      <c r="G508" s="55"/>
      <c r="H508" s="55"/>
      <c r="I508" s="55"/>
      <c r="J508" s="55"/>
      <c r="K508" s="55"/>
    </row>
    <row r="509" spans="2:11" ht="12.75">
      <c r="B509" s="55"/>
      <c r="C509" s="55"/>
      <c r="D509" s="55"/>
      <c r="E509" s="55"/>
      <c r="F509" s="55"/>
      <c r="G509" s="55"/>
      <c r="H509" s="55"/>
      <c r="I509" s="55"/>
      <c r="J509" s="55"/>
      <c r="K509" s="55"/>
    </row>
    <row r="510" spans="2:11" ht="12.75">
      <c r="B510" s="55"/>
      <c r="C510" s="55"/>
      <c r="D510" s="55"/>
      <c r="E510" s="55"/>
      <c r="F510" s="55"/>
      <c r="G510" s="55"/>
      <c r="H510" s="55"/>
      <c r="I510" s="55"/>
      <c r="J510" s="55"/>
      <c r="K510" s="55"/>
    </row>
    <row r="511" spans="2:11" ht="12.75">
      <c r="B511" s="55"/>
      <c r="C511" s="55"/>
      <c r="D511" s="55"/>
      <c r="E511" s="55"/>
      <c r="F511" s="55"/>
      <c r="G511" s="55"/>
      <c r="H511" s="55"/>
      <c r="I511" s="55"/>
      <c r="J511" s="55"/>
      <c r="K511" s="55"/>
    </row>
    <row r="512" spans="2:11" ht="12.75">
      <c r="B512" s="55"/>
      <c r="C512" s="55"/>
      <c r="D512" s="55"/>
      <c r="E512" s="55"/>
      <c r="F512" s="55"/>
      <c r="G512" s="55"/>
      <c r="H512" s="55"/>
      <c r="I512" s="55"/>
      <c r="J512" s="55"/>
      <c r="K512" s="55"/>
    </row>
    <row r="513" spans="2:11" ht="12.75">
      <c r="B513" s="55"/>
      <c r="C513" s="55"/>
      <c r="D513" s="55"/>
      <c r="E513" s="55"/>
      <c r="F513" s="55"/>
      <c r="G513" s="55"/>
      <c r="H513" s="55"/>
      <c r="I513" s="55"/>
      <c r="J513" s="55"/>
      <c r="K513" s="55"/>
    </row>
    <row r="514" spans="2:11" ht="12.75">
      <c r="B514" s="55"/>
      <c r="C514" s="55"/>
      <c r="D514" s="55"/>
      <c r="E514" s="55"/>
      <c r="F514" s="55"/>
      <c r="G514" s="55"/>
      <c r="H514" s="55"/>
      <c r="I514" s="55"/>
      <c r="J514" s="55"/>
      <c r="K514" s="55"/>
    </row>
    <row r="515" spans="2:11" ht="12.75">
      <c r="B515" s="55"/>
      <c r="C515" s="55"/>
      <c r="D515" s="55"/>
      <c r="E515" s="55"/>
      <c r="F515" s="55"/>
      <c r="G515" s="55"/>
      <c r="H515" s="55"/>
      <c r="I515" s="55"/>
      <c r="J515" s="55"/>
      <c r="K515" s="55"/>
    </row>
    <row r="516" spans="2:11" ht="12.75">
      <c r="B516" s="55"/>
      <c r="C516" s="55"/>
      <c r="D516" s="55"/>
      <c r="E516" s="55"/>
      <c r="F516" s="55"/>
      <c r="G516" s="55"/>
      <c r="H516" s="55"/>
      <c r="I516" s="55"/>
      <c r="J516" s="55"/>
      <c r="K516" s="55"/>
    </row>
    <row r="517" spans="2:11" ht="12.75">
      <c r="B517" s="55"/>
      <c r="C517" s="55"/>
      <c r="D517" s="55"/>
      <c r="E517" s="55"/>
      <c r="F517" s="55"/>
      <c r="G517" s="55"/>
      <c r="H517" s="55"/>
      <c r="I517" s="55"/>
      <c r="J517" s="55"/>
      <c r="K517" s="55"/>
    </row>
    <row r="518" spans="2:11" ht="12.75">
      <c r="B518" s="55"/>
      <c r="C518" s="55"/>
      <c r="D518" s="55"/>
      <c r="E518" s="55"/>
      <c r="F518" s="55"/>
      <c r="G518" s="55"/>
      <c r="H518" s="55"/>
      <c r="I518" s="55"/>
      <c r="J518" s="55"/>
      <c r="K518" s="55"/>
    </row>
    <row r="519" spans="2:11" ht="12.75">
      <c r="B519" s="55"/>
      <c r="C519" s="55"/>
      <c r="D519" s="55"/>
      <c r="E519" s="55"/>
      <c r="F519" s="55"/>
      <c r="G519" s="55"/>
      <c r="H519" s="55"/>
      <c r="I519" s="55"/>
      <c r="J519" s="55"/>
      <c r="K519" s="55"/>
    </row>
    <row r="520" spans="2:11" ht="12.75">
      <c r="B520" s="55"/>
      <c r="C520" s="55"/>
      <c r="D520" s="55"/>
      <c r="E520" s="55"/>
      <c r="F520" s="55"/>
      <c r="G520" s="55"/>
      <c r="H520" s="55"/>
      <c r="I520" s="55"/>
      <c r="J520" s="55"/>
      <c r="K520" s="55"/>
    </row>
    <row r="521" spans="2:11" ht="12.75">
      <c r="B521" s="55"/>
      <c r="C521" s="55"/>
      <c r="D521" s="55"/>
      <c r="E521" s="55"/>
      <c r="F521" s="55"/>
      <c r="G521" s="55"/>
      <c r="H521" s="55"/>
      <c r="I521" s="55"/>
      <c r="J521" s="55"/>
      <c r="K521" s="55"/>
    </row>
    <row r="522" spans="2:11" ht="12.75">
      <c r="B522" s="55"/>
      <c r="C522" s="55"/>
      <c r="D522" s="55"/>
      <c r="E522" s="55"/>
      <c r="F522" s="55"/>
      <c r="G522" s="55"/>
      <c r="H522" s="55"/>
      <c r="I522" s="55"/>
      <c r="J522" s="55"/>
      <c r="K522" s="55"/>
    </row>
    <row r="523" spans="2:11" ht="12.75">
      <c r="B523" s="55"/>
      <c r="C523" s="55"/>
      <c r="D523" s="55"/>
      <c r="E523" s="55"/>
      <c r="F523" s="55"/>
      <c r="G523" s="55"/>
      <c r="H523" s="55"/>
      <c r="I523" s="55"/>
      <c r="J523" s="55"/>
      <c r="K523" s="55"/>
    </row>
    <row r="524" spans="2:11" ht="12.75">
      <c r="B524" s="55"/>
      <c r="C524" s="55"/>
      <c r="D524" s="55"/>
      <c r="E524" s="55"/>
      <c r="F524" s="55"/>
      <c r="G524" s="55"/>
      <c r="H524" s="55"/>
      <c r="I524" s="55"/>
      <c r="J524" s="55"/>
      <c r="K524" s="55"/>
    </row>
    <row r="525" spans="2:11" ht="12.75">
      <c r="B525" s="55"/>
      <c r="C525" s="55"/>
      <c r="D525" s="55"/>
      <c r="E525" s="55"/>
      <c r="F525" s="55"/>
      <c r="G525" s="55"/>
      <c r="H525" s="55"/>
      <c r="I525" s="55"/>
      <c r="J525" s="55"/>
      <c r="K525" s="55"/>
    </row>
    <row r="526" spans="2:11" ht="12.75">
      <c r="B526" s="55"/>
      <c r="C526" s="55"/>
      <c r="D526" s="55"/>
      <c r="E526" s="55"/>
      <c r="F526" s="55"/>
      <c r="G526" s="55"/>
      <c r="H526" s="55"/>
      <c r="I526" s="55"/>
      <c r="J526" s="55"/>
      <c r="K526" s="55"/>
    </row>
    <row r="527" spans="2:11" ht="12.75">
      <c r="B527" s="55"/>
      <c r="C527" s="55"/>
      <c r="D527" s="55"/>
      <c r="E527" s="55"/>
      <c r="F527" s="55"/>
      <c r="G527" s="55"/>
      <c r="H527" s="55"/>
      <c r="I527" s="55"/>
      <c r="J527" s="55"/>
      <c r="K527" s="55"/>
    </row>
    <row r="528" spans="2:11" ht="12.75">
      <c r="B528" s="55"/>
      <c r="C528" s="55"/>
      <c r="D528" s="55"/>
      <c r="E528" s="55"/>
      <c r="F528" s="55"/>
      <c r="G528" s="55"/>
      <c r="H528" s="55"/>
      <c r="I528" s="55"/>
      <c r="J528" s="55"/>
      <c r="K528" s="55"/>
    </row>
    <row r="529" spans="2:11" ht="12.75">
      <c r="B529" s="55"/>
      <c r="C529" s="55"/>
      <c r="D529" s="55"/>
      <c r="E529" s="55"/>
      <c r="F529" s="55"/>
      <c r="G529" s="55"/>
      <c r="H529" s="55"/>
      <c r="I529" s="55"/>
      <c r="J529" s="55"/>
      <c r="K529" s="55"/>
    </row>
    <row r="530" spans="2:11" ht="12.75">
      <c r="B530" s="55"/>
      <c r="C530" s="55"/>
      <c r="D530" s="55"/>
      <c r="E530" s="55"/>
      <c r="F530" s="55"/>
      <c r="G530" s="55"/>
      <c r="H530" s="55"/>
      <c r="I530" s="55"/>
      <c r="J530" s="55"/>
      <c r="K530" s="55"/>
    </row>
    <row r="531" spans="2:11" ht="12.75">
      <c r="B531" s="55"/>
      <c r="C531" s="55"/>
      <c r="D531" s="55"/>
      <c r="E531" s="55"/>
      <c r="F531" s="55"/>
      <c r="G531" s="55"/>
      <c r="H531" s="55"/>
      <c r="I531" s="55"/>
      <c r="J531" s="55"/>
      <c r="K531" s="55"/>
    </row>
    <row r="532" spans="2:11" ht="12.75">
      <c r="B532" s="55"/>
      <c r="C532" s="55"/>
      <c r="D532" s="55"/>
      <c r="E532" s="55"/>
      <c r="F532" s="55"/>
      <c r="G532" s="55"/>
      <c r="H532" s="55"/>
      <c r="I532" s="55"/>
      <c r="J532" s="55"/>
      <c r="K532" s="55"/>
    </row>
    <row r="533" spans="2:11" ht="12.75">
      <c r="B533" s="55"/>
      <c r="C533" s="55"/>
      <c r="D533" s="55"/>
      <c r="E533" s="55"/>
      <c r="F533" s="55"/>
      <c r="G533" s="55"/>
      <c r="H533" s="55"/>
      <c r="I533" s="55"/>
      <c r="J533" s="55"/>
      <c r="K533" s="55"/>
    </row>
    <row r="534" spans="2:11" ht="12.75">
      <c r="B534" s="55"/>
      <c r="C534" s="55"/>
      <c r="D534" s="55"/>
      <c r="E534" s="55"/>
      <c r="F534" s="55"/>
      <c r="G534" s="55"/>
      <c r="H534" s="55"/>
      <c r="I534" s="55"/>
      <c r="J534" s="55"/>
      <c r="K534" s="55"/>
    </row>
    <row r="535" spans="2:11" ht="12.75">
      <c r="B535" s="55"/>
      <c r="C535" s="55"/>
      <c r="D535" s="55"/>
      <c r="E535" s="55"/>
      <c r="F535" s="55"/>
      <c r="G535" s="55"/>
      <c r="H535" s="55"/>
      <c r="I535" s="55"/>
      <c r="J535" s="55"/>
      <c r="K535" s="55"/>
    </row>
    <row r="536" spans="2:11" ht="12.75">
      <c r="B536" s="55"/>
      <c r="C536" s="55"/>
      <c r="D536" s="55"/>
      <c r="E536" s="55"/>
      <c r="F536" s="55"/>
      <c r="G536" s="55"/>
      <c r="H536" s="55"/>
      <c r="I536" s="55"/>
      <c r="J536" s="55"/>
      <c r="K536" s="55"/>
    </row>
    <row r="537" spans="2:11" ht="12.75">
      <c r="B537" s="55"/>
      <c r="C537" s="55"/>
      <c r="D537" s="55"/>
      <c r="E537" s="55"/>
      <c r="F537" s="55"/>
      <c r="G537" s="55"/>
      <c r="H537" s="55"/>
      <c r="I537" s="55"/>
      <c r="J537" s="55"/>
      <c r="K537" s="55"/>
    </row>
    <row r="538" spans="2:11" ht="12.75">
      <c r="B538" s="55"/>
      <c r="C538" s="55"/>
      <c r="D538" s="55"/>
      <c r="E538" s="55"/>
      <c r="F538" s="55"/>
      <c r="G538" s="55"/>
      <c r="H538" s="55"/>
      <c r="I538" s="55"/>
      <c r="J538" s="55"/>
      <c r="K538" s="55"/>
    </row>
    <row r="539" spans="2:11" ht="12.75">
      <c r="B539" s="55"/>
      <c r="C539" s="55"/>
      <c r="D539" s="55"/>
      <c r="E539" s="55"/>
      <c r="F539" s="55"/>
      <c r="G539" s="55"/>
      <c r="H539" s="55"/>
      <c r="I539" s="55"/>
      <c r="J539" s="55"/>
      <c r="K539" s="55"/>
    </row>
    <row r="540" spans="2:11" ht="12.75">
      <c r="B540" s="55"/>
      <c r="C540" s="55"/>
      <c r="D540" s="55"/>
      <c r="E540" s="55"/>
      <c r="F540" s="55"/>
      <c r="G540" s="55"/>
      <c r="H540" s="55"/>
      <c r="I540" s="55"/>
      <c r="J540" s="55"/>
      <c r="K540" s="55"/>
    </row>
    <row r="541" spans="2:11" ht="12.75">
      <c r="B541" s="55"/>
      <c r="C541" s="55"/>
      <c r="D541" s="55"/>
      <c r="E541" s="55"/>
      <c r="F541" s="55"/>
      <c r="G541" s="55"/>
      <c r="H541" s="55"/>
      <c r="I541" s="55"/>
      <c r="J541" s="55"/>
      <c r="K541" s="55"/>
    </row>
    <row r="542" spans="2:11" ht="12.75">
      <c r="B542" s="55"/>
      <c r="C542" s="55"/>
      <c r="D542" s="55"/>
      <c r="E542" s="55"/>
      <c r="F542" s="55"/>
      <c r="G542" s="55"/>
      <c r="H542" s="55"/>
      <c r="I542" s="55"/>
      <c r="J542" s="55"/>
      <c r="K542" s="55"/>
    </row>
    <row r="543" spans="2:11" ht="12.75">
      <c r="B543" s="55"/>
      <c r="C543" s="55"/>
      <c r="D543" s="55"/>
      <c r="E543" s="55"/>
      <c r="F543" s="55"/>
      <c r="G543" s="55"/>
      <c r="H543" s="55"/>
      <c r="I543" s="55"/>
      <c r="J543" s="55"/>
      <c r="K543" s="55"/>
    </row>
    <row r="544" spans="2:11" ht="12.75">
      <c r="B544" s="55"/>
      <c r="C544" s="55"/>
      <c r="D544" s="55"/>
      <c r="E544" s="55"/>
      <c r="F544" s="55"/>
      <c r="G544" s="55"/>
      <c r="H544" s="55"/>
      <c r="I544" s="55"/>
      <c r="J544" s="55"/>
      <c r="K544" s="55"/>
    </row>
    <row r="545" spans="2:11" ht="12.75">
      <c r="B545" s="55"/>
      <c r="C545" s="55"/>
      <c r="D545" s="55"/>
      <c r="E545" s="55"/>
      <c r="F545" s="55"/>
      <c r="G545" s="55"/>
      <c r="H545" s="55"/>
      <c r="I545" s="55"/>
      <c r="J545" s="55"/>
      <c r="K545" s="55"/>
    </row>
    <row r="546" spans="2:11" ht="12.75">
      <c r="B546" s="55"/>
      <c r="C546" s="55"/>
      <c r="D546" s="55"/>
      <c r="E546" s="55"/>
      <c r="F546" s="55"/>
      <c r="G546" s="55"/>
      <c r="H546" s="55"/>
      <c r="I546" s="55"/>
      <c r="J546" s="55"/>
      <c r="K546" s="55"/>
    </row>
    <row r="547" spans="2:11" ht="12.75">
      <c r="B547" s="55"/>
      <c r="C547" s="55"/>
      <c r="D547" s="55"/>
      <c r="E547" s="55"/>
      <c r="F547" s="55"/>
      <c r="G547" s="55"/>
      <c r="H547" s="55"/>
      <c r="I547" s="55"/>
      <c r="J547" s="55"/>
      <c r="K547" s="55"/>
    </row>
    <row r="548" spans="2:11" ht="12.75">
      <c r="B548" s="55"/>
      <c r="C548" s="55"/>
      <c r="D548" s="55"/>
      <c r="E548" s="55"/>
      <c r="F548" s="55"/>
      <c r="G548" s="55"/>
      <c r="H548" s="55"/>
      <c r="I548" s="55"/>
      <c r="J548" s="55"/>
      <c r="K548" s="55"/>
    </row>
    <row r="549" spans="2:11" ht="12.75">
      <c r="B549" s="55"/>
      <c r="C549" s="55"/>
      <c r="D549" s="55"/>
      <c r="E549" s="55"/>
      <c r="F549" s="55"/>
      <c r="G549" s="55"/>
      <c r="H549" s="55"/>
      <c r="I549" s="55"/>
      <c r="J549" s="55"/>
      <c r="K549" s="55"/>
    </row>
    <row r="550" spans="2:11" ht="12.75">
      <c r="B550" s="55"/>
      <c r="C550" s="55"/>
      <c r="D550" s="55"/>
      <c r="E550" s="55"/>
      <c r="F550" s="55"/>
      <c r="G550" s="55"/>
      <c r="H550" s="55"/>
      <c r="I550" s="55"/>
      <c r="J550" s="55"/>
      <c r="K550" s="55"/>
    </row>
    <row r="551" spans="2:11" ht="12.75">
      <c r="B551" s="55"/>
      <c r="C551" s="55"/>
      <c r="D551" s="55"/>
      <c r="E551" s="55"/>
      <c r="F551" s="55"/>
      <c r="G551" s="55"/>
      <c r="H551" s="55"/>
      <c r="I551" s="55"/>
      <c r="J551" s="55"/>
      <c r="K551" s="55"/>
    </row>
    <row r="552" spans="2:11" ht="12.75">
      <c r="B552" s="55"/>
      <c r="C552" s="55"/>
      <c r="D552" s="55"/>
      <c r="E552" s="55"/>
      <c r="F552" s="55"/>
      <c r="G552" s="55"/>
      <c r="H552" s="55"/>
      <c r="I552" s="55"/>
      <c r="J552" s="55"/>
      <c r="K552" s="55"/>
    </row>
    <row r="553" spans="2:11" ht="12.75">
      <c r="B553" s="55"/>
      <c r="C553" s="55"/>
      <c r="D553" s="55"/>
      <c r="E553" s="55"/>
      <c r="F553" s="55"/>
      <c r="G553" s="55"/>
      <c r="H553" s="55"/>
      <c r="I553" s="55"/>
      <c r="J553" s="55"/>
      <c r="K553" s="55"/>
    </row>
    <row r="554" spans="2:11" ht="12.75">
      <c r="B554" s="55"/>
      <c r="C554" s="55"/>
      <c r="D554" s="55"/>
      <c r="E554" s="55"/>
      <c r="F554" s="55"/>
      <c r="G554" s="55"/>
      <c r="H554" s="55"/>
      <c r="I554" s="55"/>
      <c r="J554" s="55"/>
      <c r="K554" s="55"/>
    </row>
    <row r="555" spans="2:11" ht="12.75">
      <c r="B555" s="55"/>
      <c r="C555" s="55"/>
      <c r="D555" s="55"/>
      <c r="E555" s="55"/>
      <c r="F555" s="55"/>
      <c r="G555" s="55"/>
      <c r="H555" s="55"/>
      <c r="I555" s="55"/>
      <c r="J555" s="55"/>
      <c r="K555" s="55"/>
    </row>
    <row r="556" spans="2:11" ht="12.75">
      <c r="B556" s="55"/>
      <c r="C556" s="55"/>
      <c r="D556" s="55"/>
      <c r="E556" s="55"/>
      <c r="F556" s="55"/>
      <c r="G556" s="55"/>
      <c r="H556" s="55"/>
      <c r="I556" s="55"/>
      <c r="J556" s="55"/>
      <c r="K556" s="55"/>
    </row>
    <row r="557" spans="2:11" ht="12.75">
      <c r="B557" s="55"/>
      <c r="C557" s="55"/>
      <c r="D557" s="55"/>
      <c r="E557" s="55"/>
      <c r="F557" s="55"/>
      <c r="G557" s="55"/>
      <c r="H557" s="55"/>
      <c r="I557" s="55"/>
      <c r="J557" s="55"/>
      <c r="K557" s="55"/>
    </row>
    <row r="558" spans="2:11" ht="12.75">
      <c r="B558" s="55"/>
      <c r="C558" s="55"/>
      <c r="D558" s="55"/>
      <c r="E558" s="55"/>
      <c r="F558" s="55"/>
      <c r="G558" s="55"/>
      <c r="H558" s="55"/>
      <c r="I558" s="55"/>
      <c r="J558" s="55"/>
      <c r="K558" s="55"/>
    </row>
    <row r="559" spans="2:11" ht="12.75">
      <c r="B559" s="55"/>
      <c r="C559" s="55"/>
      <c r="D559" s="55"/>
      <c r="E559" s="55"/>
      <c r="F559" s="55"/>
      <c r="G559" s="55"/>
      <c r="H559" s="55"/>
      <c r="I559" s="55"/>
      <c r="J559" s="55"/>
      <c r="K559" s="55"/>
    </row>
    <row r="560" spans="2:11" ht="12.75">
      <c r="B560" s="55"/>
      <c r="C560" s="55"/>
      <c r="D560" s="55"/>
      <c r="E560" s="55"/>
      <c r="F560" s="55"/>
      <c r="G560" s="55"/>
      <c r="H560" s="55"/>
      <c r="I560" s="55"/>
      <c r="J560" s="55"/>
      <c r="K560" s="55"/>
    </row>
    <row r="561" spans="2:11" ht="12.75">
      <c r="B561" s="55"/>
      <c r="C561" s="55"/>
      <c r="D561" s="55"/>
      <c r="E561" s="55"/>
      <c r="F561" s="55"/>
      <c r="G561" s="55"/>
      <c r="H561" s="55"/>
      <c r="I561" s="55"/>
      <c r="J561" s="55"/>
      <c r="K561" s="55"/>
    </row>
    <row r="562" spans="2:11" ht="12.75">
      <c r="B562" s="55"/>
      <c r="C562" s="55"/>
      <c r="D562" s="55"/>
      <c r="E562" s="55"/>
      <c r="F562" s="55"/>
      <c r="G562" s="55"/>
      <c r="H562" s="55"/>
      <c r="I562" s="55"/>
      <c r="J562" s="55"/>
      <c r="K562" s="55"/>
    </row>
    <row r="563" spans="2:11" ht="12.75">
      <c r="B563" s="55"/>
      <c r="C563" s="55"/>
      <c r="D563" s="55"/>
      <c r="E563" s="55"/>
      <c r="F563" s="55"/>
      <c r="G563" s="55"/>
      <c r="H563" s="55"/>
      <c r="I563" s="55"/>
      <c r="J563" s="55"/>
      <c r="K563" s="55"/>
    </row>
    <row r="564" spans="2:11" ht="12.75">
      <c r="B564" s="55"/>
      <c r="C564" s="55"/>
      <c r="D564" s="55"/>
      <c r="E564" s="55"/>
      <c r="F564" s="55"/>
      <c r="G564" s="55"/>
      <c r="H564" s="55"/>
      <c r="I564" s="55"/>
      <c r="J564" s="55"/>
      <c r="K564" s="55"/>
    </row>
    <row r="565" spans="2:11" ht="12.75">
      <c r="B565" s="55"/>
      <c r="C565" s="55"/>
      <c r="D565" s="55"/>
      <c r="E565" s="55"/>
      <c r="F565" s="55"/>
      <c r="G565" s="55"/>
      <c r="H565" s="55"/>
      <c r="I565" s="55"/>
      <c r="J565" s="55"/>
      <c r="K565" s="55"/>
    </row>
    <row r="566" spans="2:11" ht="12.75">
      <c r="B566" s="55"/>
      <c r="C566" s="55"/>
      <c r="D566" s="55"/>
      <c r="E566" s="55"/>
      <c r="F566" s="55"/>
      <c r="G566" s="55"/>
      <c r="H566" s="55"/>
      <c r="I566" s="55"/>
      <c r="J566" s="55"/>
      <c r="K566" s="55"/>
    </row>
    <row r="567" spans="2:11" ht="12.75">
      <c r="B567" s="55"/>
      <c r="C567" s="55"/>
      <c r="D567" s="55"/>
      <c r="E567" s="55"/>
      <c r="F567" s="55"/>
      <c r="G567" s="55"/>
      <c r="H567" s="55"/>
      <c r="I567" s="55"/>
      <c r="J567" s="55"/>
      <c r="K567" s="55"/>
    </row>
    <row r="568" spans="2:11" ht="12.75">
      <c r="B568" s="55"/>
      <c r="C568" s="55"/>
      <c r="D568" s="55"/>
      <c r="E568" s="55"/>
      <c r="F568" s="55"/>
      <c r="G568" s="55"/>
      <c r="H568" s="55"/>
      <c r="I568" s="55"/>
      <c r="J568" s="55"/>
      <c r="K568" s="55"/>
    </row>
    <row r="569" spans="2:11" ht="12.75">
      <c r="B569" s="55"/>
      <c r="C569" s="55"/>
      <c r="D569" s="55"/>
      <c r="E569" s="55"/>
      <c r="F569" s="55"/>
      <c r="G569" s="55"/>
      <c r="H569" s="55"/>
      <c r="I569" s="55"/>
      <c r="J569" s="55"/>
      <c r="K569" s="55"/>
    </row>
    <row r="570" spans="2:11" ht="12.75">
      <c r="B570" s="55"/>
      <c r="C570" s="55"/>
      <c r="D570" s="55"/>
      <c r="E570" s="55"/>
      <c r="F570" s="55"/>
      <c r="G570" s="55"/>
      <c r="H570" s="55"/>
      <c r="I570" s="55"/>
      <c r="J570" s="55"/>
      <c r="K570" s="55"/>
    </row>
    <row r="571" spans="2:11" ht="12.75">
      <c r="B571" s="55"/>
      <c r="C571" s="55"/>
      <c r="D571" s="55"/>
      <c r="E571" s="55"/>
      <c r="F571" s="55"/>
      <c r="G571" s="55"/>
      <c r="H571" s="55"/>
      <c r="I571" s="55"/>
      <c r="J571" s="55"/>
      <c r="K571" s="55"/>
    </row>
    <row r="572" spans="2:11" ht="12.75">
      <c r="B572" s="55"/>
      <c r="C572" s="55"/>
      <c r="D572" s="55"/>
      <c r="E572" s="55"/>
      <c r="F572" s="55"/>
      <c r="G572" s="55"/>
      <c r="H572" s="55"/>
      <c r="I572" s="55"/>
      <c r="J572" s="55"/>
      <c r="K572" s="55"/>
    </row>
    <row r="573" spans="2:11" ht="12.75">
      <c r="B573" s="55"/>
      <c r="C573" s="55"/>
      <c r="D573" s="55"/>
      <c r="E573" s="55"/>
      <c r="F573" s="55"/>
      <c r="G573" s="55"/>
      <c r="H573" s="55"/>
      <c r="I573" s="55"/>
      <c r="J573" s="55"/>
      <c r="K573" s="55"/>
    </row>
    <row r="574" spans="2:11" ht="12.75">
      <c r="B574" s="55"/>
      <c r="C574" s="55"/>
      <c r="D574" s="55"/>
      <c r="E574" s="55"/>
      <c r="F574" s="55"/>
      <c r="G574" s="55"/>
      <c r="H574" s="55"/>
      <c r="I574" s="55"/>
      <c r="J574" s="55"/>
      <c r="K574" s="55"/>
    </row>
    <row r="575" spans="2:11" ht="12.75">
      <c r="B575" s="55"/>
      <c r="C575" s="55"/>
      <c r="D575" s="55"/>
      <c r="E575" s="55"/>
      <c r="F575" s="55"/>
      <c r="G575" s="55"/>
      <c r="H575" s="55"/>
      <c r="I575" s="55"/>
      <c r="J575" s="55"/>
      <c r="K575" s="55"/>
    </row>
    <row r="576" spans="2:11" ht="12.75">
      <c r="B576" s="55"/>
      <c r="C576" s="55"/>
      <c r="D576" s="55"/>
      <c r="E576" s="55"/>
      <c r="F576" s="55"/>
      <c r="G576" s="55"/>
      <c r="H576" s="55"/>
      <c r="I576" s="55"/>
      <c r="J576" s="55"/>
      <c r="K576" s="55"/>
    </row>
    <row r="577" spans="2:11" ht="12.75">
      <c r="B577" s="55"/>
      <c r="C577" s="55"/>
      <c r="D577" s="55"/>
      <c r="E577" s="55"/>
      <c r="F577" s="55"/>
      <c r="G577" s="55"/>
      <c r="H577" s="55"/>
      <c r="I577" s="55"/>
      <c r="J577" s="55"/>
      <c r="K577" s="55"/>
    </row>
    <row r="578" spans="2:11" ht="12.75">
      <c r="B578" s="55"/>
      <c r="C578" s="55"/>
      <c r="D578" s="55"/>
      <c r="E578" s="55"/>
      <c r="F578" s="55"/>
      <c r="G578" s="55"/>
      <c r="H578" s="55"/>
      <c r="I578" s="55"/>
      <c r="J578" s="55"/>
      <c r="K578" s="55"/>
    </row>
    <row r="579" spans="2:11" ht="12.75">
      <c r="B579" s="55"/>
      <c r="C579" s="55"/>
      <c r="D579" s="55"/>
      <c r="E579" s="55"/>
      <c r="F579" s="55"/>
      <c r="G579" s="55"/>
      <c r="H579" s="55"/>
      <c r="I579" s="55"/>
      <c r="J579" s="55"/>
      <c r="K579" s="55"/>
    </row>
    <row r="580" spans="2:11" ht="12.75">
      <c r="B580" s="55"/>
      <c r="C580" s="55"/>
      <c r="D580" s="55"/>
      <c r="E580" s="55"/>
      <c r="F580" s="55"/>
      <c r="G580" s="55"/>
      <c r="H580" s="55"/>
      <c r="I580" s="55"/>
      <c r="J580" s="55"/>
      <c r="K580" s="55"/>
    </row>
    <row r="581" spans="2:11" ht="12.75">
      <c r="B581" s="55"/>
      <c r="C581" s="55"/>
      <c r="D581" s="55"/>
      <c r="E581" s="55"/>
      <c r="F581" s="55"/>
      <c r="G581" s="55"/>
      <c r="H581" s="55"/>
      <c r="I581" s="55"/>
      <c r="J581" s="55"/>
      <c r="K581" s="55"/>
    </row>
    <row r="582" spans="2:11" ht="12.75">
      <c r="B582" s="55"/>
      <c r="C582" s="55"/>
      <c r="D582" s="55"/>
      <c r="E582" s="55"/>
      <c r="F582" s="55"/>
      <c r="G582" s="55"/>
      <c r="H582" s="55"/>
      <c r="I582" s="55"/>
      <c r="J582" s="55"/>
      <c r="K582" s="55"/>
    </row>
    <row r="583" spans="2:11" ht="12.75">
      <c r="B583" s="55"/>
      <c r="C583" s="55"/>
      <c r="D583" s="55"/>
      <c r="E583" s="55"/>
      <c r="F583" s="55"/>
      <c r="G583" s="55"/>
      <c r="H583" s="55"/>
      <c r="I583" s="55"/>
      <c r="J583" s="55"/>
      <c r="K583" s="55"/>
    </row>
    <row r="584" spans="2:11" ht="12.75">
      <c r="B584" s="55"/>
      <c r="C584" s="55"/>
      <c r="D584" s="55"/>
      <c r="E584" s="55"/>
      <c r="F584" s="55"/>
      <c r="G584" s="55"/>
      <c r="H584" s="55"/>
      <c r="I584" s="55"/>
      <c r="J584" s="55"/>
      <c r="K584" s="55"/>
    </row>
    <row r="585" spans="2:11" ht="12.75">
      <c r="B585" s="55"/>
      <c r="C585" s="55"/>
      <c r="D585" s="55"/>
      <c r="E585" s="55"/>
      <c r="F585" s="55"/>
      <c r="G585" s="55"/>
      <c r="H585" s="55"/>
      <c r="I585" s="55"/>
      <c r="J585" s="55"/>
      <c r="K585" s="55"/>
    </row>
    <row r="586" spans="2:11" ht="12.75">
      <c r="B586" s="55"/>
      <c r="C586" s="55"/>
      <c r="D586" s="55"/>
      <c r="E586" s="55"/>
      <c r="F586" s="55"/>
      <c r="G586" s="55"/>
      <c r="H586" s="55"/>
      <c r="I586" s="55"/>
      <c r="J586" s="55"/>
      <c r="K586" s="55"/>
    </row>
    <row r="587" spans="2:11" ht="12.75">
      <c r="B587" s="55"/>
      <c r="C587" s="55"/>
      <c r="D587" s="55"/>
      <c r="E587" s="55"/>
      <c r="F587" s="55"/>
      <c r="G587" s="55"/>
      <c r="H587" s="55"/>
      <c r="I587" s="55"/>
      <c r="J587" s="55"/>
      <c r="K587" s="55"/>
    </row>
    <row r="588" spans="2:11" ht="12.75">
      <c r="B588" s="55"/>
      <c r="C588" s="55"/>
      <c r="D588" s="55"/>
      <c r="E588" s="55"/>
      <c r="F588" s="55"/>
      <c r="G588" s="55"/>
      <c r="H588" s="55"/>
      <c r="I588" s="55"/>
      <c r="J588" s="55"/>
      <c r="K588" s="55"/>
    </row>
    <row r="589" spans="2:11" ht="12.75">
      <c r="B589" s="55"/>
      <c r="C589" s="55"/>
      <c r="D589" s="55"/>
      <c r="E589" s="55"/>
      <c r="F589" s="55"/>
      <c r="G589" s="55"/>
      <c r="H589" s="55"/>
      <c r="I589" s="55"/>
      <c r="J589" s="55"/>
      <c r="K589" s="55"/>
    </row>
    <row r="590" spans="2:11" ht="12.75">
      <c r="B590" s="55"/>
      <c r="C590" s="55"/>
      <c r="D590" s="55"/>
      <c r="E590" s="55"/>
      <c r="F590" s="55"/>
      <c r="G590" s="55"/>
      <c r="H590" s="55"/>
      <c r="I590" s="55"/>
      <c r="J590" s="55"/>
      <c r="K590" s="55"/>
    </row>
    <row r="591" spans="2:11" ht="12.75">
      <c r="B591" s="55"/>
      <c r="C591" s="55"/>
      <c r="D591" s="55"/>
      <c r="E591" s="55"/>
      <c r="F591" s="55"/>
      <c r="G591" s="55"/>
      <c r="H591" s="55"/>
      <c r="I591" s="55"/>
      <c r="J591" s="55"/>
      <c r="K591" s="55"/>
    </row>
    <row r="592" spans="2:11" ht="12.75">
      <c r="B592" s="55"/>
      <c r="C592" s="55"/>
      <c r="D592" s="55"/>
      <c r="E592" s="55"/>
      <c r="F592" s="55"/>
      <c r="G592" s="55"/>
      <c r="H592" s="55"/>
      <c r="I592" s="55"/>
      <c r="J592" s="55"/>
      <c r="K592" s="55"/>
    </row>
    <row r="593" spans="2:11" ht="12.75">
      <c r="B593" s="55"/>
      <c r="C593" s="55"/>
      <c r="D593" s="55"/>
      <c r="E593" s="55"/>
      <c r="F593" s="55"/>
      <c r="G593" s="55"/>
      <c r="H593" s="55"/>
      <c r="I593" s="55"/>
      <c r="J593" s="55"/>
      <c r="K593" s="55"/>
    </row>
    <row r="594" spans="2:11" ht="12.75">
      <c r="B594" s="55"/>
      <c r="C594" s="55"/>
      <c r="D594" s="55"/>
      <c r="E594" s="55"/>
      <c r="F594" s="55"/>
      <c r="G594" s="55"/>
      <c r="H594" s="55"/>
      <c r="I594" s="55"/>
      <c r="J594" s="55"/>
      <c r="K594" s="55"/>
    </row>
    <row r="595" spans="2:11" ht="12.75">
      <c r="B595" s="55"/>
      <c r="C595" s="55"/>
      <c r="D595" s="55"/>
      <c r="E595" s="55"/>
      <c r="F595" s="55"/>
      <c r="G595" s="55"/>
      <c r="H595" s="55"/>
      <c r="I595" s="55"/>
      <c r="J595" s="55"/>
      <c r="K595" s="55"/>
    </row>
    <row r="596" spans="2:11" ht="12.75">
      <c r="B596" s="55"/>
      <c r="C596" s="55"/>
      <c r="D596" s="55"/>
      <c r="E596" s="55"/>
      <c r="F596" s="55"/>
      <c r="G596" s="55"/>
      <c r="H596" s="55"/>
      <c r="I596" s="55"/>
      <c r="J596" s="55"/>
      <c r="K596" s="55"/>
    </row>
    <row r="597" spans="2:11" ht="12.75">
      <c r="B597" s="55"/>
      <c r="C597" s="55"/>
      <c r="D597" s="55"/>
      <c r="E597" s="55"/>
      <c r="F597" s="55"/>
      <c r="G597" s="55"/>
      <c r="H597" s="55"/>
      <c r="I597" s="55"/>
      <c r="J597" s="55"/>
      <c r="K597" s="55"/>
    </row>
    <row r="598" spans="2:11" ht="12.75">
      <c r="B598" s="55"/>
      <c r="C598" s="55"/>
      <c r="D598" s="55"/>
      <c r="E598" s="55"/>
      <c r="F598" s="55"/>
      <c r="G598" s="55"/>
      <c r="H598" s="55"/>
      <c r="I598" s="55"/>
      <c r="J598" s="55"/>
      <c r="K598" s="55"/>
    </row>
    <row r="599" spans="2:11" ht="12.75">
      <c r="B599" s="55"/>
      <c r="C599" s="55"/>
      <c r="D599" s="55"/>
      <c r="E599" s="55"/>
      <c r="F599" s="55"/>
      <c r="G599" s="55"/>
      <c r="H599" s="55"/>
      <c r="I599" s="55"/>
      <c r="J599" s="55"/>
      <c r="K599" s="55"/>
    </row>
    <row r="600" spans="2:11" ht="12.75">
      <c r="B600" s="55"/>
      <c r="C600" s="55"/>
      <c r="D600" s="55"/>
      <c r="E600" s="55"/>
      <c r="F600" s="55"/>
      <c r="G600" s="55"/>
      <c r="H600" s="55"/>
      <c r="I600" s="55"/>
      <c r="J600" s="55"/>
      <c r="K600" s="55"/>
    </row>
    <row r="601" spans="2:11" ht="12.75">
      <c r="B601" s="55"/>
      <c r="C601" s="55"/>
      <c r="D601" s="55"/>
      <c r="E601" s="55"/>
      <c r="F601" s="55"/>
      <c r="G601" s="55"/>
      <c r="H601" s="55"/>
      <c r="I601" s="55"/>
      <c r="J601" s="55"/>
      <c r="K601" s="55"/>
    </row>
    <row r="602" spans="2:11" ht="12.75">
      <c r="B602" s="55"/>
      <c r="C602" s="55"/>
      <c r="D602" s="55"/>
      <c r="E602" s="55"/>
      <c r="F602" s="55"/>
      <c r="G602" s="55"/>
      <c r="H602" s="55"/>
      <c r="I602" s="55"/>
      <c r="J602" s="55"/>
      <c r="K602" s="55"/>
    </row>
    <row r="603" spans="2:11" ht="12.75">
      <c r="B603" s="55"/>
      <c r="C603" s="55"/>
      <c r="D603" s="55"/>
      <c r="E603" s="55"/>
      <c r="F603" s="55"/>
      <c r="G603" s="55"/>
      <c r="H603" s="55"/>
      <c r="I603" s="55"/>
      <c r="J603" s="55"/>
      <c r="K603" s="55"/>
    </row>
    <row r="604" spans="2:11" ht="12.75">
      <c r="B604" s="55"/>
      <c r="C604" s="55"/>
      <c r="D604" s="55"/>
      <c r="E604" s="55"/>
      <c r="F604" s="55"/>
      <c r="G604" s="55"/>
      <c r="H604" s="55"/>
      <c r="I604" s="55"/>
      <c r="J604" s="55"/>
      <c r="K604" s="55"/>
    </row>
    <row r="605" spans="2:11" ht="12.75">
      <c r="B605" s="55"/>
      <c r="C605" s="55"/>
      <c r="D605" s="55"/>
      <c r="E605" s="55"/>
      <c r="F605" s="55"/>
      <c r="G605" s="55"/>
      <c r="H605" s="55"/>
      <c r="I605" s="55"/>
      <c r="J605" s="55"/>
      <c r="K605" s="55"/>
    </row>
    <row r="606" spans="2:11" ht="12.75">
      <c r="B606" s="55"/>
      <c r="C606" s="55"/>
      <c r="D606" s="55"/>
      <c r="E606" s="55"/>
      <c r="F606" s="55"/>
      <c r="G606" s="55"/>
      <c r="H606" s="55"/>
      <c r="I606" s="55"/>
      <c r="J606" s="55"/>
      <c r="K606" s="55"/>
    </row>
    <row r="607" spans="2:11" ht="12.75">
      <c r="B607" s="55"/>
      <c r="C607" s="55"/>
      <c r="D607" s="55"/>
      <c r="E607" s="55"/>
      <c r="F607" s="55"/>
      <c r="G607" s="55"/>
      <c r="H607" s="55"/>
      <c r="I607" s="55"/>
      <c r="J607" s="55"/>
      <c r="K607" s="55"/>
    </row>
    <row r="608" spans="2:11" ht="12.75">
      <c r="B608" s="55"/>
      <c r="C608" s="55"/>
      <c r="D608" s="55"/>
      <c r="E608" s="55"/>
      <c r="F608" s="55"/>
      <c r="G608" s="55"/>
      <c r="H608" s="55"/>
      <c r="I608" s="55"/>
      <c r="J608" s="55"/>
      <c r="K608" s="55"/>
    </row>
    <row r="609" spans="2:11" ht="12.75">
      <c r="B609" s="55"/>
      <c r="C609" s="55"/>
      <c r="D609" s="55"/>
      <c r="E609" s="55"/>
      <c r="F609" s="55"/>
      <c r="G609" s="55"/>
      <c r="H609" s="55"/>
      <c r="I609" s="55"/>
      <c r="J609" s="55"/>
      <c r="K609" s="55"/>
    </row>
    <row r="610" spans="2:11" ht="12.75">
      <c r="B610" s="55"/>
      <c r="C610" s="55"/>
      <c r="D610" s="55"/>
      <c r="E610" s="55"/>
      <c r="F610" s="55"/>
      <c r="G610" s="55"/>
      <c r="H610" s="55"/>
      <c r="I610" s="55"/>
      <c r="J610" s="55"/>
      <c r="K610" s="55"/>
    </row>
    <row r="611" spans="2:11" ht="12.75">
      <c r="B611" s="55"/>
      <c r="C611" s="55"/>
      <c r="D611" s="55"/>
      <c r="E611" s="55"/>
      <c r="F611" s="55"/>
      <c r="G611" s="55"/>
      <c r="H611" s="55"/>
      <c r="I611" s="55"/>
      <c r="J611" s="55"/>
      <c r="K611" s="55"/>
    </row>
    <row r="612" spans="2:11" ht="12.75">
      <c r="B612" s="55"/>
      <c r="C612" s="55"/>
      <c r="D612" s="55"/>
      <c r="E612" s="55"/>
      <c r="F612" s="55"/>
      <c r="G612" s="55"/>
      <c r="H612" s="55"/>
      <c r="I612" s="55"/>
      <c r="J612" s="55"/>
      <c r="K612" s="55"/>
    </row>
    <row r="613" spans="2:11" ht="12.75">
      <c r="B613" s="55"/>
      <c r="C613" s="55"/>
      <c r="D613" s="55"/>
      <c r="E613" s="55"/>
      <c r="F613" s="55"/>
      <c r="G613" s="55"/>
      <c r="H613" s="55"/>
      <c r="I613" s="55"/>
      <c r="J613" s="55"/>
      <c r="K613" s="55"/>
    </row>
    <row r="614" spans="2:11" ht="12.75">
      <c r="B614" s="55"/>
      <c r="C614" s="55"/>
      <c r="D614" s="55"/>
      <c r="E614" s="55"/>
      <c r="F614" s="55"/>
      <c r="G614" s="55"/>
      <c r="H614" s="55"/>
      <c r="I614" s="55"/>
      <c r="J614" s="55"/>
      <c r="K614" s="55"/>
    </row>
    <row r="615" spans="2:11" ht="12.75">
      <c r="B615" s="55"/>
      <c r="C615" s="55"/>
      <c r="D615" s="55"/>
      <c r="E615" s="55"/>
      <c r="F615" s="55"/>
      <c r="G615" s="55"/>
      <c r="H615" s="55"/>
      <c r="I615" s="55"/>
      <c r="J615" s="55"/>
      <c r="K615" s="55"/>
    </row>
    <row r="616" spans="2:11" ht="12.75">
      <c r="B616" s="55"/>
      <c r="C616" s="55"/>
      <c r="D616" s="55"/>
      <c r="E616" s="55"/>
      <c r="F616" s="55"/>
      <c r="G616" s="55"/>
      <c r="H616" s="55"/>
      <c r="I616" s="55"/>
      <c r="J616" s="55"/>
      <c r="K616" s="55"/>
    </row>
    <row r="617" spans="2:11" ht="12.75">
      <c r="B617" s="55"/>
      <c r="C617" s="55"/>
      <c r="D617" s="55"/>
      <c r="E617" s="55"/>
      <c r="F617" s="55"/>
      <c r="G617" s="55"/>
      <c r="H617" s="55"/>
      <c r="I617" s="55"/>
      <c r="J617" s="55"/>
      <c r="K617" s="55"/>
    </row>
    <row r="618" spans="2:11" ht="12.75">
      <c r="B618" s="55"/>
      <c r="C618" s="55"/>
      <c r="D618" s="55"/>
      <c r="E618" s="55"/>
      <c r="F618" s="55"/>
      <c r="G618" s="55"/>
      <c r="H618" s="55"/>
      <c r="I618" s="55"/>
      <c r="J618" s="55"/>
      <c r="K618" s="55"/>
    </row>
    <row r="619" spans="2:11" ht="12.75">
      <c r="B619" s="55"/>
      <c r="C619" s="55"/>
      <c r="D619" s="55"/>
      <c r="E619" s="55"/>
      <c r="F619" s="55"/>
      <c r="G619" s="55"/>
      <c r="H619" s="55"/>
      <c r="I619" s="55"/>
      <c r="J619" s="55"/>
      <c r="K619" s="55"/>
    </row>
    <row r="620" spans="2:11" ht="12.75">
      <c r="B620" s="55"/>
      <c r="C620" s="55"/>
      <c r="D620" s="55"/>
      <c r="E620" s="55"/>
      <c r="F620" s="55"/>
      <c r="G620" s="55"/>
      <c r="H620" s="55"/>
      <c r="I620" s="55"/>
      <c r="J620" s="55"/>
      <c r="K620" s="55"/>
    </row>
    <row r="621" spans="2:11" ht="12.75">
      <c r="B621" s="55"/>
      <c r="C621" s="55"/>
      <c r="D621" s="55"/>
      <c r="E621" s="55"/>
      <c r="F621" s="55"/>
      <c r="G621" s="55"/>
      <c r="H621" s="55"/>
      <c r="I621" s="55"/>
      <c r="J621" s="55"/>
      <c r="K621" s="55"/>
    </row>
    <row r="622" spans="2:11" ht="12.75">
      <c r="B622" s="55"/>
      <c r="C622" s="55"/>
      <c r="D622" s="55"/>
      <c r="E622" s="55"/>
      <c r="F622" s="55"/>
      <c r="G622" s="55"/>
      <c r="H622" s="55"/>
      <c r="I622" s="55"/>
      <c r="J622" s="55"/>
      <c r="K622" s="55"/>
    </row>
    <row r="623" spans="2:11" ht="12.75">
      <c r="B623" s="55"/>
      <c r="C623" s="55"/>
      <c r="D623" s="55"/>
      <c r="E623" s="55"/>
      <c r="F623" s="55"/>
      <c r="G623" s="55"/>
      <c r="H623" s="55"/>
      <c r="I623" s="55"/>
      <c r="J623" s="55"/>
      <c r="K623" s="55"/>
    </row>
    <row r="624" spans="2:11" ht="12.75">
      <c r="B624" s="55"/>
      <c r="C624" s="55"/>
      <c r="D624" s="55"/>
      <c r="E624" s="55"/>
      <c r="F624" s="55"/>
      <c r="G624" s="55"/>
      <c r="H624" s="55"/>
      <c r="I624" s="55"/>
      <c r="J624" s="55"/>
      <c r="K624" s="55"/>
    </row>
    <row r="625" spans="2:11" ht="12.75">
      <c r="B625" s="55"/>
      <c r="C625" s="55"/>
      <c r="D625" s="55"/>
      <c r="E625" s="55"/>
      <c r="F625" s="55"/>
      <c r="G625" s="55"/>
      <c r="H625" s="55"/>
      <c r="I625" s="55"/>
      <c r="J625" s="55"/>
      <c r="K625" s="55"/>
    </row>
    <row r="626" spans="2:11" ht="12.75">
      <c r="B626" s="55"/>
      <c r="C626" s="55"/>
      <c r="D626" s="55"/>
      <c r="E626" s="55"/>
      <c r="F626" s="55"/>
      <c r="G626" s="55"/>
      <c r="H626" s="55"/>
      <c r="I626" s="55"/>
      <c r="J626" s="55"/>
      <c r="K626" s="55"/>
    </row>
    <row r="627" spans="2:11" ht="12.75">
      <c r="B627" s="55"/>
      <c r="C627" s="55"/>
      <c r="D627" s="55"/>
      <c r="E627" s="55"/>
      <c r="F627" s="55"/>
      <c r="G627" s="55"/>
      <c r="H627" s="55"/>
      <c r="I627" s="55"/>
      <c r="J627" s="55"/>
      <c r="K627" s="55"/>
    </row>
  </sheetData>
  <sheetProtection/>
  <mergeCells count="15">
    <mergeCell ref="B93:C93"/>
    <mergeCell ref="D93:E93"/>
    <mergeCell ref="F93:G93"/>
    <mergeCell ref="B4:C4"/>
    <mergeCell ref="D4:E4"/>
    <mergeCell ref="B5:C5"/>
    <mergeCell ref="D5:E5"/>
    <mergeCell ref="A1:K1"/>
    <mergeCell ref="G50:I50"/>
    <mergeCell ref="B79:C79"/>
    <mergeCell ref="D79:E79"/>
    <mergeCell ref="F79:G79"/>
    <mergeCell ref="J4:K4"/>
    <mergeCell ref="J5:K5"/>
    <mergeCell ref="G35:I35"/>
  </mergeCells>
  <printOptions/>
  <pageMargins left="0.7" right="0.7" top="0.75" bottom="0.75" header="0.3" footer="0.3"/>
  <pageSetup fitToHeight="0" fitToWidth="1" orientation="landscape" scale="80" r:id="rId1"/>
  <rowBreaks count="2" manualBreakCount="2">
    <brk id="47" max="255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3"/>
  <sheetViews>
    <sheetView zoomScalePageLayoutView="0" workbookViewId="0" topLeftCell="A1">
      <selection activeCell="D1" sqref="D1:G3"/>
    </sheetView>
  </sheetViews>
  <sheetFormatPr defaultColWidth="9.140625" defaultRowHeight="12.75"/>
  <cols>
    <col min="2" max="2" width="13.00390625" style="0" customWidth="1"/>
    <col min="3" max="3" width="13.8515625" style="0" customWidth="1"/>
    <col min="4" max="4" width="13.57421875" style="0" customWidth="1"/>
    <col min="5" max="5" width="17.00390625" style="0" customWidth="1"/>
    <col min="6" max="6" width="12.140625" style="0" customWidth="1"/>
    <col min="7" max="7" width="12.421875" style="0" customWidth="1"/>
    <col min="8" max="8" width="12.7109375" style="0" customWidth="1"/>
  </cols>
  <sheetData>
    <row r="1" spans="2:8" ht="12.75">
      <c r="B1" s="1"/>
      <c r="C1" s="6"/>
      <c r="D1" s="103" t="s">
        <v>53</v>
      </c>
      <c r="E1" s="103"/>
      <c r="F1" s="105"/>
      <c r="G1" s="105"/>
      <c r="H1" s="1"/>
    </row>
    <row r="2" spans="2:8" ht="12.75">
      <c r="B2" s="1"/>
      <c r="C2" s="2"/>
      <c r="D2" s="103" t="s">
        <v>42</v>
      </c>
      <c r="E2" s="103"/>
      <c r="F2" s="105"/>
      <c r="G2" s="105"/>
      <c r="H2" s="1"/>
    </row>
    <row r="3" spans="2:8" ht="12.75">
      <c r="B3" s="1"/>
      <c r="C3" s="1"/>
      <c r="D3" s="103" t="s">
        <v>43</v>
      </c>
      <c r="E3" s="103"/>
      <c r="F3" s="105"/>
      <c r="G3" s="105"/>
      <c r="H3" s="1"/>
    </row>
    <row r="4" spans="2:8" ht="12.75">
      <c r="B4" s="1"/>
      <c r="C4" s="1"/>
      <c r="D4" s="1"/>
      <c r="E4" s="1"/>
      <c r="F4" s="1"/>
      <c r="G4" s="1"/>
      <c r="H4" s="1"/>
    </row>
    <row r="5" spans="1:10" ht="12.75">
      <c r="A5" s="11" t="s">
        <v>5</v>
      </c>
      <c r="B5" s="53" t="s">
        <v>44</v>
      </c>
      <c r="C5" s="53" t="s">
        <v>45</v>
      </c>
      <c r="D5" s="53" t="s">
        <v>46</v>
      </c>
      <c r="E5" s="53" t="s">
        <v>47</v>
      </c>
      <c r="F5" s="53" t="s">
        <v>48</v>
      </c>
      <c r="G5" s="53" t="s">
        <v>9</v>
      </c>
      <c r="H5" s="54" t="s">
        <v>49</v>
      </c>
      <c r="I5" s="3"/>
      <c r="J5" s="3"/>
    </row>
    <row r="6" spans="1:10" ht="12.75">
      <c r="A6" s="3"/>
      <c r="B6" s="49"/>
      <c r="C6" s="49"/>
      <c r="D6" s="49"/>
      <c r="E6" s="49"/>
      <c r="F6" s="49"/>
      <c r="G6" s="49"/>
      <c r="H6" s="49"/>
      <c r="I6" s="3"/>
      <c r="J6" s="3"/>
    </row>
    <row r="7" spans="1:10" ht="12.75">
      <c r="A7" s="3" t="s">
        <v>40</v>
      </c>
      <c r="B7" s="43">
        <f>'2004 Jan-Mar Recovery '!K10+'2004 Apr-Dec Reovery '!L10</f>
        <v>15828.713552513276</v>
      </c>
      <c r="C7" s="49">
        <f>'2004 Jan-Mar Recovery '!K23+'2004 Apr-Dec Reovery '!L23</f>
        <v>3213.30571477451</v>
      </c>
      <c r="D7" s="49">
        <f>'2004 Jan-Mar Recovery '!K36+'2004 Apr-Dec Reovery '!L36</f>
        <v>9041.331572388597</v>
      </c>
      <c r="E7" s="49">
        <f>'2004 Jan-Mar Recovery '!K60+'2004 Apr-Dec Reovery '!L61</f>
        <v>8.077778845714285</v>
      </c>
      <c r="F7" s="49">
        <f>'2004 Jan-Mar Recovery '!K73+'2004 Apr-Dec Reovery '!L74</f>
        <v>170.60522929731957</v>
      </c>
      <c r="G7" s="49">
        <f aca="true" t="shared" si="0" ref="G7:G18">SUM(B7:F7)</f>
        <v>28262.033847819413</v>
      </c>
      <c r="H7" s="49">
        <f>G7</f>
        <v>28262.033847819413</v>
      </c>
      <c r="I7" s="3"/>
      <c r="J7" s="3"/>
    </row>
    <row r="8" spans="1:10" ht="12.75">
      <c r="A8" s="3" t="s">
        <v>39</v>
      </c>
      <c r="B8" s="43">
        <f>'2004 Jan-Mar Recovery '!K11+'2004 Apr-Dec Reovery '!L11</f>
        <v>17485.868888353983</v>
      </c>
      <c r="C8" s="49">
        <f>'2004 Jan-Mar Recovery '!K24+'2004 Apr-Dec Reovery '!L24</f>
        <v>3390.1563809790846</v>
      </c>
      <c r="D8" s="49">
        <f>'2004 Jan-Mar Recovery '!K37+'2004 Apr-Dec Reovery '!L37</f>
        <v>9111.520713787837</v>
      </c>
      <c r="E8" s="49">
        <f>'2004 Jan-Mar Recovery '!K61+'2004 Apr-Dec Reovery '!L62</f>
        <v>7.765100657142856</v>
      </c>
      <c r="F8" s="49">
        <f>'2004 Jan-Mar Recovery '!K74+'2004 Apr-Dec Reovery '!L75</f>
        <v>342.6027415397938</v>
      </c>
      <c r="G8" s="49">
        <f t="shared" si="0"/>
        <v>30337.913825317846</v>
      </c>
      <c r="H8" s="49">
        <f>H7+G8</f>
        <v>58599.947673137256</v>
      </c>
      <c r="I8" s="3"/>
      <c r="J8" s="3"/>
    </row>
    <row r="9" spans="1:10" ht="12.75">
      <c r="A9" s="3" t="s">
        <v>18</v>
      </c>
      <c r="B9" s="43">
        <f>'2004 Jan-Mar Recovery '!K12+'2004 Apr-Dec Reovery '!L12</f>
        <v>16685.501423522124</v>
      </c>
      <c r="C9" s="49">
        <f>'2004 Jan-Mar Recovery '!K25+'2004 Apr-Dec Reovery '!L25</f>
        <v>3345.397858347712</v>
      </c>
      <c r="D9" s="49">
        <f>'2004 Jan-Mar Recovery '!K38+'2004 Apr-Dec Reovery '!L38</f>
        <v>8291.813784566897</v>
      </c>
      <c r="E9" s="49">
        <f>'2004 Jan-Mar Recovery '!K62+'2004 Apr-Dec Reovery '!L63</f>
        <v>8.090748394285713</v>
      </c>
      <c r="F9" s="49">
        <f>'2004 Jan-Mar Recovery '!K75+'2004 Apr-Dec Reovery '!L76</f>
        <v>172.23679080247422</v>
      </c>
      <c r="G9" s="49">
        <f t="shared" si="0"/>
        <v>28503.040605633494</v>
      </c>
      <c r="H9" s="49">
        <f>H8+G9</f>
        <v>87102.98827877075</v>
      </c>
      <c r="I9" s="3"/>
      <c r="J9" s="3"/>
    </row>
    <row r="10" spans="1:10" ht="12.75">
      <c r="A10" s="3" t="s">
        <v>19</v>
      </c>
      <c r="B10" s="43">
        <f>'2004 Jan-Mar Recovery '!K13+'2004 Apr-Dec Reovery '!L13</f>
        <v>14543.99619652934</v>
      </c>
      <c r="C10" s="49">
        <f>'2004 Jan-Mar Recovery '!K26+'2004 Apr-Dec Reovery '!L26</f>
        <v>2905.5518503793255</v>
      </c>
      <c r="D10" s="49">
        <f>'2004 Jan-Mar Recovery '!K39+'2004 Apr-Dec Reovery '!L39</f>
        <v>8456.267351781307</v>
      </c>
      <c r="E10" s="49">
        <f>'2004 Jan-Mar Recovery '!K63+'2004 Apr-Dec Reovery '!L64</f>
        <v>8.745266086830217</v>
      </c>
      <c r="F10" s="49">
        <f>'2004 Jan-Mar Recovery '!K76+'2004 Apr-Dec Reovery '!L77</f>
        <v>42.98387000357795</v>
      </c>
      <c r="G10" s="49">
        <f t="shared" si="0"/>
        <v>25957.544534780376</v>
      </c>
      <c r="H10" s="49">
        <f aca="true" t="shared" si="1" ref="H10:H18">H9+G10</f>
        <v>113060.53281355112</v>
      </c>
      <c r="I10" s="3"/>
      <c r="J10" s="3"/>
    </row>
    <row r="11" spans="1:10" ht="12.75">
      <c r="A11" s="3" t="s">
        <v>20</v>
      </c>
      <c r="B11" s="43">
        <f>'2004 Jan-Mar Recovery '!K14+'2004 Apr-Dec Reovery '!L14</f>
        <v>13685.128317039991</v>
      </c>
      <c r="C11" s="49">
        <f>'2004 Jan-Mar Recovery '!K27+'2004 Apr-Dec Reovery '!L27</f>
        <v>5070.447306590594</v>
      </c>
      <c r="D11" s="49">
        <f>'2004 Jan-Mar Recovery '!K40+'2004 Apr-Dec Reovery '!L40</f>
        <v>6256.624554967454</v>
      </c>
      <c r="E11" s="49">
        <f>'2004 Jan-Mar Recovery '!K64+'2004 Apr-Dec Reovery '!L65</f>
        <v>15.270780182449945</v>
      </c>
      <c r="F11" s="49">
        <f>'2004 Jan-Mar Recovery '!K77+'2004 Apr-Dec Reovery '!L78</f>
        <v>43.46179640079175</v>
      </c>
      <c r="G11" s="49">
        <f t="shared" si="0"/>
        <v>25070.932755181282</v>
      </c>
      <c r="H11" s="49">
        <f t="shared" si="1"/>
        <v>138131.4655687324</v>
      </c>
      <c r="I11" s="3"/>
      <c r="J11" s="3"/>
    </row>
    <row r="12" spans="1:10" ht="12.75">
      <c r="A12" s="3" t="s">
        <v>21</v>
      </c>
      <c r="B12" s="43">
        <f>'2004 Jan-Mar Recovery '!K15+'2004 Apr-Dec Reovery '!L15</f>
        <v>11601.665702515218</v>
      </c>
      <c r="C12" s="49">
        <f>'2004 Jan-Mar Recovery '!K28+'2004 Apr-Dec Reovery '!L28</f>
        <v>5937.403289286574</v>
      </c>
      <c r="D12" s="49">
        <f>'2004 Jan-Mar Recovery '!K41+'2004 Apr-Dec Reovery '!L41</f>
        <v>7218.617493657846</v>
      </c>
      <c r="E12" s="49">
        <f>'2004 Jan-Mar Recovery '!K65+'2004 Apr-Dec Reovery '!L66</f>
        <v>16.390968818350952</v>
      </c>
      <c r="F12" s="49">
        <f>'2004 Jan-Mar Recovery '!K78+'2004 Apr-Dec Reovery '!L79</f>
        <v>43.46179640079175</v>
      </c>
      <c r="G12" s="49">
        <f t="shared" si="0"/>
        <v>24817.539250678783</v>
      </c>
      <c r="H12" s="49">
        <f t="shared" si="1"/>
        <v>162949.0048194112</v>
      </c>
      <c r="I12" s="3"/>
      <c r="J12" s="3"/>
    </row>
    <row r="13" spans="1:10" ht="12.75">
      <c r="A13" s="3" t="s">
        <v>22</v>
      </c>
      <c r="B13" s="43">
        <f>'2004 Jan-Mar Recovery '!K16+'2004 Apr-Dec Reovery '!L16</f>
        <v>11104.732295431979</v>
      </c>
      <c r="C13" s="49">
        <f>'2004 Jan-Mar Recovery '!K29+'2004 Apr-Dec Reovery '!L29</f>
        <v>5810.721405678033</v>
      </c>
      <c r="D13" s="49">
        <f>'2004 Jan-Mar Recovery '!K42+'2004 Apr-Dec Reovery '!L42</f>
        <v>8340.013920809026</v>
      </c>
      <c r="E13" s="49">
        <f>'2004 Jan-Mar Recovery '!K66+'2004 Apr-Dec Reovery '!L67</f>
        <v>15.876588273068176</v>
      </c>
      <c r="F13" s="49">
        <f>'2004 Jan-Mar Recovery '!K79+'2004 Apr-Dec Reovery '!L80</f>
        <v>0.4779263972137982</v>
      </c>
      <c r="G13" s="49">
        <f t="shared" si="0"/>
        <v>25271.82213658932</v>
      </c>
      <c r="H13" s="49">
        <f t="shared" si="1"/>
        <v>188220.82695600053</v>
      </c>
      <c r="I13" s="3"/>
      <c r="J13" s="3"/>
    </row>
    <row r="14" spans="1:10" ht="12.75">
      <c r="A14" s="3" t="s">
        <v>23</v>
      </c>
      <c r="B14" s="43">
        <f>'2004 Jan-Mar Recovery '!K17+'2004 Apr-Dec Reovery '!L17</f>
        <v>11754.916050194977</v>
      </c>
      <c r="C14" s="49">
        <f>'2004 Jan-Mar Recovery '!K30+'2004 Apr-Dec Reovery '!L30</f>
        <v>5962.560867300711</v>
      </c>
      <c r="D14" s="49">
        <f>'2004 Jan-Mar Recovery '!K43+'2004 Apr-Dec Reovery '!L43</f>
        <v>7568.77463035372</v>
      </c>
      <c r="E14" s="49">
        <f>'2004 Jan-Mar Recovery '!K67+'2004 Apr-Dec Reovery '!L68</f>
        <v>15.202299484742323</v>
      </c>
      <c r="F14" s="49">
        <f>'2004 Jan-Mar Recovery '!K80+'2004 Apr-Dec Reovery '!L81</f>
        <v>86.44566640436969</v>
      </c>
      <c r="G14" s="49">
        <f t="shared" si="0"/>
        <v>25387.89951373852</v>
      </c>
      <c r="H14" s="49">
        <f t="shared" si="1"/>
        <v>213608.72646973905</v>
      </c>
      <c r="I14" s="3"/>
      <c r="J14" s="3"/>
    </row>
    <row r="15" spans="1:10" ht="12.75">
      <c r="A15" s="3" t="s">
        <v>24</v>
      </c>
      <c r="B15" s="43">
        <f>'2004 Jan-Mar Recovery '!K18+'2004 Apr-Dec Reovery '!L18</f>
        <v>10926.746809673345</v>
      </c>
      <c r="C15" s="49">
        <f>'2004 Jan-Mar Recovery '!K31+'2004 Apr-Dec Reovery '!L31</f>
        <v>5705.591921912688</v>
      </c>
      <c r="D15" s="49">
        <f>'2004 Jan-Mar Recovery '!K44+'2004 Apr-Dec Reovery '!L44</f>
        <v>7038.87183879083</v>
      </c>
      <c r="E15" s="49">
        <f>'2004 Jan-Mar Recovery '!K68+'2004 Apr-Dec Reovery '!L69</f>
        <v>15.202299484742323</v>
      </c>
      <c r="F15" s="49">
        <f>'2004 Jan-Mar Recovery '!K81+'2004 Apr-Dec Reovery '!L82</f>
        <v>43.30790711304526</v>
      </c>
      <c r="G15" s="49">
        <f t="shared" si="0"/>
        <v>23729.72077697465</v>
      </c>
      <c r="H15" s="49">
        <f t="shared" si="1"/>
        <v>237338.4472467137</v>
      </c>
      <c r="I15" s="3"/>
      <c r="J15" s="3"/>
    </row>
    <row r="16" spans="1:10" ht="12.75">
      <c r="A16" s="3" t="s">
        <v>25</v>
      </c>
      <c r="B16" s="43">
        <f>'2004 Jan-Mar Recovery '!K19+'2004 Apr-Dec Reovery '!L19</f>
        <v>11188.537141855555</v>
      </c>
      <c r="C16" s="49">
        <f>'2004 Jan-Mar Recovery '!K32+'2004 Apr-Dec Reovery '!L32</f>
        <v>5634.430213026466</v>
      </c>
      <c r="D16" s="49">
        <f>'2004 Jan-Mar Recovery '!K45+'2004 Apr-Dec Reovery '!L45</f>
        <v>7002.695670651718</v>
      </c>
      <c r="E16" s="49">
        <f>'2004 Jan-Mar Recovery '!K69+'2004 Apr-Dec Reovery '!L70</f>
        <v>15.711237426482663</v>
      </c>
      <c r="F16" s="49">
        <f>'2004 Jan-Mar Recovery '!K82+'2004 Apr-Dec Reovery '!L83</f>
        <v>43.46179640079175</v>
      </c>
      <c r="G16" s="49">
        <f t="shared" si="0"/>
        <v>23884.836059361012</v>
      </c>
      <c r="H16" s="49">
        <f t="shared" si="1"/>
        <v>261223.28330607474</v>
      </c>
      <c r="I16" s="3"/>
      <c r="J16" s="3"/>
    </row>
    <row r="17" spans="1:10" ht="12.75">
      <c r="A17" s="3" t="s">
        <v>26</v>
      </c>
      <c r="B17" s="43">
        <f>'2004 Jan-Mar Recovery '!K20+'2004 Apr-Dec Reovery '!L20</f>
        <v>11500.816490609082</v>
      </c>
      <c r="C17" s="49">
        <f>'2004 Jan-Mar Recovery '!K33+'2004 Apr-Dec Reovery '!L33</f>
        <v>5866.6789492407115</v>
      </c>
      <c r="D17" s="49">
        <f>'2004 Jan-Mar Recovery '!K46+'2004 Apr-Dec Reovery '!L46</f>
        <v>6961.764207528391</v>
      </c>
      <c r="E17" s="49">
        <f>'2004 Jan-Mar Recovery '!K70+'2004 Apr-Dec Reovery '!L71</f>
        <v>7.140538883836439</v>
      </c>
      <c r="F17" s="49">
        <f>'2004 Jan-Mar Recovery '!K83+'2004 Apr-Dec Reovery '!L84</f>
        <v>43.46179640079175</v>
      </c>
      <c r="G17" s="49">
        <f t="shared" si="0"/>
        <v>24379.861982662813</v>
      </c>
      <c r="H17" s="49">
        <f t="shared" si="1"/>
        <v>285603.14528873755</v>
      </c>
      <c r="I17" s="3"/>
      <c r="J17" s="3"/>
    </row>
    <row r="18" spans="1:10" ht="15">
      <c r="A18" s="3" t="s">
        <v>27</v>
      </c>
      <c r="B18" s="58">
        <f>'2004 Jan-Mar Recovery '!K21+'2004 Apr-Dec Reovery '!L21</f>
        <v>12071.59475464416</v>
      </c>
      <c r="C18" s="59">
        <f>'2004 Jan-Mar Recovery '!K34+'2004 Apr-Dec Reovery '!L34</f>
        <v>5550.735320278301</v>
      </c>
      <c r="D18" s="59">
        <f>'2004 Jan-Mar Recovery '!K47+'2004 Apr-Dec Reovery '!L47</f>
        <v>6247.3546388761115</v>
      </c>
      <c r="E18" s="59">
        <f>'2004 Jan-Mar Recovery '!K71+'2004 Apr-Dec Reovery '!L72</f>
        <v>17.498656928456242</v>
      </c>
      <c r="F18" s="59">
        <f>'2004 Jan-Mar Recovery '!K84+'2004 Apr-Dec Reovery '!L85</f>
        <v>39.638385223081364</v>
      </c>
      <c r="G18" s="59">
        <f t="shared" si="0"/>
        <v>23926.821755950114</v>
      </c>
      <c r="H18" s="49">
        <f t="shared" si="1"/>
        <v>309529.96704468766</v>
      </c>
      <c r="I18" s="3"/>
      <c r="J18" s="3"/>
    </row>
    <row r="19" spans="1:10" ht="12.75">
      <c r="A19" s="3"/>
      <c r="B19" s="49"/>
      <c r="C19" s="49"/>
      <c r="D19" s="49"/>
      <c r="E19" s="49"/>
      <c r="F19" s="49"/>
      <c r="G19" s="49"/>
      <c r="H19" s="49"/>
      <c r="I19" s="3"/>
      <c r="J19" s="3"/>
    </row>
    <row r="20" spans="1:10" ht="12.75">
      <c r="A20" s="3" t="s">
        <v>50</v>
      </c>
      <c r="B20" s="49">
        <f>SUM(B7:B16)</f>
        <v>134805.8063776298</v>
      </c>
      <c r="C20" s="49">
        <f>SUM(C7:C16)</f>
        <v>46975.566808275704</v>
      </c>
      <c r="D20" s="49">
        <f>SUM(D7:D16)</f>
        <v>78326.53153175524</v>
      </c>
      <c r="E20" s="49">
        <f>SUM(E7:E16)</f>
        <v>126.33306765380947</v>
      </c>
      <c r="F20" s="49">
        <f>SUM(F7:F16)</f>
        <v>989.0455207601696</v>
      </c>
      <c r="G20" s="49">
        <f>SUM(G7:G18)</f>
        <v>309529.96704468766</v>
      </c>
      <c r="H20" s="49"/>
      <c r="I20" s="3"/>
      <c r="J20" s="3"/>
    </row>
    <row r="21" spans="1:10" ht="12.75">
      <c r="A21" s="3"/>
      <c r="B21" s="49"/>
      <c r="C21" s="49"/>
      <c r="D21" s="49"/>
      <c r="E21" s="49"/>
      <c r="F21" s="49"/>
      <c r="G21" s="49"/>
      <c r="H21" s="49"/>
      <c r="I21" s="3"/>
      <c r="J21" s="3"/>
    </row>
    <row r="22" spans="1:10" ht="12.75">
      <c r="A22" s="3"/>
      <c r="B22" s="49"/>
      <c r="C22" s="49"/>
      <c r="D22" s="49"/>
      <c r="E22" s="49"/>
      <c r="F22" s="49"/>
      <c r="G22" s="54"/>
      <c r="H22" s="49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sheetProtection/>
  <mergeCells count="3">
    <mergeCell ref="D1:G1"/>
    <mergeCell ref="D2:G2"/>
    <mergeCell ref="D3:G3"/>
  </mergeCells>
  <printOptions/>
  <pageMargins left="0.75" right="0.75" top="1" bottom="1" header="0.5" footer="0.5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Midland Power Utility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Midland Power Utility Corp.</dc:creator>
  <cp:keywords/>
  <dc:description/>
  <cp:lastModifiedBy>Phil Marley</cp:lastModifiedBy>
  <cp:lastPrinted>2011-10-06T12:54:30Z</cp:lastPrinted>
  <dcterms:created xsi:type="dcterms:W3CDTF">2006-04-20T19:07:33Z</dcterms:created>
  <dcterms:modified xsi:type="dcterms:W3CDTF">2011-10-06T12:57:06Z</dcterms:modified>
  <cp:category/>
  <cp:version/>
  <cp:contentType/>
  <cp:contentStatus/>
</cp:coreProperties>
</file>