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640" activeTab="0"/>
  </bookViews>
  <sheets>
    <sheet name="Revenue Requirement" sheetId="1" r:id="rId1"/>
    <sheet name="PILs" sheetId="2" r:id="rId2"/>
    <sheet name="Avg Nt Fix Ass &amp;UCC" sheetId="3" r:id="rId3"/>
    <sheet name="Weighted Avg Direct Benefit" sheetId="4" r:id="rId4"/>
  </sheets>
  <externalReferences>
    <externalReference r:id="rId7"/>
    <externalReference r:id="rId8"/>
    <externalReference r:id="rId9"/>
  </externalReferences>
  <definedNames/>
  <calcPr fullCalcOnLoad="1"/>
</workbook>
</file>

<file path=xl/sharedStrings.xml><?xml version="1.0" encoding="utf-8"?>
<sst xmlns="http://schemas.openxmlformats.org/spreadsheetml/2006/main" count="178" uniqueCount="88">
  <si>
    <t>OM&amp;A</t>
  </si>
  <si>
    <t>WCA</t>
  </si>
  <si>
    <t>Deemed Equity</t>
  </si>
  <si>
    <t>Deemed ST Debt</t>
  </si>
  <si>
    <t>Deemed LT Debt</t>
  </si>
  <si>
    <t>ST Interest</t>
  </si>
  <si>
    <t>LT Interest</t>
  </si>
  <si>
    <t>ROE</t>
  </si>
  <si>
    <t>Grossed-up PILs</t>
  </si>
  <si>
    <t>Revenue Requirement</t>
  </si>
  <si>
    <t>Amortization</t>
  </si>
  <si>
    <t>PILs Calculation</t>
  </si>
  <si>
    <t>INCOME TAX</t>
  </si>
  <si>
    <t>Net Income</t>
  </si>
  <si>
    <t>Change in taxable income</t>
  </si>
  <si>
    <t>Income Taxes Payable</t>
  </si>
  <si>
    <t>ONTARIO CAPITAL TAX</t>
  </si>
  <si>
    <t>Less: Exemption</t>
  </si>
  <si>
    <t>Deemed Taxable Capital</t>
  </si>
  <si>
    <t>Ontario Capital Tax Rate</t>
  </si>
  <si>
    <t>Net Amount (Taxable Capital x Rate)</t>
  </si>
  <si>
    <t>Gross Up</t>
  </si>
  <si>
    <t>PILs Payable</t>
  </si>
  <si>
    <t>Change in Income Taxes Payable</t>
  </si>
  <si>
    <t>Change in OCT</t>
  </si>
  <si>
    <t>PIL's</t>
  </si>
  <si>
    <t>Grossed Up PILs</t>
  </si>
  <si>
    <t>Opening Capital Investment</t>
  </si>
  <si>
    <t>Closing Capital Investment</t>
  </si>
  <si>
    <t>Opening Accumulated Amortization</t>
  </si>
  <si>
    <t>Closing Accumulated Amortization</t>
  </si>
  <si>
    <t>Opening Net Fixed Assets</t>
  </si>
  <si>
    <t>Closing Net Fixed Assets</t>
  </si>
  <si>
    <t>Average Net Fixed Assets</t>
  </si>
  <si>
    <t>For PILs Calculation</t>
  </si>
  <si>
    <t>Opening UCC</t>
  </si>
  <si>
    <t>Capital Additions</t>
  </si>
  <si>
    <t>UCC Before Half Year Rule</t>
  </si>
  <si>
    <t>Half Year Rule (1/2 Additions - Disposals)</t>
  </si>
  <si>
    <t>Reduced UCC</t>
  </si>
  <si>
    <t>CCA</t>
  </si>
  <si>
    <t>Closing UCC</t>
  </si>
  <si>
    <t>CCA Rate Class</t>
  </si>
  <si>
    <t xml:space="preserve">CCA Rate </t>
  </si>
  <si>
    <r>
      <t>Amortization</t>
    </r>
    <r>
      <rPr>
        <i/>
        <sz val="8"/>
        <rFont val="Arial"/>
        <family val="2"/>
      </rPr>
      <t xml:space="preserve"> </t>
    </r>
  </si>
  <si>
    <t>Net Fixed Assets</t>
  </si>
  <si>
    <t>Capital Investment</t>
  </si>
  <si>
    <t>Amortization Year One</t>
  </si>
  <si>
    <t>Amortization Thereafter</t>
  </si>
  <si>
    <t>Tax Rate</t>
  </si>
  <si>
    <t>Rate Base</t>
  </si>
  <si>
    <t>Direct Benefit %</t>
  </si>
  <si>
    <t>Provincial Rate Protection</t>
  </si>
  <si>
    <t>Total # of Customers (excl connections)</t>
  </si>
  <si>
    <t>For example, based on the provisionally approved methodology and allocation (i.e., dollar amounts) proposed by Hydro One as part of its 2010 and 2011 distribution rates application, those dollar amounts represent 6% for REI investments and 17% for Expansion investments. (pg 15)</t>
  </si>
  <si>
    <t>Cost</t>
  </si>
  <si>
    <t>TOTAL</t>
  </si>
  <si>
    <t xml:space="preserve">Direct Benefit </t>
  </si>
  <si>
    <t>Capital</t>
  </si>
  <si>
    <t>Direct Benefit % on capital</t>
  </si>
  <si>
    <t>Direct Benefit on capital</t>
  </si>
  <si>
    <t>Total Direct Benefit</t>
  </si>
  <si>
    <t>Renewable Connections Capital - Expansions</t>
  </si>
  <si>
    <t>Renewable Connections Capital - Renewable Enabling Improvements</t>
  </si>
  <si>
    <t>Feeder Automation Projects</t>
  </si>
  <si>
    <t>Direct Benefit</t>
  </si>
  <si>
    <t>Weighted Average Direct Benefit %</t>
  </si>
  <si>
    <t>2011 + 2012</t>
  </si>
  <si>
    <t xml:space="preserve">GEA Rate Adder </t>
  </si>
  <si>
    <t>Monthly Adder Amount Paid by IESO</t>
  </si>
  <si>
    <t>Total</t>
  </si>
  <si>
    <t>25 years</t>
  </si>
  <si>
    <t>Note (3): Revenue collected to be recorded in Account 1533 Renewable Generation Connection Funding Adder Deferral - sub-account Revenue Colected from Ratepayers</t>
  </si>
  <si>
    <t>Proposed GEA Funding Rate Adder- Combined Renewable Generation Capital and OM&amp;A Smart Grid</t>
  </si>
  <si>
    <t xml:space="preserve">Note (2): Revenue collected to be recorded in Account 1536 Smart Grid Funding Adder Deferral </t>
  </si>
  <si>
    <t>GEA Smart Grid - Funding Rate Adder Calculation</t>
  </si>
  <si>
    <t>5 years</t>
  </si>
  <si>
    <t>Capital Investment- Computer Hardware</t>
  </si>
  <si>
    <t>Capital Investment - electric vehicles</t>
  </si>
  <si>
    <t>Net Fixed Assets 1</t>
  </si>
  <si>
    <t>Net Fixed Assets - 2</t>
  </si>
  <si>
    <t>UCC - 1</t>
  </si>
  <si>
    <t>UCC - 2</t>
  </si>
  <si>
    <t>Computer Hardware</t>
  </si>
  <si>
    <t>UCC - 3</t>
  </si>
  <si>
    <t>Electric Vehicles</t>
  </si>
  <si>
    <t>Application Software</t>
  </si>
  <si>
    <t>Net Fixed Assets - 3</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</si>
</sst>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_-* #,##0.0_-;\-* #,##0.0_-;_-* &quot;-&quot;?_-;_-@_-"/>
    <numFmt numFmtId="175" formatCode="0.0%"/>
    <numFmt numFmtId="176" formatCode="0.000%"/>
    <numFmt numFmtId="177" formatCode="_-&quot;$&quot;* #,##0.000_-;\-&quot;$&quot;* #,##0.000_-;_-&quot;$&quot;* &quot;-&quot;??_-;_-@_-"/>
    <numFmt numFmtId="178" formatCode="_-* #,##0.000_-;\-* #,##0.000_-;_-* &quot;-&quot;??_-;_-@_-"/>
    <numFmt numFmtId="179" formatCode="_-* #,##0.0000_-;\-* #,##0.0000_-;_-* &quot;-&quot;??_-;_-@_-"/>
    <numFmt numFmtId="180" formatCode="_-* #,##0.000_-;\-* #,##0.000_-;_-* &quot;-&quot;???_-;_-@_-"/>
    <numFmt numFmtId="181" formatCode="0.0000%"/>
    <numFmt numFmtId="182" formatCode="_-* #,##0.0000_-;\-* #,##0.0000_-;_-* &quot;-&quot;????_-;_-@_-"/>
    <numFmt numFmtId="183" formatCode="_-* #,##0.0_-;\-* #,##0.0_-;_-* &quot;-&quot;??_-;_-@_-"/>
    <numFmt numFmtId="184" formatCode="_-* #,##0_-;\-* #,##0_-;_-* &quot;-&quot;??_-;_-@_-"/>
    <numFmt numFmtId="185" formatCode="[$-409]mmmm\ d\,\ yyyy;@"/>
    <numFmt numFmtId="186" formatCode="#,##0_ ;[Red]\-#,##0\ "/>
    <numFmt numFmtId="187" formatCode="0.0"/>
    <numFmt numFmtId="188" formatCode="[$-F800]dddd\,\ mmmm\ dd\,\ yyyy"/>
    <numFmt numFmtId="189" formatCode="_-&quot;$&quot;* #,##0.0000_-;\-&quot;$&quot;* #,##0.0000_-;_-&quot;$&quot;* &quot;-&quot;????_-;_-@_-"/>
    <numFmt numFmtId="190" formatCode="_(* #,##0.0000_);_(* \(#,##0.0000\);_(* &quot;-&quot;??_);_(@_)"/>
    <numFmt numFmtId="191" formatCode="0_);[Red]\(0\)"/>
    <numFmt numFmtId="192" formatCode="&quot;$&quot;#,##0.00;[Red]&quot;$&quot;#,##0.00"/>
    <numFmt numFmtId="193" formatCode="_-&quot;$&quot;* #,##0.000_-;\-&quot;$&quot;* #,##0.000_-;_-&quot;$&quot;* &quot;-&quot;???_-;_-@_-"/>
    <numFmt numFmtId="194" formatCode="_-* #,##0.00000_-;\-* #,##0.00000_-;_-* &quot;-&quot;??_-;_-@_-"/>
    <numFmt numFmtId="195" formatCode="0.000"/>
    <numFmt numFmtId="196" formatCode="_-&quot;$&quot;* #,##0.0000_-;\-&quot;$&quot;* #,##0.0000_-;_-&quot;$&quot;* &quot;-&quot;??_-;_-@_-"/>
    <numFmt numFmtId="197" formatCode="&quot;Yes&quot;;&quot;Yes&quot;;&quot;No&quot;"/>
    <numFmt numFmtId="198" formatCode="&quot;True&quot;;&quot;True&quot;;&quot;False&quot;"/>
    <numFmt numFmtId="199" formatCode="&quot;On&quot;;&quot;On&quot;;&quot;Off&quot;"/>
    <numFmt numFmtId="200" formatCode="[$€-2]\ #,##0.00_);[Red]\([$€-2]\ #,##0.00\)"/>
    <numFmt numFmtId="201" formatCode="&quot;$&quot;#,##0.00"/>
    <numFmt numFmtId="202" formatCode="&quot;$&quot;#,##0"/>
    <numFmt numFmtId="203" formatCode="&quot;$&quot;#,##0.0000_);[Red]\(&quot;$&quot;#,##0.0000\)"/>
    <numFmt numFmtId="204" formatCode="_(&quot;$&quot;* #,##0.0000_);_(&quot;$&quot;* \(#,##0.0000\);_(&quot;$&quot;* &quot;-&quot;????_);_(@_)"/>
  </numFmts>
  <fonts count="32">
    <font>
      <sz val="12"/>
      <name val="Arial"/>
      <family val="0"/>
    </font>
    <font>
      <b/>
      <sz val="12"/>
      <name val="Arial"/>
      <family val="2"/>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u val="single"/>
      <sz val="7.5"/>
      <color indexed="36"/>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7.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20"/>
      <name val="Arial"/>
      <family val="2"/>
    </font>
    <font>
      <b/>
      <sz val="10"/>
      <name val="Arial"/>
      <family val="2"/>
    </font>
    <font>
      <sz val="10"/>
      <color indexed="12"/>
      <name val="Arial"/>
      <family val="2"/>
    </font>
    <font>
      <i/>
      <sz val="8"/>
      <name val="Arial"/>
      <family val="2"/>
    </font>
    <font>
      <b/>
      <sz val="10"/>
      <color indexed="10"/>
      <name val="Arial"/>
      <family val="2"/>
    </font>
    <font>
      <b/>
      <sz val="14"/>
      <name val="Arial"/>
      <family val="2"/>
    </font>
    <font>
      <u val="single"/>
      <sz val="10"/>
      <color indexed="12"/>
      <name val="Arial"/>
      <family val="2"/>
    </font>
    <font>
      <sz val="12"/>
      <color indexed="8"/>
      <name val="Arial"/>
      <family val="2"/>
    </font>
    <font>
      <sz val="12"/>
      <color rgb="FF00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rgb="FFFFFF00"/>
        <bgColor indexed="64"/>
      </patternFill>
    </fill>
    <fill>
      <patternFill patternType="solid">
        <fgColor theme="8" tint="0.39998000860214233"/>
        <bgColor indexed="64"/>
      </patternFill>
    </fill>
    <fill>
      <patternFill patternType="solid">
        <fgColor theme="4" tint="0.7999799847602844"/>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thin"/>
      <bottom style="thin"/>
    </border>
    <border>
      <left>
        <color indexed="63"/>
      </left>
      <right style="thin"/>
      <top>
        <color indexed="63"/>
      </top>
      <bottom>
        <color indexed="63"/>
      </bottom>
    </border>
    <border>
      <left style="medium"/>
      <right style="thin"/>
      <top style="medium"/>
      <bottom style="medium"/>
    </border>
    <border>
      <left style="thin"/>
      <right style="medium"/>
      <top style="medium"/>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8"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43">
    <xf numFmtId="0" fontId="0" fillId="0" borderId="0" xfId="0" applyAlignment="1">
      <alignment/>
    </xf>
    <xf numFmtId="170" fontId="0" fillId="0" borderId="0" xfId="46" applyFont="1" applyAlignment="1">
      <alignment/>
    </xf>
    <xf numFmtId="173" fontId="0" fillId="0" borderId="0" xfId="46" applyNumberFormat="1" applyFont="1" applyAlignment="1">
      <alignment/>
    </xf>
    <xf numFmtId="173" fontId="0" fillId="0" borderId="0" xfId="0" applyNumberFormat="1" applyAlignment="1">
      <alignment/>
    </xf>
    <xf numFmtId="173" fontId="0" fillId="0" borderId="10" xfId="0" applyNumberFormat="1" applyBorder="1" applyAlignment="1">
      <alignment/>
    </xf>
    <xf numFmtId="10" fontId="0" fillId="0" borderId="0" xfId="68" applyNumberFormat="1" applyFont="1" applyAlignment="1">
      <alignment/>
    </xf>
    <xf numFmtId="9" fontId="0" fillId="0" borderId="0" xfId="0" applyNumberFormat="1" applyAlignment="1">
      <alignment horizontal="center"/>
    </xf>
    <xf numFmtId="9" fontId="0" fillId="0" borderId="0" xfId="68" applyFont="1" applyBorder="1" applyAlignment="1">
      <alignment horizontal="center"/>
    </xf>
    <xf numFmtId="9" fontId="0" fillId="0" borderId="0" xfId="68" applyFont="1" applyAlignment="1">
      <alignment horizontal="center"/>
    </xf>
    <xf numFmtId="10" fontId="0" fillId="0" borderId="0" xfId="68" applyNumberFormat="1" applyFont="1" applyAlignment="1">
      <alignment horizontal="center"/>
    </xf>
    <xf numFmtId="173" fontId="0" fillId="0" borderId="11" xfId="0" applyNumberFormat="1" applyBorder="1" applyAlignment="1">
      <alignment/>
    </xf>
    <xf numFmtId="173" fontId="0" fillId="0" borderId="12" xfId="0" applyNumberFormat="1" applyBorder="1" applyAlignment="1">
      <alignment/>
    </xf>
    <xf numFmtId="10" fontId="0" fillId="0" borderId="0" xfId="0" applyNumberFormat="1" applyAlignment="1">
      <alignment/>
    </xf>
    <xf numFmtId="173" fontId="0" fillId="0" borderId="0" xfId="0" applyNumberFormat="1" applyFont="1" applyAlignment="1">
      <alignment/>
    </xf>
    <xf numFmtId="0" fontId="0" fillId="0" borderId="0" xfId="0" applyFill="1" applyAlignment="1">
      <alignment/>
    </xf>
    <xf numFmtId="0" fontId="8" fillId="0" borderId="0" xfId="63" applyFill="1" applyProtection="1">
      <alignment/>
      <protection/>
    </xf>
    <xf numFmtId="0" fontId="23" fillId="0" borderId="0" xfId="63" applyFont="1" applyFill="1" applyProtection="1">
      <alignment/>
      <protection/>
    </xf>
    <xf numFmtId="0" fontId="8" fillId="0" borderId="0" xfId="63" applyFill="1">
      <alignment/>
      <protection/>
    </xf>
    <xf numFmtId="0" fontId="8" fillId="0" borderId="0" xfId="63" applyFill="1" applyAlignment="1" applyProtection="1">
      <alignment horizontal="center"/>
      <protection/>
    </xf>
    <xf numFmtId="0" fontId="24" fillId="0" borderId="0" xfId="63" applyFont="1" applyFill="1" applyProtection="1">
      <alignment/>
      <protection/>
    </xf>
    <xf numFmtId="170" fontId="8" fillId="0" borderId="11" xfId="46" applyFont="1" applyFill="1" applyBorder="1" applyAlignment="1" applyProtection="1">
      <alignment/>
      <protection/>
    </xf>
    <xf numFmtId="10" fontId="25" fillId="0" borderId="0" xfId="63" applyNumberFormat="1" applyFont="1" applyFill="1" applyAlignment="1" applyProtection="1">
      <alignment horizontal="center"/>
      <protection/>
    </xf>
    <xf numFmtId="170" fontId="8" fillId="0" borderId="0" xfId="46" applyFont="1" applyFill="1" applyAlignment="1" applyProtection="1">
      <alignment/>
      <protection/>
    </xf>
    <xf numFmtId="176" fontId="8" fillId="0" borderId="0" xfId="65" applyNumberFormat="1" applyFill="1">
      <alignment/>
      <protection/>
    </xf>
    <xf numFmtId="176" fontId="8" fillId="0" borderId="0" xfId="68" applyNumberFormat="1" applyFont="1" applyFill="1" applyAlignment="1" applyProtection="1">
      <alignment/>
      <protection/>
    </xf>
    <xf numFmtId="0" fontId="1" fillId="0" borderId="0" xfId="63" applyFont="1" applyFill="1" applyAlignment="1" applyProtection="1">
      <alignment horizontal="left"/>
      <protection/>
    </xf>
    <xf numFmtId="10" fontId="8" fillId="0" borderId="0" xfId="63" applyNumberFormat="1" applyFill="1" applyAlignment="1" applyProtection="1">
      <alignment horizontal="center"/>
      <protection/>
    </xf>
    <xf numFmtId="0" fontId="8" fillId="0" borderId="0" xfId="63" applyFill="1" applyAlignment="1" applyProtection="1">
      <alignment horizontal="center" wrapText="1"/>
      <protection/>
    </xf>
    <xf numFmtId="170" fontId="27" fillId="0" borderId="11" xfId="46" applyFont="1" applyFill="1" applyBorder="1" applyAlignment="1" applyProtection="1">
      <alignment/>
      <protection/>
    </xf>
    <xf numFmtId="0" fontId="8" fillId="0" borderId="0" xfId="64" applyFill="1" applyProtection="1">
      <alignment/>
      <protection/>
    </xf>
    <xf numFmtId="0" fontId="23" fillId="0" borderId="0" xfId="64" applyFont="1" applyFill="1" applyProtection="1">
      <alignment/>
      <protection/>
    </xf>
    <xf numFmtId="0" fontId="28" fillId="0" borderId="0" xfId="64" applyFont="1" applyFill="1" applyProtection="1">
      <alignment/>
      <protection/>
    </xf>
    <xf numFmtId="0" fontId="8" fillId="0" borderId="0" xfId="64" applyFont="1" applyFill="1" applyProtection="1">
      <alignment/>
      <protection/>
    </xf>
    <xf numFmtId="173" fontId="0" fillId="0" borderId="0" xfId="46" applyNumberFormat="1" applyFont="1" applyFill="1" applyAlignment="1">
      <alignment/>
    </xf>
    <xf numFmtId="173" fontId="8" fillId="0" borderId="0" xfId="46" applyNumberFormat="1" applyFont="1" applyFill="1" applyAlignment="1" applyProtection="1">
      <alignment/>
      <protection/>
    </xf>
    <xf numFmtId="173" fontId="8" fillId="0" borderId="0" xfId="46" applyNumberFormat="1" applyFont="1" applyFill="1" applyAlignment="1" applyProtection="1">
      <alignment horizontal="center"/>
      <protection/>
    </xf>
    <xf numFmtId="173" fontId="8" fillId="0" borderId="11" xfId="46" applyNumberFormat="1" applyFont="1" applyFill="1" applyBorder="1" applyAlignment="1" applyProtection="1">
      <alignment/>
      <protection/>
    </xf>
    <xf numFmtId="173" fontId="25" fillId="4" borderId="0" xfId="46" applyNumberFormat="1" applyFont="1" applyFill="1" applyBorder="1" applyAlignment="1" applyProtection="1">
      <alignment/>
      <protection/>
    </xf>
    <xf numFmtId="173" fontId="8" fillId="0" borderId="0" xfId="46" applyNumberFormat="1" applyFont="1" applyFill="1" applyBorder="1" applyAlignment="1" applyProtection="1">
      <alignment/>
      <protection/>
    </xf>
    <xf numFmtId="173" fontId="8" fillId="0" borderId="0" xfId="46" applyNumberFormat="1" applyFont="1" applyFill="1" applyAlignment="1">
      <alignment/>
    </xf>
    <xf numFmtId="173" fontId="8" fillId="0" borderId="10" xfId="46" applyNumberFormat="1" applyFont="1" applyFill="1" applyBorder="1" applyAlignment="1" applyProtection="1">
      <alignment/>
      <protection/>
    </xf>
    <xf numFmtId="0" fontId="8" fillId="0" borderId="0" xfId="46" applyNumberFormat="1" applyFont="1" applyFill="1" applyAlignment="1" applyProtection="1">
      <alignment horizontal="center"/>
      <protection/>
    </xf>
    <xf numFmtId="0" fontId="8" fillId="4" borderId="0" xfId="46" applyNumberFormat="1" applyFont="1" applyFill="1" applyAlignment="1" applyProtection="1">
      <alignment horizontal="center"/>
      <protection/>
    </xf>
    <xf numFmtId="9" fontId="8" fillId="4" borderId="0" xfId="68" applyFont="1" applyFill="1" applyAlignment="1" applyProtection="1">
      <alignment horizontal="center"/>
      <protection/>
    </xf>
    <xf numFmtId="173" fontId="1" fillId="4" borderId="0" xfId="0" applyNumberFormat="1" applyFont="1" applyFill="1" applyAlignment="1">
      <alignment/>
    </xf>
    <xf numFmtId="168" fontId="0" fillId="0" borderId="0" xfId="0" applyNumberFormat="1" applyAlignment="1">
      <alignment horizontal="center"/>
    </xf>
    <xf numFmtId="173" fontId="25" fillId="0" borderId="0" xfId="46" applyNumberFormat="1" applyFont="1" applyFill="1" applyAlignment="1" applyProtection="1">
      <alignment/>
      <protection/>
    </xf>
    <xf numFmtId="0" fontId="8" fillId="0" borderId="0" xfId="63" applyFont="1" applyFill="1" applyProtection="1">
      <alignment/>
      <protection/>
    </xf>
    <xf numFmtId="173" fontId="25" fillId="0" borderId="12" xfId="46" applyNumberFormat="1" applyFont="1" applyFill="1" applyBorder="1" applyAlignment="1" applyProtection="1">
      <alignment/>
      <protection/>
    </xf>
    <xf numFmtId="170" fontId="8" fillId="4" borderId="0" xfId="46" applyFont="1" applyFill="1" applyAlignment="1" applyProtection="1">
      <alignment/>
      <protection/>
    </xf>
    <xf numFmtId="9" fontId="0" fillId="4" borderId="0" xfId="0" applyNumberFormat="1" applyFill="1" applyAlignment="1">
      <alignment horizontal="center"/>
    </xf>
    <xf numFmtId="9" fontId="0" fillId="4" borderId="0" xfId="68" applyFont="1" applyFill="1" applyBorder="1" applyAlignment="1">
      <alignment horizontal="center"/>
    </xf>
    <xf numFmtId="9" fontId="0" fillId="4" borderId="0" xfId="68" applyFont="1" applyFill="1" applyAlignment="1">
      <alignment horizontal="center"/>
    </xf>
    <xf numFmtId="10" fontId="0" fillId="4" borderId="0" xfId="68" applyNumberFormat="1" applyFont="1" applyFill="1" applyAlignment="1">
      <alignment horizontal="center"/>
    </xf>
    <xf numFmtId="0" fontId="0" fillId="0" borderId="0" xfId="0" applyAlignment="1">
      <alignment wrapText="1"/>
    </xf>
    <xf numFmtId="0" fontId="0" fillId="0" borderId="0" xfId="0" applyFont="1" applyFill="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175" fontId="0" fillId="0" borderId="0" xfId="0" applyNumberFormat="1" applyAlignment="1">
      <alignment horizontal="center"/>
    </xf>
    <xf numFmtId="184" fontId="0" fillId="0" borderId="0" xfId="42" applyNumberFormat="1" applyFont="1" applyAlignment="1">
      <alignment/>
    </xf>
    <xf numFmtId="196" fontId="0" fillId="0" borderId="0" xfId="46" applyNumberFormat="1" applyFont="1" applyAlignment="1">
      <alignment/>
    </xf>
    <xf numFmtId="0" fontId="0" fillId="0" borderId="0" xfId="0" applyFont="1" applyAlignment="1">
      <alignment/>
    </xf>
    <xf numFmtId="0" fontId="0" fillId="14" borderId="0" xfId="0" applyFont="1" applyFill="1" applyAlignment="1">
      <alignment/>
    </xf>
    <xf numFmtId="0" fontId="0" fillId="14" borderId="0" xfId="0" applyFill="1" applyAlignment="1">
      <alignment/>
    </xf>
    <xf numFmtId="173" fontId="0" fillId="14" borderId="0" xfId="0" applyNumberFormat="1" applyFill="1" applyAlignment="1">
      <alignment/>
    </xf>
    <xf numFmtId="0" fontId="7" fillId="24" borderId="16" xfId="0" applyFont="1" applyFill="1" applyBorder="1" applyAlignment="1">
      <alignment horizontal="center" vertical="center"/>
    </xf>
    <xf numFmtId="0" fontId="8" fillId="0" borderId="17" xfId="64" applyFill="1" applyBorder="1" applyProtection="1">
      <alignment/>
      <protection/>
    </xf>
    <xf numFmtId="0" fontId="8" fillId="0" borderId="17" xfId="64" applyFill="1" applyBorder="1" applyAlignment="1" applyProtection="1">
      <alignment wrapText="1"/>
      <protection/>
    </xf>
    <xf numFmtId="0" fontId="8" fillId="0" borderId="17" xfId="0" applyFont="1" applyBorder="1" applyAlignment="1">
      <alignment vertical="center"/>
    </xf>
    <xf numFmtId="0" fontId="7" fillId="24" borderId="18" xfId="0" applyFont="1" applyFill="1" applyBorder="1" applyAlignment="1">
      <alignment horizontal="center" vertical="center"/>
    </xf>
    <xf numFmtId="0" fontId="8" fillId="0" borderId="17" xfId="0" applyFont="1" applyBorder="1" applyAlignment="1">
      <alignment horizontal="right" vertical="center"/>
    </xf>
    <xf numFmtId="184" fontId="8" fillId="0" borderId="17" xfId="42" applyNumberFormat="1" applyFont="1" applyBorder="1" applyAlignment="1">
      <alignment horizontal="right" vertical="center"/>
    </xf>
    <xf numFmtId="0" fontId="1" fillId="0" borderId="0" xfId="64" applyFont="1" applyFill="1" applyProtection="1">
      <alignment/>
      <protection/>
    </xf>
    <xf numFmtId="0" fontId="1" fillId="0" borderId="0" xfId="64" applyFont="1" applyFill="1" applyAlignment="1" applyProtection="1">
      <alignment wrapText="1"/>
      <protection/>
    </xf>
    <xf numFmtId="0" fontId="8" fillId="0" borderId="17" xfId="64" applyFill="1" applyBorder="1" applyAlignment="1" applyProtection="1">
      <alignment horizontal="center"/>
      <protection/>
    </xf>
    <xf numFmtId="0" fontId="8" fillId="0" borderId="17" xfId="0" applyFont="1" applyBorder="1" applyAlignment="1">
      <alignment horizontal="center"/>
    </xf>
    <xf numFmtId="173" fontId="8" fillId="0" borderId="17" xfId="46" applyNumberFormat="1" applyFont="1" applyFill="1" applyBorder="1" applyAlignment="1" applyProtection="1">
      <alignment/>
      <protection/>
    </xf>
    <xf numFmtId="0" fontId="0" fillId="0" borderId="17" xfId="0" applyBorder="1" applyAlignment="1">
      <alignment/>
    </xf>
    <xf numFmtId="0" fontId="8" fillId="0" borderId="17" xfId="0" applyFont="1" applyBorder="1" applyAlignment="1">
      <alignment/>
    </xf>
    <xf numFmtId="10" fontId="8" fillId="0" borderId="17" xfId="68" applyNumberFormat="1" applyFont="1" applyBorder="1" applyAlignment="1">
      <alignment/>
    </xf>
    <xf numFmtId="9" fontId="8" fillId="4" borderId="17" xfId="68" applyFont="1" applyFill="1" applyBorder="1" applyAlignment="1" applyProtection="1">
      <alignment horizontal="center"/>
      <protection/>
    </xf>
    <xf numFmtId="170" fontId="0" fillId="0" borderId="0" xfId="0" applyNumberFormat="1" applyAlignment="1">
      <alignment/>
    </xf>
    <xf numFmtId="171" fontId="0" fillId="0" borderId="0" xfId="0" applyNumberFormat="1" applyAlignment="1">
      <alignment/>
    </xf>
    <xf numFmtId="0" fontId="7" fillId="24" borderId="19" xfId="0" applyFont="1" applyFill="1" applyBorder="1" applyAlignment="1">
      <alignment horizontal="center" vertical="center"/>
    </xf>
    <xf numFmtId="173" fontId="1" fillId="0" borderId="0" xfId="0" applyNumberFormat="1" applyFont="1" applyFill="1" applyAlignment="1">
      <alignment/>
    </xf>
    <xf numFmtId="202" fontId="8" fillId="0" borderId="17" xfId="42" applyNumberFormat="1" applyFont="1" applyBorder="1" applyAlignment="1">
      <alignment horizontal="right" vertical="center"/>
    </xf>
    <xf numFmtId="202" fontId="8" fillId="0" borderId="20" xfId="42" applyNumberFormat="1" applyFont="1" applyFill="1" applyBorder="1" applyAlignment="1">
      <alignment horizontal="right" vertical="center"/>
    </xf>
    <xf numFmtId="202" fontId="8" fillId="0" borderId="0" xfId="0" applyNumberFormat="1" applyFont="1" applyAlignment="1">
      <alignment/>
    </xf>
    <xf numFmtId="202" fontId="8" fillId="0" borderId="17" xfId="0" applyNumberFormat="1" applyFont="1" applyBorder="1" applyAlignment="1">
      <alignment horizontal="right" vertical="center"/>
    </xf>
    <xf numFmtId="0" fontId="0" fillId="0" borderId="0" xfId="0" applyFill="1" applyBorder="1" applyAlignment="1">
      <alignment/>
    </xf>
    <xf numFmtId="201" fontId="8" fillId="0" borderId="0" xfId="46" applyNumberFormat="1" applyFont="1" applyFill="1" applyAlignment="1" applyProtection="1">
      <alignment/>
      <protection/>
    </xf>
    <xf numFmtId="201" fontId="8" fillId="0" borderId="11" xfId="46" applyNumberFormat="1" applyFont="1" applyFill="1" applyBorder="1" applyAlignment="1" applyProtection="1">
      <alignment/>
      <protection/>
    </xf>
    <xf numFmtId="0" fontId="1" fillId="25" borderId="16" xfId="0" applyFont="1" applyFill="1" applyBorder="1" applyAlignment="1">
      <alignment/>
    </xf>
    <xf numFmtId="0" fontId="0" fillId="25" borderId="21" xfId="0" applyFill="1" applyBorder="1" applyAlignment="1">
      <alignment/>
    </xf>
    <xf numFmtId="173" fontId="0" fillId="25" borderId="21" xfId="0" applyNumberFormat="1" applyFill="1" applyBorder="1" applyAlignment="1">
      <alignment/>
    </xf>
    <xf numFmtId="184" fontId="0" fillId="25" borderId="21" xfId="42" applyNumberFormat="1" applyFont="1" applyFill="1" applyBorder="1" applyAlignment="1">
      <alignment/>
    </xf>
    <xf numFmtId="170" fontId="0" fillId="25" borderId="22" xfId="0" applyNumberFormat="1" applyFill="1" applyBorder="1" applyAlignment="1">
      <alignment/>
    </xf>
    <xf numFmtId="0" fontId="0" fillId="0" borderId="17" xfId="0" applyFont="1" applyBorder="1" applyAlignment="1">
      <alignment/>
    </xf>
    <xf numFmtId="173" fontId="0" fillId="0" borderId="0" xfId="0" applyNumberFormat="1" applyFont="1" applyFill="1" applyAlignment="1">
      <alignment/>
    </xf>
    <xf numFmtId="173" fontId="8" fillId="26" borderId="17" xfId="0" applyNumberFormat="1" applyFont="1" applyFill="1" applyBorder="1" applyAlignment="1">
      <alignment/>
    </xf>
    <xf numFmtId="42" fontId="8" fillId="26" borderId="17" xfId="0" applyNumberFormat="1" applyFont="1" applyFill="1" applyBorder="1" applyAlignment="1">
      <alignment/>
    </xf>
    <xf numFmtId="0" fontId="0" fillId="0" borderId="0" xfId="0" applyBorder="1" applyAlignment="1">
      <alignment wrapText="1"/>
    </xf>
    <xf numFmtId="0" fontId="31" fillId="0" borderId="0" xfId="0" applyFont="1" applyBorder="1" applyAlignment="1">
      <alignment horizontal="right" wrapText="1"/>
    </xf>
    <xf numFmtId="203" fontId="31" fillId="0" borderId="0" xfId="0" applyNumberFormat="1" applyFont="1" applyBorder="1" applyAlignment="1">
      <alignment horizontal="right"/>
    </xf>
    <xf numFmtId="0" fontId="0" fillId="0" borderId="0" xfId="0" applyFont="1" applyBorder="1" applyAlignment="1">
      <alignment horizontal="right" wrapText="1"/>
    </xf>
    <xf numFmtId="0" fontId="0" fillId="0" borderId="0" xfId="0" applyBorder="1" applyAlignment="1">
      <alignment horizontal="right" wrapText="1"/>
    </xf>
    <xf numFmtId="44" fontId="0" fillId="14" borderId="0" xfId="0" applyNumberFormat="1" applyFont="1" applyFill="1" applyAlignment="1">
      <alignment/>
    </xf>
    <xf numFmtId="44" fontId="0" fillId="14" borderId="0" xfId="0" applyNumberFormat="1" applyFill="1" applyAlignment="1">
      <alignment/>
    </xf>
    <xf numFmtId="44" fontId="0" fillId="14" borderId="0" xfId="46" applyNumberFormat="1" applyFont="1" applyFill="1" applyAlignment="1">
      <alignment/>
    </xf>
    <xf numFmtId="44" fontId="0" fillId="25" borderId="23" xfId="0" applyNumberFormat="1" applyFill="1" applyBorder="1" applyAlignment="1">
      <alignment/>
    </xf>
    <xf numFmtId="44" fontId="0" fillId="0" borderId="0" xfId="0" applyNumberFormat="1" applyAlignment="1">
      <alignment/>
    </xf>
    <xf numFmtId="0" fontId="0" fillId="0" borderId="0" xfId="0" applyFont="1" applyBorder="1" applyAlignment="1">
      <alignment horizontal="right"/>
    </xf>
    <xf numFmtId="10" fontId="31" fillId="0" borderId="0" xfId="0" applyNumberFormat="1" applyFont="1" applyBorder="1" applyAlignment="1">
      <alignment horizontal="right"/>
    </xf>
    <xf numFmtId="0" fontId="0" fillId="0" borderId="0" xfId="0" applyBorder="1" applyAlignment="1">
      <alignment/>
    </xf>
    <xf numFmtId="44" fontId="1" fillId="27" borderId="24" xfId="0" applyNumberFormat="1" applyFont="1" applyFill="1" applyBorder="1" applyAlignment="1">
      <alignment/>
    </xf>
    <xf numFmtId="44" fontId="1" fillId="27" borderId="17" xfId="0" applyNumberFormat="1" applyFont="1" applyFill="1" applyBorder="1" applyAlignment="1">
      <alignment/>
    </xf>
    <xf numFmtId="44" fontId="1" fillId="0" borderId="0" xfId="0" applyNumberFormat="1" applyFont="1" applyAlignment="1">
      <alignment/>
    </xf>
    <xf numFmtId="44" fontId="1" fillId="27" borderId="13" xfId="0" applyNumberFormat="1" applyFont="1" applyFill="1" applyBorder="1" applyAlignment="1">
      <alignment wrapText="1"/>
    </xf>
    <xf numFmtId="44" fontId="1" fillId="27" borderId="15" xfId="0" applyNumberFormat="1" applyFont="1" applyFill="1" applyBorder="1" applyAlignment="1">
      <alignment wrapText="1"/>
    </xf>
    <xf numFmtId="0" fontId="31" fillId="0" borderId="0" xfId="0" applyFont="1" applyBorder="1" applyAlignment="1">
      <alignment horizontal="right" wrapText="1"/>
    </xf>
    <xf numFmtId="0" fontId="0" fillId="0" borderId="0" xfId="0" applyBorder="1" applyAlignment="1">
      <alignment wrapText="1"/>
    </xf>
    <xf numFmtId="0" fontId="0" fillId="0" borderId="0" xfId="0" applyAlignment="1">
      <alignment/>
    </xf>
    <xf numFmtId="0" fontId="0" fillId="0" borderId="25" xfId="0" applyBorder="1" applyAlignment="1">
      <alignment/>
    </xf>
    <xf numFmtId="0" fontId="0" fillId="0" borderId="0" xfId="0" applyBorder="1" applyAlignment="1">
      <alignment/>
    </xf>
    <xf numFmtId="0" fontId="0" fillId="0" borderId="0" xfId="0" applyFont="1" applyBorder="1" applyAlignment="1">
      <alignment horizontal="right" wrapText="1"/>
    </xf>
    <xf numFmtId="0" fontId="0" fillId="0" borderId="0" xfId="0" applyBorder="1" applyAlignment="1">
      <alignment horizontal="right" wrapText="1"/>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24" fillId="0" borderId="13" xfId="63" applyFont="1" applyFill="1" applyBorder="1" applyAlignment="1" applyProtection="1">
      <alignment horizontal="center"/>
      <protection/>
    </xf>
    <xf numFmtId="0" fontId="24" fillId="0" borderId="14" xfId="63" applyFont="1" applyFill="1" applyBorder="1" applyAlignment="1" applyProtection="1">
      <alignment horizontal="center"/>
      <protection/>
    </xf>
    <xf numFmtId="0" fontId="24" fillId="0" borderId="15" xfId="63" applyFont="1" applyFill="1" applyBorder="1" applyAlignment="1" applyProtection="1">
      <alignment horizontal="center"/>
      <protection/>
    </xf>
    <xf numFmtId="0" fontId="0" fillId="0" borderId="13" xfId="0"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24" fillId="0" borderId="0" xfId="64" applyFont="1" applyFill="1" applyProtection="1">
      <alignment/>
      <protection/>
    </xf>
    <xf numFmtId="0" fontId="28" fillId="0" borderId="0" xfId="64" applyFont="1" applyFill="1" applyBorder="1" applyProtection="1">
      <alignment/>
      <protection/>
    </xf>
    <xf numFmtId="0" fontId="8" fillId="0" borderId="0" xfId="46" applyNumberFormat="1" applyFont="1" applyFill="1" applyBorder="1" applyAlignment="1" applyProtection="1">
      <alignment horizontal="center"/>
      <protection/>
    </xf>
    <xf numFmtId="0" fontId="24" fillId="0" borderId="0" xfId="64" applyFont="1" applyFill="1" applyBorder="1" applyProtection="1">
      <alignment/>
      <protection/>
    </xf>
    <xf numFmtId="0" fontId="8" fillId="0" borderId="0" xfId="64" applyFill="1" applyBorder="1" applyProtection="1">
      <alignment/>
      <protection/>
    </xf>
    <xf numFmtId="173" fontId="8" fillId="0" borderId="0" xfId="46" applyNumberFormat="1" applyFont="1" applyFill="1" applyBorder="1" applyAlignment="1" applyProtection="1">
      <alignment horizont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3" xfId="62"/>
    <cellStyle name="Normal_Sheet2" xfId="63"/>
    <cellStyle name="Normal_Sheet3" xfId="64"/>
    <cellStyle name="Normal_Tax Rates for 2006-2012_Sep42008"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te%20Submissions\2012%20Rate%20-%20Rebasing%20Process\Models\Weather%20Normalization%20Regression%20Model%20-%2020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tt%20Input%20Direct%20Benefit\OEB%2040%20DirectBenefitOMASmartGridTechCostBreakdow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uelph_GEA_Renewable%20Connection%20Rate%20Rider_201111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historical comparison sales"/>
      <sheetName val="Summary"/>
      <sheetName val="HDD CDD trend"/>
      <sheetName val="Purchased Power Model"/>
      <sheetName val="Rate Class Energy Model"/>
      <sheetName val="Rate Class Customer Model"/>
      <sheetName val="Rate Class Load Model"/>
      <sheetName val="Chart3"/>
      <sheetName val="Purchased vs Forecast after adj"/>
      <sheetName val="Chart4"/>
      <sheetName val="Customer growth"/>
      <sheetName val="Statistics"/>
      <sheetName val="Customer Load Pie Graphs"/>
      <sheetName val="Load Charts"/>
      <sheetName val="Sheet1"/>
    </sheetNames>
    <sheetDataSet>
      <sheetData sheetId="2">
        <row r="4">
          <cell r="N4">
            <v>52252.76311567514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33">
          <cell r="L33">
            <v>65250</v>
          </cell>
          <cell r="M33">
            <v>82650</v>
          </cell>
          <cell r="N33">
            <v>91350</v>
          </cell>
          <cell r="O33">
            <v>104400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venue Requirement"/>
      <sheetName val="PILs"/>
      <sheetName val="Avg Nt Fix Ass &amp;UCC"/>
      <sheetName val="Weighted Avg Direct Benefit"/>
    </sheetNames>
    <sheetDataSet>
      <sheetData sheetId="0">
        <row r="23">
          <cell r="F23">
            <v>65250</v>
          </cell>
          <cell r="H23">
            <v>82650</v>
          </cell>
          <cell r="J23">
            <v>91350</v>
          </cell>
          <cell r="L23">
            <v>104400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L68"/>
  <sheetViews>
    <sheetView tabSelected="1" zoomScalePageLayoutView="0" workbookViewId="0" topLeftCell="D4">
      <selection activeCell="F25" sqref="F25"/>
    </sheetView>
  </sheetViews>
  <sheetFormatPr defaultColWidth="8.88671875" defaultRowHeight="15"/>
  <cols>
    <col min="1" max="1" width="2.21484375" style="0" customWidth="1"/>
    <col min="2" max="2" width="40.99609375" style="0" bestFit="1" customWidth="1"/>
    <col min="3" max="3" width="14.5546875" style="0" customWidth="1"/>
    <col min="4" max="4" width="11.5546875" style="0" customWidth="1"/>
    <col min="5" max="6" width="9.5546875" style="0" bestFit="1" customWidth="1"/>
    <col min="7" max="8" width="10.99609375" style="0" bestFit="1" customWidth="1"/>
    <col min="9" max="9" width="10.88671875" style="0" bestFit="1" customWidth="1"/>
    <col min="10" max="10" width="9.5546875" style="0" bestFit="1" customWidth="1"/>
    <col min="11" max="11" width="10.99609375" style="0" bestFit="1" customWidth="1"/>
    <col min="12" max="12" width="9.5546875" style="0" bestFit="1" customWidth="1"/>
    <col min="14" max="14" width="10.99609375" style="0" bestFit="1" customWidth="1"/>
  </cols>
  <sheetData>
    <row r="4" ht="15.75" thickBot="1"/>
    <row r="5" spans="2:4" ht="16.5" thickBot="1">
      <c r="B5" s="56" t="s">
        <v>75</v>
      </c>
      <c r="C5" s="57"/>
      <c r="D5" s="58"/>
    </row>
    <row r="6" ht="15.75" thickBot="1"/>
    <row r="7" spans="3:12" ht="15.75" thickBot="1">
      <c r="C7" s="130">
        <v>2011</v>
      </c>
      <c r="D7" s="132"/>
      <c r="E7" s="130">
        <v>2012</v>
      </c>
      <c r="F7" s="132"/>
      <c r="G7" s="130">
        <v>2013</v>
      </c>
      <c r="H7" s="131"/>
      <c r="I7" s="133">
        <v>2014</v>
      </c>
      <c r="J7" s="134"/>
      <c r="K7" s="135">
        <v>2015</v>
      </c>
      <c r="L7" s="136"/>
    </row>
    <row r="8" spans="2:12" ht="15">
      <c r="B8" t="s">
        <v>45</v>
      </c>
      <c r="C8" s="6"/>
      <c r="D8" s="2">
        <f>'Avg Nt Fix Ass &amp;UCC'!D19+'Avg Nt Fix Ass &amp;UCC'!D36+'Avg Nt Fix Ass &amp;UCC'!D52</f>
        <v>0</v>
      </c>
      <c r="E8" s="6"/>
      <c r="F8" s="2">
        <f>+'Avg Nt Fix Ass &amp;UCC'!E19+'Avg Nt Fix Ass &amp;UCC'!E36+'Avg Nt Fix Ass &amp;UCC'!E52</f>
        <v>229150</v>
      </c>
      <c r="G8" s="6"/>
      <c r="H8" s="2">
        <f>+'Avg Nt Fix Ass &amp;UCC'!F19+'Avg Nt Fix Ass &amp;UCC'!F36+'Avg Nt Fix Ass &amp;UCC'!F52</f>
        <v>414300</v>
      </c>
      <c r="I8" s="6"/>
      <c r="J8" s="2">
        <f>+'Avg Nt Fix Ass &amp;UCC'!G19+'Avg Nt Fix Ass &amp;UCC'!G36+'Avg Nt Fix Ass &amp;UCC'!G52</f>
        <v>326300</v>
      </c>
      <c r="K8" s="6"/>
      <c r="L8" s="2">
        <f>+'Avg Nt Fix Ass &amp;UCC'!H19+'Avg Nt Fix Ass &amp;UCC'!H36+'Avg Nt Fix Ass &amp;UCC'!H52</f>
        <v>238300</v>
      </c>
    </row>
    <row r="9" spans="2:11" ht="15">
      <c r="B9" t="s">
        <v>0</v>
      </c>
      <c r="C9" s="45">
        <f>D23</f>
        <v>0</v>
      </c>
      <c r="E9" s="45">
        <f>F23</f>
        <v>520750</v>
      </c>
      <c r="G9" s="45">
        <f>H23</f>
        <v>638350</v>
      </c>
      <c r="I9" s="45">
        <f>J23</f>
        <v>294650</v>
      </c>
      <c r="K9" s="45">
        <f>L23</f>
        <v>211600</v>
      </c>
    </row>
    <row r="10" spans="2:12" ht="15">
      <c r="B10" t="s">
        <v>1</v>
      </c>
      <c r="C10" s="59">
        <v>0.15</v>
      </c>
      <c r="D10" s="11">
        <f>C9*C10</f>
        <v>0</v>
      </c>
      <c r="E10" s="59">
        <v>0.15</v>
      </c>
      <c r="F10" s="11">
        <f>E9*E10</f>
        <v>78112.5</v>
      </c>
      <c r="G10" s="59">
        <v>0.15</v>
      </c>
      <c r="H10" s="11">
        <f>G9*G10</f>
        <v>95752.5</v>
      </c>
      <c r="I10" s="59">
        <v>0.15</v>
      </c>
      <c r="J10" s="11">
        <f>I9*I10</f>
        <v>44197.5</v>
      </c>
      <c r="K10" s="59">
        <v>0.15</v>
      </c>
      <c r="L10" s="11">
        <f>K9*K10</f>
        <v>31740</v>
      </c>
    </row>
    <row r="11" spans="2:12" ht="15">
      <c r="B11" t="s">
        <v>50</v>
      </c>
      <c r="D11" s="3">
        <f>SUM(D8:D10)</f>
        <v>0</v>
      </c>
      <c r="F11" s="3">
        <f>SUM(F8:F10)</f>
        <v>307262.5</v>
      </c>
      <c r="H11" s="3">
        <f>SUM(H8:H10)</f>
        <v>510052.5</v>
      </c>
      <c r="J11" s="3">
        <f>SUM(J8:J10)</f>
        <v>370497.5</v>
      </c>
      <c r="L11" s="3">
        <f>SUM(L8:L10)</f>
        <v>270040</v>
      </c>
    </row>
    <row r="14" spans="2:12" ht="15">
      <c r="B14" t="s">
        <v>3</v>
      </c>
      <c r="C14" s="50">
        <v>0.04</v>
      </c>
      <c r="D14" s="3">
        <f>D11*C14</f>
        <v>0</v>
      </c>
      <c r="E14" s="6">
        <f>C14</f>
        <v>0.04</v>
      </c>
      <c r="F14" s="3">
        <f>F11*E14</f>
        <v>12290.5</v>
      </c>
      <c r="G14" s="6">
        <f>E14</f>
        <v>0.04</v>
      </c>
      <c r="H14" s="3">
        <f>H11*G14</f>
        <v>20402.100000000002</v>
      </c>
      <c r="I14" s="6">
        <f>G14</f>
        <v>0.04</v>
      </c>
      <c r="J14" s="3">
        <f>J11*I14</f>
        <v>14819.9</v>
      </c>
      <c r="K14" s="6">
        <f>I14</f>
        <v>0.04</v>
      </c>
      <c r="L14" s="3">
        <f>L11*K14</f>
        <v>10801.6</v>
      </c>
    </row>
    <row r="15" spans="2:12" ht="15">
      <c r="B15" t="s">
        <v>4</v>
      </c>
      <c r="C15" s="51">
        <v>0.56</v>
      </c>
      <c r="D15" s="3">
        <f>D11*C15</f>
        <v>0</v>
      </c>
      <c r="E15" s="7">
        <f>C15</f>
        <v>0.56</v>
      </c>
      <c r="F15" s="3">
        <f>F11*E15</f>
        <v>172067.00000000003</v>
      </c>
      <c r="G15" s="7">
        <f>E15</f>
        <v>0.56</v>
      </c>
      <c r="H15" s="3">
        <f>H11*G15</f>
        <v>285629.4</v>
      </c>
      <c r="I15" s="7">
        <f>G15</f>
        <v>0.56</v>
      </c>
      <c r="J15" s="3">
        <f>J11*I15</f>
        <v>207478.6</v>
      </c>
      <c r="K15" s="7">
        <f>I15</f>
        <v>0.56</v>
      </c>
      <c r="L15" s="3">
        <f>L11*K15</f>
        <v>151222.40000000002</v>
      </c>
    </row>
    <row r="16" spans="2:12" ht="15">
      <c r="B16" t="s">
        <v>2</v>
      </c>
      <c r="C16" s="52">
        <v>0.4</v>
      </c>
      <c r="D16" s="3">
        <f>D11*C16</f>
        <v>0</v>
      </c>
      <c r="E16" s="8">
        <f>C16</f>
        <v>0.4</v>
      </c>
      <c r="F16" s="3">
        <f>F11*E16</f>
        <v>122905</v>
      </c>
      <c r="G16" s="8">
        <f>E16</f>
        <v>0.4</v>
      </c>
      <c r="H16" s="3">
        <f>H11*G16</f>
        <v>204021</v>
      </c>
      <c r="I16" s="8">
        <f>G16</f>
        <v>0.4</v>
      </c>
      <c r="J16" s="3">
        <f>J11*I16</f>
        <v>148199</v>
      </c>
      <c r="K16" s="8">
        <f>I16</f>
        <v>0.4</v>
      </c>
      <c r="L16" s="3">
        <f>L11*K16</f>
        <v>108016</v>
      </c>
    </row>
    <row r="17" spans="4:12" ht="15">
      <c r="D17" s="1"/>
      <c r="F17" s="1"/>
      <c r="H17" s="1"/>
      <c r="J17" s="1"/>
      <c r="L17" s="1"/>
    </row>
    <row r="18" spans="2:12" ht="15">
      <c r="B18" t="s">
        <v>5</v>
      </c>
      <c r="C18" s="53">
        <v>0.0208</v>
      </c>
      <c r="D18" s="3">
        <f>D14*C18</f>
        <v>0</v>
      </c>
      <c r="E18" s="9">
        <v>0.0246</v>
      </c>
      <c r="F18" s="3">
        <f>F14*E18</f>
        <v>302.3463</v>
      </c>
      <c r="G18" s="9">
        <f>C18</f>
        <v>0.0208</v>
      </c>
      <c r="H18" s="3">
        <f>H14*G18</f>
        <v>424.36368000000004</v>
      </c>
      <c r="I18" s="9">
        <f>G18</f>
        <v>0.0208</v>
      </c>
      <c r="J18" s="3">
        <f>J14*I18</f>
        <v>308.25392</v>
      </c>
      <c r="K18" s="9">
        <f>I18</f>
        <v>0.0208</v>
      </c>
      <c r="L18" s="3">
        <f>L14*K18</f>
        <v>224.67328</v>
      </c>
    </row>
    <row r="19" spans="2:12" ht="15">
      <c r="B19" t="s">
        <v>6</v>
      </c>
      <c r="C19" s="53">
        <v>0.05264</v>
      </c>
      <c r="D19" s="3">
        <f>D15*C19</f>
        <v>0</v>
      </c>
      <c r="E19" s="9">
        <f>C19</f>
        <v>0.05264</v>
      </c>
      <c r="F19" s="3">
        <f>F15*E19</f>
        <v>9057.606880000001</v>
      </c>
      <c r="G19" s="9">
        <f>C19</f>
        <v>0.05264</v>
      </c>
      <c r="H19" s="3">
        <f>H15*G19</f>
        <v>15035.531616</v>
      </c>
      <c r="I19" s="9">
        <f>G19</f>
        <v>0.05264</v>
      </c>
      <c r="J19" s="3">
        <f>J15*I19</f>
        <v>10921.673504</v>
      </c>
      <c r="K19" s="9">
        <f>I19</f>
        <v>0.05264</v>
      </c>
      <c r="L19" s="3">
        <f>L15*K19</f>
        <v>7960.347136000001</v>
      </c>
    </row>
    <row r="20" spans="2:12" ht="15">
      <c r="B20" t="s">
        <v>7</v>
      </c>
      <c r="C20" s="53">
        <v>0.0942</v>
      </c>
      <c r="D20" s="3">
        <f>D16*C20</f>
        <v>0</v>
      </c>
      <c r="E20" s="9">
        <v>0.0958</v>
      </c>
      <c r="F20" s="3">
        <f>F16*E20</f>
        <v>11774.298999999999</v>
      </c>
      <c r="G20" s="9">
        <f>C20</f>
        <v>0.0942</v>
      </c>
      <c r="H20" s="3">
        <f>H16*G20</f>
        <v>19218.7782</v>
      </c>
      <c r="I20" s="9">
        <f>G20</f>
        <v>0.0942</v>
      </c>
      <c r="J20" s="3">
        <f>J16*I20</f>
        <v>13960.345800000001</v>
      </c>
      <c r="K20" s="9">
        <f>I20</f>
        <v>0.0942</v>
      </c>
      <c r="L20" s="3">
        <f>L16*K20</f>
        <v>10175.1072</v>
      </c>
    </row>
    <row r="21" spans="4:12" ht="15">
      <c r="D21" s="10">
        <f>SUM(D18:D20)</f>
        <v>0</v>
      </c>
      <c r="F21" s="10">
        <f>SUM(F18:F20)</f>
        <v>21134.25218</v>
      </c>
      <c r="H21" s="10">
        <f>SUM(H18:H20)</f>
        <v>34678.673496</v>
      </c>
      <c r="J21" s="10">
        <f>SUM(J18:J20)</f>
        <v>25190.273224</v>
      </c>
      <c r="L21" s="10">
        <f>SUM(L18:L20)</f>
        <v>18360.127616</v>
      </c>
    </row>
    <row r="23" spans="2:12" ht="15.75">
      <c r="B23" t="s">
        <v>0</v>
      </c>
      <c r="D23" s="44"/>
      <c r="F23" s="44">
        <f>586000-'[3]Revenue Requirement'!$F$23</f>
        <v>520750</v>
      </c>
      <c r="H23" s="44">
        <f>721000-'[3]Revenue Requirement'!$H$23</f>
        <v>638350</v>
      </c>
      <c r="I23" s="85"/>
      <c r="J23" s="44">
        <f>386000-'[3]Revenue Requirement'!$J$23</f>
        <v>294650</v>
      </c>
      <c r="L23" s="44">
        <f>316000-'[3]Revenue Requirement'!$L$23</f>
        <v>211600</v>
      </c>
    </row>
    <row r="24" spans="2:12" ht="15">
      <c r="B24" t="s">
        <v>10</v>
      </c>
      <c r="D24" s="13">
        <v>0</v>
      </c>
      <c r="F24" s="13">
        <f>SUM('Avg Nt Fix Ass &amp;UCC'!D13:D14)+SUM('Avg Nt Fix Ass &amp;UCC'!D30:D31)</f>
        <v>0</v>
      </c>
      <c r="H24" s="13">
        <f>SUM('Avg Nt Fix Ass &amp;UCC'!E13:E14)+SUM('Avg Nt Fix Ass &amp;UCC'!E30:E31)</f>
        <v>31700</v>
      </c>
      <c r="J24" s="13">
        <f>SUM('Avg Nt Fix Ass &amp;UCC'!F13:F14)+SUM('Avg Nt Fix Ass &amp;UCC'!F30:F31)</f>
        <v>10000</v>
      </c>
      <c r="L24" s="13">
        <f>SUM('Avg Nt Fix Ass &amp;UCC'!G13:G14)+SUM('Avg Nt Fix Ass &amp;UCC'!G30:G31)</f>
        <v>10000</v>
      </c>
    </row>
    <row r="25" spans="2:12" ht="15">
      <c r="B25" t="s">
        <v>8</v>
      </c>
      <c r="D25" s="2">
        <f>PILs!C35</f>
        <v>0</v>
      </c>
      <c r="F25" s="2">
        <f>PILs!D35</f>
        <v>-125181.60544067796</v>
      </c>
      <c r="H25" s="2">
        <f>PILs!E35</f>
        <v>-191975.62793154363</v>
      </c>
      <c r="J25" s="2">
        <f>PILs!F35</f>
        <v>-245639.8639</v>
      </c>
      <c r="L25" s="2">
        <f>PILs!G35</f>
        <v>-277649.4548916667</v>
      </c>
    </row>
    <row r="27" spans="2:12" ht="15.75" thickBot="1">
      <c r="B27" t="s">
        <v>9</v>
      </c>
      <c r="D27" s="4">
        <f>SUM(D21:D25)</f>
        <v>0</v>
      </c>
      <c r="F27" s="4">
        <f>SUM(F21:F25)</f>
        <v>416702.646739322</v>
      </c>
      <c r="H27" s="4">
        <f>SUM(H21:H25)</f>
        <v>512753.0455644564</v>
      </c>
      <c r="J27" s="4">
        <f>SUM(J21:J25)</f>
        <v>84200.40932400001</v>
      </c>
      <c r="L27" s="4">
        <f>SUM(L21:L25)</f>
        <v>-37689.3272756667</v>
      </c>
    </row>
    <row r="28" ht="15.75" thickBot="1"/>
    <row r="29" spans="2:12" ht="15.75" thickBot="1">
      <c r="B29" s="62" t="s">
        <v>57</v>
      </c>
      <c r="C29" s="130">
        <v>2011</v>
      </c>
      <c r="D29" s="132"/>
      <c r="E29" s="130">
        <v>2012</v>
      </c>
      <c r="F29" s="132"/>
      <c r="G29" s="130">
        <v>2013</v>
      </c>
      <c r="H29" s="131"/>
      <c r="I29" s="133">
        <v>2014</v>
      </c>
      <c r="J29" s="134"/>
      <c r="K29" s="135">
        <v>2015</v>
      </c>
      <c r="L29" s="136"/>
    </row>
    <row r="30" spans="2:12" ht="15.75">
      <c r="B30" s="62" t="s">
        <v>0</v>
      </c>
      <c r="D30" s="3">
        <f>+D23</f>
        <v>0</v>
      </c>
      <c r="E30" s="3"/>
      <c r="F30" s="3">
        <f>+F23</f>
        <v>520750</v>
      </c>
      <c r="G30" s="93" t="s">
        <v>67</v>
      </c>
      <c r="H30" s="3">
        <f>+H23</f>
        <v>638350</v>
      </c>
      <c r="J30" s="3">
        <f>+J23</f>
        <v>294650</v>
      </c>
      <c r="L30" s="3">
        <f>+L23</f>
        <v>211600</v>
      </c>
    </row>
    <row r="31" spans="2:12" ht="15">
      <c r="B31" s="62" t="s">
        <v>58</v>
      </c>
      <c r="D31" s="3">
        <f>+D27-D30</f>
        <v>0</v>
      </c>
      <c r="F31" s="3">
        <f>+F27-F30</f>
        <v>-104047.353260678</v>
      </c>
      <c r="G31" s="94"/>
      <c r="H31" s="3">
        <f>+H27-H30</f>
        <v>-125596.95443554362</v>
      </c>
      <c r="J31" s="3">
        <f>+J27-J30</f>
        <v>-210449.590676</v>
      </c>
      <c r="L31" s="3">
        <f>+L27-L30</f>
        <v>-249289.3272756667</v>
      </c>
    </row>
    <row r="32" spans="2:12" ht="15">
      <c r="B32" s="62" t="s">
        <v>59</v>
      </c>
      <c r="D32" s="5">
        <v>0</v>
      </c>
      <c r="E32" s="5"/>
      <c r="F32" s="5">
        <f>+'Weighted Avg Direct Benefit'!C64</f>
        <v>0.06</v>
      </c>
      <c r="G32" s="94"/>
      <c r="H32" s="5">
        <f>+'Weighted Avg Direct Benefit'!D64</f>
        <v>0.06</v>
      </c>
      <c r="J32" s="5">
        <f>+'Weighted Avg Direct Benefit'!E64</f>
        <v>0.06</v>
      </c>
      <c r="L32" s="5">
        <f>+'Weighted Avg Direct Benefit'!F64</f>
        <v>0.06</v>
      </c>
    </row>
    <row r="33" spans="2:12" ht="15">
      <c r="B33" s="62" t="s">
        <v>60</v>
      </c>
      <c r="D33" s="3">
        <f>+D32*D31</f>
        <v>0</v>
      </c>
      <c r="E33" s="3"/>
      <c r="F33" s="3">
        <f>+F32*F31</f>
        <v>-6242.84119564068</v>
      </c>
      <c r="G33" s="94"/>
      <c r="H33" s="3">
        <f>+H32*H31</f>
        <v>-7535.817266132617</v>
      </c>
      <c r="J33" s="3">
        <f>+J32*J31</f>
        <v>-12626.97544056</v>
      </c>
      <c r="L33" s="3">
        <f>+L32*L31</f>
        <v>-14957.35963654</v>
      </c>
    </row>
    <row r="34" spans="2:12" ht="15">
      <c r="B34" s="63" t="s">
        <v>61</v>
      </c>
      <c r="C34" s="64"/>
      <c r="D34" s="65">
        <f>+D33+D30</f>
        <v>0</v>
      </c>
      <c r="E34" s="65"/>
      <c r="F34" s="65">
        <f>+F33+F30</f>
        <v>514507.1588043593</v>
      </c>
      <c r="G34" s="95">
        <f>F34+D34</f>
        <v>514507.1588043593</v>
      </c>
      <c r="H34" s="65">
        <f>+H33+H30</f>
        <v>630814.1827338674</v>
      </c>
      <c r="I34" s="65"/>
      <c r="J34" s="65">
        <f>+J33+J30</f>
        <v>282023.02455944</v>
      </c>
      <c r="K34" s="65"/>
      <c r="L34" s="65">
        <f>+L33+L30</f>
        <v>196642.64036346</v>
      </c>
    </row>
    <row r="35" spans="2:12" ht="15">
      <c r="B35" s="62"/>
      <c r="D35" s="3"/>
      <c r="F35" s="3"/>
      <c r="G35" s="94"/>
      <c r="H35" s="3"/>
      <c r="J35" s="3"/>
      <c r="L35" s="3"/>
    </row>
    <row r="36" spans="2:12" ht="15">
      <c r="B36" t="s">
        <v>53</v>
      </c>
      <c r="C36" s="2"/>
      <c r="D36" s="60">
        <f>+'[1]Summary'!$N$4</f>
        <v>52252.76311567514</v>
      </c>
      <c r="F36" s="60">
        <f>+'[1]Summary'!$N$4</f>
        <v>52252.76311567514</v>
      </c>
      <c r="G36" s="96">
        <f>+F36</f>
        <v>52252.76311567514</v>
      </c>
      <c r="H36" s="60">
        <f>+'[1]Summary'!$N$4</f>
        <v>52252.76311567514</v>
      </c>
      <c r="J36" s="60">
        <f>+'[1]Summary'!$N$4</f>
        <v>52252.76311567514</v>
      </c>
      <c r="L36" s="60">
        <f>+'[1]Summary'!$N$4</f>
        <v>52252.76311567514</v>
      </c>
    </row>
    <row r="37" spans="3:7" ht="15.75" thickBot="1">
      <c r="C37" s="12"/>
      <c r="D37" s="5"/>
      <c r="G37" s="94"/>
    </row>
    <row r="38" spans="2:12" s="111" customFormat="1" ht="15.75" thickBot="1">
      <c r="B38" s="107" t="s">
        <v>68</v>
      </c>
      <c r="C38" s="108"/>
      <c r="D38" s="109">
        <f>+D34/D36/12</f>
        <v>0</v>
      </c>
      <c r="E38" s="109"/>
      <c r="F38" s="109">
        <f>+F34/F36/12</f>
        <v>0.8205421878286822</v>
      </c>
      <c r="G38" s="110">
        <f>G34/G36/12</f>
        <v>0.8205421878286822</v>
      </c>
      <c r="H38" s="109">
        <f>+H34/H36/12</f>
        <v>1.0060300245708147</v>
      </c>
      <c r="I38" s="108"/>
      <c r="J38" s="109">
        <f>+J34/J36/12</f>
        <v>0.4497737021343547</v>
      </c>
      <c r="K38" s="108"/>
      <c r="L38" s="109">
        <f>+L34/L36/12</f>
        <v>0.31360804137148396</v>
      </c>
    </row>
    <row r="39" spans="3:12" ht="15">
      <c r="C39" s="2"/>
      <c r="D39" s="1"/>
      <c r="F39" s="61"/>
      <c r="G39" s="94"/>
      <c r="H39" s="61"/>
      <c r="J39" s="61"/>
      <c r="L39" s="61"/>
    </row>
    <row r="40" spans="2:12" ht="15">
      <c r="B40" t="s">
        <v>52</v>
      </c>
      <c r="D40" s="3">
        <f>+D27-D34</f>
        <v>0</v>
      </c>
      <c r="F40" s="3">
        <f>+F27-F34</f>
        <v>-97804.51206503733</v>
      </c>
      <c r="G40" s="95">
        <f>F40+D40</f>
        <v>-97804.51206503733</v>
      </c>
      <c r="H40" s="3">
        <f>+H27-H34</f>
        <v>-118061.13716941106</v>
      </c>
      <c r="J40" s="3">
        <f>+J27-J34</f>
        <v>-197822.61523543997</v>
      </c>
      <c r="L40" s="3">
        <f>+L27-L34</f>
        <v>-234331.9676391267</v>
      </c>
    </row>
    <row r="41" ht="15">
      <c r="G41" s="94"/>
    </row>
    <row r="42" spans="2:12" ht="15.75" thickBot="1">
      <c r="B42" s="14" t="s">
        <v>69</v>
      </c>
      <c r="D42" s="2">
        <f>+D40/12</f>
        <v>0</v>
      </c>
      <c r="E42" s="2"/>
      <c r="F42" s="2">
        <f>+F40/12</f>
        <v>-8150.376005419777</v>
      </c>
      <c r="G42" s="97">
        <f>G40/12</f>
        <v>-8150.376005419777</v>
      </c>
      <c r="H42" s="2">
        <f>+H40/12</f>
        <v>-9838.428097450922</v>
      </c>
      <c r="J42" s="2">
        <f>+J40/12</f>
        <v>-16485.217936286663</v>
      </c>
      <c r="L42" s="2">
        <f>+L40/12</f>
        <v>-19527.663969927224</v>
      </c>
    </row>
    <row r="44" spans="2:11" ht="90">
      <c r="B44" s="54" t="s">
        <v>54</v>
      </c>
      <c r="K44" s="82"/>
    </row>
    <row r="47" spans="2:7" ht="15.75" thickBot="1">
      <c r="B47" s="122"/>
      <c r="C47" s="123"/>
      <c r="D47" s="98">
        <v>2012</v>
      </c>
      <c r="E47" s="98">
        <v>2013</v>
      </c>
      <c r="F47" s="98">
        <v>2014</v>
      </c>
      <c r="G47" s="98">
        <v>2015</v>
      </c>
    </row>
    <row r="48" spans="2:7" s="117" customFormat="1" ht="35.25" customHeight="1" thickBot="1">
      <c r="B48" s="118" t="s">
        <v>73</v>
      </c>
      <c r="C48" s="119"/>
      <c r="D48" s="115">
        <f>+G38</f>
        <v>0.8205421878286822</v>
      </c>
      <c r="E48" s="116">
        <f>+H38</f>
        <v>1.0060300245708147</v>
      </c>
      <c r="F48" s="116">
        <f>+J38</f>
        <v>0.4497737021343547</v>
      </c>
      <c r="G48" s="116">
        <f>+L38</f>
        <v>0.31360804137148396</v>
      </c>
    </row>
    <row r="50" spans="2:7" ht="15">
      <c r="B50" s="124"/>
      <c r="C50" s="124"/>
      <c r="D50" s="112"/>
      <c r="E50" s="112"/>
      <c r="F50" s="112"/>
      <c r="G50" s="112"/>
    </row>
    <row r="51" spans="2:7" ht="30.75" customHeight="1">
      <c r="B51" s="120"/>
      <c r="C51" s="121"/>
      <c r="D51" s="104"/>
      <c r="E51" s="104"/>
      <c r="F51" s="104"/>
      <c r="G51" s="104"/>
    </row>
    <row r="52" spans="2:7" ht="30.75" customHeight="1">
      <c r="B52" s="125"/>
      <c r="C52" s="126"/>
      <c r="D52" s="113"/>
      <c r="E52" s="113"/>
      <c r="F52" s="113"/>
      <c r="G52" s="113"/>
    </row>
    <row r="53" spans="2:7" ht="30.75" customHeight="1">
      <c r="B53" s="103"/>
      <c r="C53" s="102"/>
      <c r="D53" s="104"/>
      <c r="E53" s="104"/>
      <c r="F53" s="104"/>
      <c r="G53" s="104"/>
    </row>
    <row r="54" spans="2:7" ht="15">
      <c r="B54" s="114"/>
      <c r="C54" s="114"/>
      <c r="D54" s="114"/>
      <c r="E54" s="114"/>
      <c r="F54" s="114"/>
      <c r="G54" s="114"/>
    </row>
    <row r="55" spans="2:7" ht="15">
      <c r="B55" s="114"/>
      <c r="C55" s="114"/>
      <c r="D55" s="112"/>
      <c r="E55" s="112"/>
      <c r="F55" s="112"/>
      <c r="G55" s="112"/>
    </row>
    <row r="56" spans="2:7" ht="47.25" customHeight="1">
      <c r="B56" s="125"/>
      <c r="C56" s="126"/>
      <c r="D56" s="104"/>
      <c r="E56" s="104"/>
      <c r="F56" s="104"/>
      <c r="G56" s="104"/>
    </row>
    <row r="57" spans="2:7" ht="34.5" customHeight="1">
      <c r="B57" s="125"/>
      <c r="C57" s="126"/>
      <c r="D57" s="113"/>
      <c r="E57" s="113"/>
      <c r="F57" s="113"/>
      <c r="G57" s="113"/>
    </row>
    <row r="58" spans="2:7" ht="34.5" customHeight="1">
      <c r="B58" s="105"/>
      <c r="C58" s="106"/>
      <c r="D58" s="104"/>
      <c r="E58" s="104"/>
      <c r="F58" s="104"/>
      <c r="G58" s="104"/>
    </row>
    <row r="59" spans="2:7" ht="15">
      <c r="B59" s="114"/>
      <c r="C59" s="114"/>
      <c r="D59" s="114"/>
      <c r="E59" s="114"/>
      <c r="F59" s="114"/>
      <c r="G59" s="114"/>
    </row>
    <row r="60" spans="2:7" ht="15">
      <c r="B60" s="129"/>
      <c r="C60" s="121"/>
      <c r="D60" s="121"/>
      <c r="E60" s="121"/>
      <c r="F60" s="114"/>
      <c r="G60" s="114"/>
    </row>
    <row r="61" spans="2:5" ht="15">
      <c r="B61" s="127" t="s">
        <v>74</v>
      </c>
      <c r="C61" s="128"/>
      <c r="D61" s="128"/>
      <c r="E61" s="128"/>
    </row>
    <row r="62" spans="2:5" ht="15">
      <c r="B62" s="128"/>
      <c r="C62" s="128"/>
      <c r="D62" s="128"/>
      <c r="E62" s="128"/>
    </row>
    <row r="63" spans="2:5" ht="15">
      <c r="B63" s="128"/>
      <c r="C63" s="128"/>
      <c r="D63" s="128"/>
      <c r="E63" s="128"/>
    </row>
    <row r="64" spans="2:5" ht="15">
      <c r="B64" s="127" t="s">
        <v>72</v>
      </c>
      <c r="C64" s="128"/>
      <c r="D64" s="128"/>
      <c r="E64" s="128"/>
    </row>
    <row r="65" spans="2:5" ht="15">
      <c r="B65" s="128"/>
      <c r="C65" s="128"/>
      <c r="D65" s="128"/>
      <c r="E65" s="128"/>
    </row>
    <row r="66" spans="2:5" ht="15">
      <c r="B66" s="128"/>
      <c r="C66" s="128"/>
      <c r="D66" s="128"/>
      <c r="E66" s="128"/>
    </row>
    <row r="68" ht="15">
      <c r="B68" s="62"/>
    </row>
  </sheetData>
  <sheetProtection/>
  <mergeCells count="20">
    <mergeCell ref="G7:H7"/>
    <mergeCell ref="C7:D7"/>
    <mergeCell ref="E7:F7"/>
    <mergeCell ref="I7:J7"/>
    <mergeCell ref="K7:L7"/>
    <mergeCell ref="C29:D29"/>
    <mergeCell ref="E29:F29"/>
    <mergeCell ref="G29:H29"/>
    <mergeCell ref="I29:J29"/>
    <mergeCell ref="K29:L29"/>
    <mergeCell ref="B48:C48"/>
    <mergeCell ref="B51:C51"/>
    <mergeCell ref="B47:C47"/>
    <mergeCell ref="B50:C50"/>
    <mergeCell ref="B56:C56"/>
    <mergeCell ref="B64:E66"/>
    <mergeCell ref="B61:E63"/>
    <mergeCell ref="B60:E60"/>
    <mergeCell ref="B52:C52"/>
    <mergeCell ref="B57:C57"/>
  </mergeCells>
  <printOptions/>
  <pageMargins left="0.75" right="0.75" top="1" bottom="1" header="0.5" footer="0.5"/>
  <pageSetup horizontalDpi="600" verticalDpi="600" orientation="landscape" scale="65"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4:G35"/>
  <sheetViews>
    <sheetView zoomScalePageLayoutView="0" workbookViewId="0" topLeftCell="A19">
      <selection activeCell="E22" sqref="E22"/>
    </sheetView>
  </sheetViews>
  <sheetFormatPr defaultColWidth="8.77734375" defaultRowHeight="15"/>
  <cols>
    <col min="1" max="1" width="2.88671875" style="14" customWidth="1"/>
    <col min="2" max="2" width="25.4453125" style="14" bestFit="1" customWidth="1"/>
    <col min="3" max="3" width="13.10546875" style="14" customWidth="1"/>
    <col min="4" max="4" width="13.99609375" style="14" customWidth="1"/>
    <col min="5" max="5" width="15.99609375" style="14" customWidth="1"/>
    <col min="6" max="6" width="9.3359375" style="14" bestFit="1" customWidth="1"/>
    <col min="7" max="7" width="10.4453125" style="14" customWidth="1"/>
    <col min="8" max="16384" width="8.77734375" style="14" customWidth="1"/>
  </cols>
  <sheetData>
    <row r="4" spans="1:5" ht="26.25">
      <c r="A4" s="15"/>
      <c r="B4" s="16" t="s">
        <v>11</v>
      </c>
      <c r="C4" s="15"/>
      <c r="D4" s="17"/>
      <c r="E4" s="17"/>
    </row>
    <row r="5" spans="1:5" ht="15">
      <c r="A5" s="15"/>
      <c r="B5" s="15"/>
      <c r="C5" s="15"/>
      <c r="D5" s="17"/>
      <c r="E5" s="17"/>
    </row>
    <row r="6" spans="1:7" ht="15">
      <c r="A6" s="15"/>
      <c r="B6" s="15"/>
      <c r="C6" s="18">
        <v>2011</v>
      </c>
      <c r="D6" s="18">
        <v>2012</v>
      </c>
      <c r="E6" s="18">
        <v>2013</v>
      </c>
      <c r="F6" s="18">
        <v>2014</v>
      </c>
      <c r="G6" s="18">
        <v>2015</v>
      </c>
    </row>
    <row r="7" spans="1:5" ht="15">
      <c r="A7" s="15"/>
      <c r="B7" s="19" t="s">
        <v>12</v>
      </c>
      <c r="C7" s="18"/>
      <c r="D7" s="18"/>
      <c r="E7" s="18"/>
    </row>
    <row r="8" spans="1:7" ht="15">
      <c r="A8" s="15"/>
      <c r="B8" s="15" t="s">
        <v>13</v>
      </c>
      <c r="C8" s="46">
        <f>'Revenue Requirement'!D20</f>
        <v>0</v>
      </c>
      <c r="D8" s="46">
        <f>'Revenue Requirement'!F20</f>
        <v>11774.298999999999</v>
      </c>
      <c r="E8" s="46">
        <f>'Revenue Requirement'!H20</f>
        <v>19218.7782</v>
      </c>
      <c r="F8" s="46">
        <f>'Revenue Requirement'!J20</f>
        <v>13960.345800000001</v>
      </c>
      <c r="G8" s="46">
        <f>'Revenue Requirement'!L20</f>
        <v>10175.1072</v>
      </c>
    </row>
    <row r="9" spans="1:7" ht="15">
      <c r="A9" s="15"/>
      <c r="B9" s="15" t="s">
        <v>44</v>
      </c>
      <c r="C9" s="46">
        <f>'Revenue Requirement'!D24</f>
        <v>0</v>
      </c>
      <c r="D9" s="46">
        <f>'Revenue Requirement'!F24</f>
        <v>0</v>
      </c>
      <c r="E9" s="46">
        <f>'Revenue Requirement'!H24</f>
        <v>31700</v>
      </c>
      <c r="F9" s="46">
        <f>'Revenue Requirement'!I24</f>
        <v>0</v>
      </c>
      <c r="G9" s="46">
        <f>'Revenue Requirement'!J24</f>
        <v>10000</v>
      </c>
    </row>
    <row r="10" spans="1:7" ht="15">
      <c r="A10" s="15"/>
      <c r="B10" s="47" t="s">
        <v>40</v>
      </c>
      <c r="C10" s="46">
        <f>-'Avg Nt Fix Ass &amp;UCC'!D66-'Avg Nt Fix Ass &amp;UCC'!D83</f>
        <v>0</v>
      </c>
      <c r="D10" s="46">
        <f>-'Avg Nt Fix Ass &amp;UCC'!E66-'Avg Nt Fix Ass &amp;UCC'!E83-'Avg Nt Fix Ass &amp;UCC'!E101</f>
        <v>-363475</v>
      </c>
      <c r="E10" s="46">
        <f>-'Avg Nt Fix Ass &amp;UCC'!F66-'Avg Nt Fix Ass &amp;UCC'!F83-'Avg Nt Fix Ass &amp;UCC'!F101</f>
        <v>-611788.75</v>
      </c>
      <c r="F10" s="46">
        <f>-'Avg Nt Fix Ass &amp;UCC'!G66-'Avg Nt Fix Ass &amp;UCC'!G83-'Avg Nt Fix Ass &amp;UCC'!G101</f>
        <v>-750879.9375</v>
      </c>
      <c r="G10" s="46">
        <f>-'Avg Nt Fix Ass &amp;UCC'!H66-'Avg Nt Fix Ass &amp;UCC'!H83-'Avg Nt Fix Ass &amp;UCC'!H101</f>
        <v>-853123.471875</v>
      </c>
    </row>
    <row r="11" spans="1:7" ht="15">
      <c r="A11" s="15"/>
      <c r="B11" s="15" t="s">
        <v>14</v>
      </c>
      <c r="C11" s="36">
        <f>SUM(C8:C10)</f>
        <v>0</v>
      </c>
      <c r="D11" s="36">
        <f>SUM(D8:D10)</f>
        <v>-351700.701</v>
      </c>
      <c r="E11" s="36">
        <f>SUM(E8:E10)</f>
        <v>-560869.9717999999</v>
      </c>
      <c r="F11" s="36">
        <f>SUM(F8:F10)</f>
        <v>-736919.5917</v>
      </c>
      <c r="G11" s="36">
        <f>SUM(G8:G10)</f>
        <v>-832948.3646750001</v>
      </c>
    </row>
    <row r="12" spans="1:7" ht="15">
      <c r="A12" s="15"/>
      <c r="B12" s="47" t="s">
        <v>49</v>
      </c>
      <c r="C12" s="21">
        <v>0.2825</v>
      </c>
      <c r="D12" s="21">
        <v>0.2625</v>
      </c>
      <c r="E12" s="21">
        <v>0.255</v>
      </c>
      <c r="F12" s="21">
        <v>0.25</v>
      </c>
      <c r="G12" s="21">
        <v>0.25</v>
      </c>
    </row>
    <row r="13" spans="1:7" ht="15">
      <c r="A13" s="15"/>
      <c r="B13" s="15" t="s">
        <v>15</v>
      </c>
      <c r="C13" s="36">
        <f>C11*C12</f>
        <v>0</v>
      </c>
      <c r="D13" s="36">
        <f>D11*D12</f>
        <v>-92321.4340125</v>
      </c>
      <c r="E13" s="36">
        <f>E11*E12</f>
        <v>-143021.842809</v>
      </c>
      <c r="F13" s="36">
        <f>F11*F12</f>
        <v>-184229.897925</v>
      </c>
      <c r="G13" s="36">
        <f>G11*G12</f>
        <v>-208237.09116875002</v>
      </c>
    </row>
    <row r="14" spans="1:7" ht="15">
      <c r="A14" s="15"/>
      <c r="B14" s="15"/>
      <c r="C14" s="15"/>
      <c r="D14" s="15"/>
      <c r="E14" s="17"/>
      <c r="F14" s="17"/>
      <c r="G14" s="17"/>
    </row>
    <row r="15" spans="1:7" ht="15">
      <c r="A15" s="15"/>
      <c r="B15" s="19" t="s">
        <v>16</v>
      </c>
      <c r="C15" s="15"/>
      <c r="D15" s="15"/>
      <c r="E15" s="17"/>
      <c r="F15" s="17"/>
      <c r="G15" s="17"/>
    </row>
    <row r="16" spans="1:7" ht="15">
      <c r="A16" s="15"/>
      <c r="B16" s="29" t="s">
        <v>32</v>
      </c>
      <c r="C16" s="48">
        <f>'Avg Nt Fix Ass &amp;UCC'!D18</f>
        <v>0</v>
      </c>
      <c r="D16" s="48">
        <f>'Avg Nt Fix Ass &amp;UCC'!E18+'Avg Nt Fix Ass &amp;UCC'!E35+'Avg Nt Fix Ass &amp;UCC'!E51</f>
        <v>458300</v>
      </c>
      <c r="E16" s="48">
        <f>'Avg Nt Fix Ass &amp;UCC'!F18+'Avg Nt Fix Ass &amp;UCC'!F35+'Avg Nt Fix Ass &amp;UCC'!F51</f>
        <v>370300</v>
      </c>
      <c r="F16" s="48">
        <f>'Avg Nt Fix Ass &amp;UCC'!G18+'Avg Nt Fix Ass &amp;UCC'!G35+'Avg Nt Fix Ass &amp;UCC'!G51</f>
        <v>282300</v>
      </c>
      <c r="G16" s="48">
        <f>'Avg Nt Fix Ass &amp;UCC'!H18+'Avg Nt Fix Ass &amp;UCC'!H35+'Avg Nt Fix Ass &amp;UCC'!H51</f>
        <v>194300</v>
      </c>
    </row>
    <row r="17" spans="1:7" ht="15">
      <c r="A17" s="15"/>
      <c r="B17" s="15" t="s">
        <v>17</v>
      </c>
      <c r="C17" s="49">
        <v>0</v>
      </c>
      <c r="D17" s="49">
        <v>0</v>
      </c>
      <c r="E17" s="49">
        <v>0</v>
      </c>
      <c r="F17" s="49">
        <v>0</v>
      </c>
      <c r="G17" s="49">
        <v>0</v>
      </c>
    </row>
    <row r="18" spans="1:7" ht="15">
      <c r="A18" s="15"/>
      <c r="B18" s="15" t="s">
        <v>18</v>
      </c>
      <c r="C18" s="36">
        <f>C16-C17</f>
        <v>0</v>
      </c>
      <c r="D18" s="36">
        <f>D16-D17</f>
        <v>458300</v>
      </c>
      <c r="E18" s="36">
        <f>E16-E17</f>
        <v>370300</v>
      </c>
      <c r="F18" s="36">
        <f>F16-F17</f>
        <v>282300</v>
      </c>
      <c r="G18" s="36">
        <f>G16-G17</f>
        <v>194300</v>
      </c>
    </row>
    <row r="19" spans="1:7" ht="15">
      <c r="A19" s="15"/>
      <c r="B19" s="15" t="s">
        <v>19</v>
      </c>
      <c r="C19" s="23"/>
      <c r="D19" s="23"/>
      <c r="E19" s="24"/>
      <c r="F19" s="24"/>
      <c r="G19" s="24"/>
    </row>
    <row r="20" spans="1:7" ht="15">
      <c r="A20" s="15"/>
      <c r="B20" s="15" t="s">
        <v>20</v>
      </c>
      <c r="C20" s="20">
        <f>C18*C19</f>
        <v>0</v>
      </c>
      <c r="D20" s="20">
        <f>D18*D19</f>
        <v>0</v>
      </c>
      <c r="E20" s="20">
        <f>E18*E19</f>
        <v>0</v>
      </c>
      <c r="F20" s="20">
        <f>F18*F19</f>
        <v>0</v>
      </c>
      <c r="G20" s="20">
        <f>G18*G19</f>
        <v>0</v>
      </c>
    </row>
    <row r="21" spans="1:5" ht="15">
      <c r="A21" s="15"/>
      <c r="B21" s="15"/>
      <c r="C21" s="15"/>
      <c r="D21" s="15"/>
      <c r="E21" s="17"/>
    </row>
    <row r="22" spans="1:5" ht="15">
      <c r="A22" s="15"/>
      <c r="B22" s="15"/>
      <c r="C22" s="15"/>
      <c r="D22" s="15"/>
      <c r="E22" s="17"/>
    </row>
    <row r="23" spans="1:5" ht="15.75">
      <c r="A23" s="15"/>
      <c r="B23" s="25" t="s">
        <v>21</v>
      </c>
      <c r="C23" s="15"/>
      <c r="D23" s="15"/>
      <c r="E23" s="17"/>
    </row>
    <row r="24" spans="1:7" ht="15">
      <c r="A24" s="15"/>
      <c r="B24" s="15"/>
      <c r="C24" s="18" t="s">
        <v>22</v>
      </c>
      <c r="D24" s="18" t="s">
        <v>22</v>
      </c>
      <c r="E24" s="18" t="s">
        <v>22</v>
      </c>
      <c r="F24" s="18" t="s">
        <v>22</v>
      </c>
      <c r="G24" s="18" t="s">
        <v>22</v>
      </c>
    </row>
    <row r="25" spans="1:7" ht="15">
      <c r="A25" s="15"/>
      <c r="B25" s="15" t="s">
        <v>23</v>
      </c>
      <c r="C25" s="22">
        <f>C13</f>
        <v>0</v>
      </c>
      <c r="D25" s="22">
        <f>D13</f>
        <v>-92321.4340125</v>
      </c>
      <c r="E25" s="22">
        <f>E13</f>
        <v>-143021.842809</v>
      </c>
      <c r="F25" s="91">
        <f>F13</f>
        <v>-184229.897925</v>
      </c>
      <c r="G25" s="22">
        <f>G13</f>
        <v>-208237.09116875002</v>
      </c>
    </row>
    <row r="26" spans="1:7" ht="15">
      <c r="A26" s="15"/>
      <c r="B26" s="15" t="s">
        <v>24</v>
      </c>
      <c r="C26" s="22">
        <f>C20</f>
        <v>0</v>
      </c>
      <c r="D26" s="22">
        <f>D20</f>
        <v>0</v>
      </c>
      <c r="E26" s="22">
        <f>E20</f>
        <v>0</v>
      </c>
      <c r="F26" s="91">
        <f>F20</f>
        <v>0</v>
      </c>
      <c r="G26" s="22">
        <f>G20</f>
        <v>0</v>
      </c>
    </row>
    <row r="27" spans="1:7" ht="15">
      <c r="A27" s="15"/>
      <c r="B27" s="15" t="s">
        <v>25</v>
      </c>
      <c r="C27" s="20">
        <f>SUM(C25:C26)</f>
        <v>0</v>
      </c>
      <c r="D27" s="20">
        <f>SUM(D25:D26)</f>
        <v>-92321.4340125</v>
      </c>
      <c r="E27" s="20">
        <f>SUM(E25:E26)</f>
        <v>-143021.842809</v>
      </c>
      <c r="F27" s="92">
        <f>SUM(F25:F26)</f>
        <v>-184229.897925</v>
      </c>
      <c r="G27" s="20">
        <f>SUM(G25:G26)</f>
        <v>-208237.09116875002</v>
      </c>
    </row>
    <row r="28" spans="1:5" ht="15">
      <c r="A28" s="17"/>
      <c r="B28" s="17"/>
      <c r="C28" s="17"/>
      <c r="D28" s="17"/>
      <c r="E28" s="17"/>
    </row>
    <row r="29" spans="1:5" ht="15">
      <c r="A29" s="17"/>
      <c r="B29" s="17"/>
      <c r="C29" s="18"/>
      <c r="D29" s="18"/>
      <c r="E29" s="18"/>
    </row>
    <row r="30" spans="1:6" ht="15">
      <c r="A30" s="17"/>
      <c r="B30" s="17"/>
      <c r="C30" s="26"/>
      <c r="D30" s="26"/>
      <c r="E30" s="26"/>
      <c r="F30" s="55"/>
    </row>
    <row r="31" spans="1:7" ht="15">
      <c r="A31" s="17"/>
      <c r="B31" s="17"/>
      <c r="C31" s="18">
        <v>2011</v>
      </c>
      <c r="D31" s="18">
        <v>2012</v>
      </c>
      <c r="E31" s="18">
        <v>2013</v>
      </c>
      <c r="F31" s="18">
        <v>2014</v>
      </c>
      <c r="G31" s="18">
        <v>2015</v>
      </c>
    </row>
    <row r="32" spans="1:7" ht="25.5">
      <c r="A32" s="17"/>
      <c r="B32" s="17"/>
      <c r="C32" s="27" t="s">
        <v>26</v>
      </c>
      <c r="D32" s="27" t="s">
        <v>26</v>
      </c>
      <c r="E32" s="27" t="s">
        <v>26</v>
      </c>
      <c r="F32" s="27" t="s">
        <v>26</v>
      </c>
      <c r="G32" s="27" t="s">
        <v>26</v>
      </c>
    </row>
    <row r="33" spans="1:7" ht="15">
      <c r="A33" s="17"/>
      <c r="B33" s="15" t="s">
        <v>23</v>
      </c>
      <c r="C33" s="22">
        <f>C25/(1-C12)</f>
        <v>0</v>
      </c>
      <c r="D33" s="22">
        <f>D25/(1-D12)</f>
        <v>-125181.60544067796</v>
      </c>
      <c r="E33" s="22">
        <f>E25/(1-E12)</f>
        <v>-191975.62793154363</v>
      </c>
      <c r="F33" s="22">
        <f>F25/(1-F12)</f>
        <v>-245639.8639</v>
      </c>
      <c r="G33" s="22">
        <f>G25/(1-G12)</f>
        <v>-277649.4548916667</v>
      </c>
    </row>
    <row r="34" spans="1:7" ht="15">
      <c r="A34" s="17"/>
      <c r="B34" s="15" t="s">
        <v>24</v>
      </c>
      <c r="C34" s="22">
        <f>C20</f>
        <v>0</v>
      </c>
      <c r="D34" s="22">
        <f>D20</f>
        <v>0</v>
      </c>
      <c r="E34" s="22">
        <f>E20</f>
        <v>0</v>
      </c>
      <c r="F34" s="22">
        <f>F20</f>
        <v>0</v>
      </c>
      <c r="G34" s="22">
        <f>G20</f>
        <v>0</v>
      </c>
    </row>
    <row r="35" spans="1:7" ht="15">
      <c r="A35" s="17"/>
      <c r="B35" s="15" t="s">
        <v>25</v>
      </c>
      <c r="C35" s="28">
        <f>SUM(C33:C34)</f>
        <v>0</v>
      </c>
      <c r="D35" s="28">
        <f>SUM(D33:D34)</f>
        <v>-125181.60544067796</v>
      </c>
      <c r="E35" s="28">
        <f>SUM(E33:E34)</f>
        <v>-191975.62793154363</v>
      </c>
      <c r="F35" s="28">
        <f>SUM(F33:F34)</f>
        <v>-245639.8639</v>
      </c>
      <c r="G35" s="28">
        <f>SUM(G33:G34)</f>
        <v>-277649.4548916667</v>
      </c>
    </row>
  </sheetData>
  <sheetProtection formatColumns="0" selectLockedCells="1"/>
  <printOptions/>
  <pageMargins left="0.75" right="0.75" top="1" bottom="1" header="0.5" footer="0.5"/>
  <pageSetup horizontalDpi="600" verticalDpi="600" orientation="portrait" scale="82"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3:I101"/>
  <sheetViews>
    <sheetView zoomScalePageLayoutView="0" workbookViewId="0" topLeftCell="B11">
      <selection activeCell="E101" sqref="E101"/>
    </sheetView>
  </sheetViews>
  <sheetFormatPr defaultColWidth="8.88671875" defaultRowHeight="15"/>
  <cols>
    <col min="1" max="1" width="8.88671875" style="14" customWidth="1"/>
    <col min="2" max="2" width="39.21484375" style="14" bestFit="1" customWidth="1"/>
    <col min="3" max="3" width="7.3359375" style="14" customWidth="1"/>
    <col min="4" max="4" width="9.6640625" style="33" bestFit="1" customWidth="1"/>
    <col min="5" max="6" width="10.3359375" style="33" bestFit="1" customWidth="1"/>
    <col min="7" max="7" width="10.99609375" style="14" bestFit="1" customWidth="1"/>
    <col min="8" max="8" width="9.99609375" style="14" bestFit="1" customWidth="1"/>
    <col min="9" max="16384" width="8.88671875" style="14" customWidth="1"/>
  </cols>
  <sheetData>
    <row r="3" spans="1:6" ht="15">
      <c r="A3" s="29"/>
      <c r="B3" s="29"/>
      <c r="C3" s="29"/>
      <c r="D3" s="34"/>
      <c r="E3" s="34"/>
      <c r="F3" s="34"/>
    </row>
    <row r="4" spans="1:6" ht="26.25">
      <c r="A4" s="29"/>
      <c r="B4" s="30" t="s">
        <v>33</v>
      </c>
      <c r="C4" s="30"/>
      <c r="D4" s="34"/>
      <c r="E4" s="34"/>
      <c r="F4" s="34"/>
    </row>
    <row r="5" spans="1:8" ht="15">
      <c r="A5" s="29"/>
      <c r="B5" s="29"/>
      <c r="C5" s="29"/>
      <c r="D5" s="41">
        <v>2011</v>
      </c>
      <c r="E5" s="41">
        <v>2012</v>
      </c>
      <c r="F5" s="41">
        <v>2013</v>
      </c>
      <c r="G5" s="41">
        <v>2014</v>
      </c>
      <c r="H5" s="41">
        <v>2015</v>
      </c>
    </row>
    <row r="6" spans="1:6" ht="18">
      <c r="A6" s="29"/>
      <c r="B6" s="31" t="s">
        <v>79</v>
      </c>
      <c r="C6" s="31"/>
      <c r="D6" s="35"/>
      <c r="E6" s="35"/>
      <c r="F6" s="35"/>
    </row>
    <row r="7" spans="1:8" ht="15">
      <c r="A7" s="29"/>
      <c r="B7" s="29"/>
      <c r="C7" s="29"/>
      <c r="D7" s="34"/>
      <c r="E7" s="34"/>
      <c r="F7" s="34"/>
      <c r="H7" s="90"/>
    </row>
    <row r="8" spans="1:8" ht="15">
      <c r="A8" s="29"/>
      <c r="B8" s="29" t="s">
        <v>27</v>
      </c>
      <c r="C8" s="29"/>
      <c r="D8" s="36">
        <v>0</v>
      </c>
      <c r="E8" s="36">
        <f>D10</f>
        <v>0</v>
      </c>
      <c r="F8" s="36">
        <f>E10</f>
        <v>89000</v>
      </c>
      <c r="G8" s="36">
        <f>F10</f>
        <v>89000</v>
      </c>
      <c r="H8" s="36">
        <f>G10</f>
        <v>89000</v>
      </c>
    </row>
    <row r="9" spans="1:8" ht="15">
      <c r="A9" s="29"/>
      <c r="B9" s="32" t="s">
        <v>77</v>
      </c>
      <c r="C9" s="32"/>
      <c r="D9" s="37"/>
      <c r="E9" s="37">
        <v>89000</v>
      </c>
      <c r="F9" s="37"/>
      <c r="G9" s="37"/>
      <c r="H9" s="37"/>
    </row>
    <row r="10" spans="1:8" ht="15">
      <c r="A10" s="29"/>
      <c r="B10" s="29" t="s">
        <v>28</v>
      </c>
      <c r="C10" s="29"/>
      <c r="D10" s="36">
        <f>SUM(D8:D9)</f>
        <v>0</v>
      </c>
      <c r="E10" s="36">
        <f>SUM(E8:E9)</f>
        <v>89000</v>
      </c>
      <c r="F10" s="36">
        <f>SUM(F8:F9)</f>
        <v>89000</v>
      </c>
      <c r="G10" s="36">
        <f>SUM(G8:G9)</f>
        <v>89000</v>
      </c>
      <c r="H10" s="36">
        <f>SUM(H8:H9)</f>
        <v>89000</v>
      </c>
    </row>
    <row r="11" spans="1:6" ht="15">
      <c r="A11" s="29"/>
      <c r="B11" s="29"/>
      <c r="C11" s="29"/>
      <c r="D11" s="38"/>
      <c r="E11" s="38"/>
      <c r="F11" s="34"/>
    </row>
    <row r="12" spans="1:8" ht="15">
      <c r="A12" s="29"/>
      <c r="B12" s="29" t="s">
        <v>29</v>
      </c>
      <c r="C12" s="29"/>
      <c r="D12" s="36">
        <v>0</v>
      </c>
      <c r="E12" s="36">
        <f>D15</f>
        <v>0</v>
      </c>
      <c r="F12" s="36">
        <f>E15</f>
        <v>26700</v>
      </c>
      <c r="G12" s="36">
        <f>F15</f>
        <v>26700</v>
      </c>
      <c r="H12" s="36">
        <f>G15</f>
        <v>26700</v>
      </c>
    </row>
    <row r="13" spans="1:9" ht="15">
      <c r="A13" s="29"/>
      <c r="B13" s="32" t="s">
        <v>47</v>
      </c>
      <c r="C13" s="43" t="s">
        <v>76</v>
      </c>
      <c r="D13" s="34">
        <f>D9/$I$13/2</f>
        <v>0</v>
      </c>
      <c r="E13" s="34">
        <f>E9/$I$13/2</f>
        <v>8900</v>
      </c>
      <c r="F13" s="34">
        <f>F9/$I$13/2</f>
        <v>0</v>
      </c>
      <c r="G13" s="34">
        <f>G9/$I$13/2</f>
        <v>0</v>
      </c>
      <c r="H13" s="34">
        <f>H9/$I$13/2</f>
        <v>0</v>
      </c>
      <c r="I13" s="14">
        <v>5</v>
      </c>
    </row>
    <row r="14" spans="1:8" ht="15">
      <c r="A14" s="29"/>
      <c r="B14" s="32" t="s">
        <v>48</v>
      </c>
      <c r="C14"/>
      <c r="D14" s="34">
        <f>D9/$I$13</f>
        <v>0</v>
      </c>
      <c r="E14" s="34">
        <f>E9/$I$13</f>
        <v>17800</v>
      </c>
      <c r="F14" s="34">
        <f>F9/$I$13</f>
        <v>0</v>
      </c>
      <c r="G14" s="34">
        <f>G9/$I$13</f>
        <v>0</v>
      </c>
      <c r="H14" s="34">
        <f>H9/$I$13</f>
        <v>0</v>
      </c>
    </row>
    <row r="15" spans="1:8" ht="15">
      <c r="A15" s="29"/>
      <c r="B15" s="29" t="s">
        <v>30</v>
      </c>
      <c r="C15" s="29"/>
      <c r="D15" s="36">
        <f>SUM(D12:D14)</f>
        <v>0</v>
      </c>
      <c r="E15" s="36">
        <f>SUM(E12:E14)</f>
        <v>26700</v>
      </c>
      <c r="F15" s="36">
        <f>SUM(F12:F14)</f>
        <v>26700</v>
      </c>
      <c r="G15" s="36">
        <f>SUM(G12:G14)</f>
        <v>26700</v>
      </c>
      <c r="H15" s="36">
        <f>SUM(H12:H14)</f>
        <v>26700</v>
      </c>
    </row>
    <row r="16" spans="1:6" ht="15">
      <c r="A16" s="29"/>
      <c r="B16" s="29"/>
      <c r="C16" s="29"/>
      <c r="D16" s="39"/>
      <c r="E16" s="39"/>
      <c r="F16" s="34"/>
    </row>
    <row r="17" spans="1:8" ht="15">
      <c r="A17" s="29"/>
      <c r="B17" s="29" t="s">
        <v>31</v>
      </c>
      <c r="C17" s="29"/>
      <c r="D17" s="34">
        <f>D8-D12</f>
        <v>0</v>
      </c>
      <c r="E17" s="34">
        <f>E8-E12</f>
        <v>0</v>
      </c>
      <c r="F17" s="34">
        <f>F8-F12</f>
        <v>62300</v>
      </c>
      <c r="G17" s="34">
        <f>G8-G12</f>
        <v>62300</v>
      </c>
      <c r="H17" s="34">
        <f>H8-H12</f>
        <v>62300</v>
      </c>
    </row>
    <row r="18" spans="1:8" ht="15">
      <c r="A18" s="29"/>
      <c r="B18" s="29" t="s">
        <v>32</v>
      </c>
      <c r="C18" s="29"/>
      <c r="D18" s="36">
        <f>D10-D15</f>
        <v>0</v>
      </c>
      <c r="E18" s="36">
        <f>E10-E15</f>
        <v>62300</v>
      </c>
      <c r="F18" s="36">
        <f>F10-F15</f>
        <v>62300</v>
      </c>
      <c r="G18" s="36">
        <f>G10-G15</f>
        <v>62300</v>
      </c>
      <c r="H18" s="36">
        <f>H10-H15</f>
        <v>62300</v>
      </c>
    </row>
    <row r="19" spans="1:8" ht="15.75" thickBot="1">
      <c r="A19" s="29"/>
      <c r="B19" s="29" t="s">
        <v>33</v>
      </c>
      <c r="C19" s="29"/>
      <c r="D19" s="40">
        <f>SUM(D17:D18)/2</f>
        <v>0</v>
      </c>
      <c r="E19" s="40">
        <f>SUM(E17:E18)/2</f>
        <v>31150</v>
      </c>
      <c r="F19" s="40">
        <f>SUM(F17:F18)/2</f>
        <v>62300</v>
      </c>
      <c r="G19" s="40">
        <f>SUM(G17:G18)/2</f>
        <v>62300</v>
      </c>
      <c r="H19" s="40">
        <f>SUM(H17:H18)/2</f>
        <v>62300</v>
      </c>
    </row>
    <row r="20" spans="1:6" ht="15">
      <c r="A20" s="29"/>
      <c r="B20" s="29"/>
      <c r="C20" s="29"/>
      <c r="D20" s="38"/>
      <c r="E20" s="38"/>
      <c r="F20" s="38"/>
    </row>
    <row r="21" spans="1:6" ht="15">
      <c r="A21" s="29"/>
      <c r="B21" s="29"/>
      <c r="C21" s="29"/>
      <c r="D21" s="35"/>
      <c r="E21" s="35"/>
      <c r="F21" s="35"/>
    </row>
    <row r="22" spans="1:8" ht="15">
      <c r="A22" s="29"/>
      <c r="B22" s="29"/>
      <c r="C22" s="29"/>
      <c r="D22" s="41">
        <v>2011</v>
      </c>
      <c r="E22" s="41">
        <v>2012</v>
      </c>
      <c r="F22" s="41">
        <v>2013</v>
      </c>
      <c r="G22" s="41">
        <v>2014</v>
      </c>
      <c r="H22" s="41">
        <v>2015</v>
      </c>
    </row>
    <row r="23" spans="1:6" ht="18">
      <c r="A23" s="29"/>
      <c r="B23" s="31" t="s">
        <v>80</v>
      </c>
      <c r="C23" s="31"/>
      <c r="D23" s="35"/>
      <c r="E23" s="35"/>
      <c r="F23" s="35"/>
    </row>
    <row r="24" spans="1:6" ht="15">
      <c r="A24" s="29"/>
      <c r="B24" s="137" t="s">
        <v>85</v>
      </c>
      <c r="C24" s="29"/>
      <c r="D24" s="34"/>
      <c r="E24" s="34"/>
      <c r="F24" s="34"/>
    </row>
    <row r="25" spans="1:8" ht="15">
      <c r="A25" s="29"/>
      <c r="B25" s="29" t="s">
        <v>27</v>
      </c>
      <c r="C25" s="29"/>
      <c r="D25" s="36">
        <v>0</v>
      </c>
      <c r="E25" s="36">
        <f>D27</f>
        <v>0</v>
      </c>
      <c r="F25" s="36">
        <f>E27</f>
        <v>50000</v>
      </c>
      <c r="G25" s="36">
        <f>F27</f>
        <v>50000</v>
      </c>
      <c r="H25" s="36">
        <f>G27</f>
        <v>50000</v>
      </c>
    </row>
    <row r="26" spans="1:8" ht="15">
      <c r="A26" s="29"/>
      <c r="B26" s="32" t="s">
        <v>78</v>
      </c>
      <c r="C26" s="32"/>
      <c r="D26" s="37"/>
      <c r="E26" s="37">
        <v>50000</v>
      </c>
      <c r="F26" s="37"/>
      <c r="G26" s="37"/>
      <c r="H26" s="37"/>
    </row>
    <row r="27" spans="1:8" ht="15">
      <c r="A27" s="29"/>
      <c r="B27" s="29" t="s">
        <v>28</v>
      </c>
      <c r="C27" s="29"/>
      <c r="D27" s="36">
        <f>SUM(D25:D26)</f>
        <v>0</v>
      </c>
      <c r="E27" s="36">
        <f>SUM(E25:E26)</f>
        <v>50000</v>
      </c>
      <c r="F27" s="36">
        <f>SUM(F25:F26)</f>
        <v>50000</v>
      </c>
      <c r="G27" s="36">
        <f>SUM(G25:G26)</f>
        <v>50000</v>
      </c>
      <c r="H27" s="36">
        <f>SUM(H25:H26)</f>
        <v>50000</v>
      </c>
    </row>
    <row r="28" spans="1:6" ht="15">
      <c r="A28" s="29"/>
      <c r="B28" s="29"/>
      <c r="C28" s="29"/>
      <c r="D28" s="38"/>
      <c r="E28" s="38"/>
      <c r="F28" s="34"/>
    </row>
    <row r="29" spans="1:8" ht="15">
      <c r="A29" s="29"/>
      <c r="B29" s="29" t="s">
        <v>29</v>
      </c>
      <c r="C29" s="29"/>
      <c r="D29" s="36">
        <v>0</v>
      </c>
      <c r="E29" s="36">
        <f>D32</f>
        <v>0</v>
      </c>
      <c r="F29" s="36">
        <f>E32</f>
        <v>5000</v>
      </c>
      <c r="G29" s="36">
        <f>F32</f>
        <v>15000</v>
      </c>
      <c r="H29" s="36">
        <f>G32</f>
        <v>25000</v>
      </c>
    </row>
    <row r="30" spans="1:9" ht="15">
      <c r="A30" s="29"/>
      <c r="B30" s="32" t="s">
        <v>47</v>
      </c>
      <c r="C30" s="43" t="s">
        <v>76</v>
      </c>
      <c r="D30" s="34">
        <f>D26/$I$30/2</f>
        <v>0</v>
      </c>
      <c r="E30" s="34">
        <f>E26/$I$30/2</f>
        <v>5000</v>
      </c>
      <c r="F30" s="34">
        <f>F26/$I$30/2</f>
        <v>0</v>
      </c>
      <c r="G30" s="34">
        <f>G26/$I$30/2</f>
        <v>0</v>
      </c>
      <c r="H30" s="34">
        <f>H26/$I$30/2</f>
        <v>0</v>
      </c>
      <c r="I30" s="14">
        <v>5</v>
      </c>
    </row>
    <row r="31" spans="1:8" ht="15">
      <c r="A31" s="29"/>
      <c r="B31" s="32" t="s">
        <v>48</v>
      </c>
      <c r="C31"/>
      <c r="D31" s="34">
        <f>D25/$I$30</f>
        <v>0</v>
      </c>
      <c r="E31" s="34">
        <f>E25/$I$30</f>
        <v>0</v>
      </c>
      <c r="F31" s="34">
        <f>F25/$I$30</f>
        <v>10000</v>
      </c>
      <c r="G31" s="34">
        <f>G25/$I$30</f>
        <v>10000</v>
      </c>
      <c r="H31" s="34">
        <f>H25/$I$30</f>
        <v>10000</v>
      </c>
    </row>
    <row r="32" spans="1:8" ht="15">
      <c r="A32" s="29"/>
      <c r="B32" s="29" t="s">
        <v>30</v>
      </c>
      <c r="C32" s="29"/>
      <c r="D32" s="36">
        <f>SUM(D29:D31)</f>
        <v>0</v>
      </c>
      <c r="E32" s="36">
        <f>SUM(E29:E31)</f>
        <v>5000</v>
      </c>
      <c r="F32" s="36">
        <f>SUM(F29:F31)</f>
        <v>15000</v>
      </c>
      <c r="G32" s="36">
        <f>SUM(G29:G31)</f>
        <v>25000</v>
      </c>
      <c r="H32" s="36">
        <f>SUM(H29:H31)</f>
        <v>35000</v>
      </c>
    </row>
    <row r="33" spans="1:8" ht="15">
      <c r="A33" s="29"/>
      <c r="B33" s="29"/>
      <c r="C33" s="29"/>
      <c r="D33" s="39"/>
      <c r="E33" s="39"/>
      <c r="F33" s="34"/>
      <c r="G33" s="34"/>
      <c r="H33" s="34"/>
    </row>
    <row r="34" spans="1:8" ht="15">
      <c r="A34" s="29"/>
      <c r="B34" s="29" t="s">
        <v>31</v>
      </c>
      <c r="C34" s="29"/>
      <c r="D34" s="34">
        <f>D25-D29</f>
        <v>0</v>
      </c>
      <c r="E34" s="34">
        <f>E25-E29</f>
        <v>0</v>
      </c>
      <c r="F34" s="34">
        <f>F25-F29</f>
        <v>45000</v>
      </c>
      <c r="G34" s="34">
        <f>G25-G29</f>
        <v>35000</v>
      </c>
      <c r="H34" s="34">
        <f>H25-H29</f>
        <v>25000</v>
      </c>
    </row>
    <row r="35" spans="1:8" ht="15">
      <c r="A35" s="29"/>
      <c r="B35" s="29" t="s">
        <v>32</v>
      </c>
      <c r="C35" s="29"/>
      <c r="D35" s="36">
        <f>D27-D32</f>
        <v>0</v>
      </c>
      <c r="E35" s="36">
        <f>E27-E32</f>
        <v>45000</v>
      </c>
      <c r="F35" s="36">
        <f>F27-F32</f>
        <v>35000</v>
      </c>
      <c r="G35" s="36">
        <f>G27-G32</f>
        <v>25000</v>
      </c>
      <c r="H35" s="36">
        <f>H27-H32</f>
        <v>15000</v>
      </c>
    </row>
    <row r="36" spans="1:8" ht="15.75" thickBot="1">
      <c r="A36" s="29"/>
      <c r="B36" s="29" t="s">
        <v>33</v>
      </c>
      <c r="C36" s="29"/>
      <c r="D36" s="40">
        <f>SUM(D34:D35)/2</f>
        <v>0</v>
      </c>
      <c r="E36" s="40">
        <f>SUM(E34:E35)/2</f>
        <v>22500</v>
      </c>
      <c r="F36" s="40">
        <f>SUM(F34:F35)/2</f>
        <v>40000</v>
      </c>
      <c r="G36" s="40">
        <f>SUM(G34:G35)/2</f>
        <v>30000</v>
      </c>
      <c r="H36" s="40">
        <f>SUM(H34:H35)/2</f>
        <v>20000</v>
      </c>
    </row>
    <row r="37" spans="1:8" ht="15">
      <c r="A37" s="29"/>
      <c r="B37" s="29"/>
      <c r="C37" s="29"/>
      <c r="D37" s="38"/>
      <c r="E37" s="38"/>
      <c r="F37" s="38"/>
      <c r="G37" s="38"/>
      <c r="H37" s="38"/>
    </row>
    <row r="38" spans="1:8" ht="15">
      <c r="A38" s="29"/>
      <c r="B38" s="29"/>
      <c r="C38" s="29"/>
      <c r="D38" s="38"/>
      <c r="E38" s="38"/>
      <c r="F38" s="38"/>
      <c r="G38" s="38"/>
      <c r="H38" s="38"/>
    </row>
    <row r="39" spans="1:6" ht="18">
      <c r="A39" s="29"/>
      <c r="B39" s="31" t="s">
        <v>87</v>
      </c>
      <c r="C39" s="31"/>
      <c r="D39" s="35"/>
      <c r="E39" s="35"/>
      <c r="F39" s="35"/>
    </row>
    <row r="40" spans="1:6" ht="15">
      <c r="A40" s="29"/>
      <c r="B40" s="137" t="s">
        <v>86</v>
      </c>
      <c r="C40" s="29"/>
      <c r="D40" s="34"/>
      <c r="E40" s="34"/>
      <c r="F40" s="34"/>
    </row>
    <row r="41" spans="1:8" ht="15">
      <c r="A41" s="29"/>
      <c r="B41" s="29" t="s">
        <v>27</v>
      </c>
      <c r="C41" s="29"/>
      <c r="D41" s="36">
        <v>0</v>
      </c>
      <c r="E41" s="36">
        <f>D43</f>
        <v>0</v>
      </c>
      <c r="F41" s="36">
        <f>E43</f>
        <v>390000</v>
      </c>
      <c r="G41" s="36">
        <f>F43</f>
        <v>390000</v>
      </c>
      <c r="H41" s="36">
        <f>G43</f>
        <v>390000</v>
      </c>
    </row>
    <row r="42" spans="1:8" ht="15">
      <c r="A42" s="29"/>
      <c r="B42" s="32" t="s">
        <v>78</v>
      </c>
      <c r="C42" s="32"/>
      <c r="D42" s="37"/>
      <c r="E42" s="37">
        <v>390000</v>
      </c>
      <c r="F42" s="37"/>
      <c r="G42" s="37"/>
      <c r="H42" s="37"/>
    </row>
    <row r="43" spans="1:8" ht="15">
      <c r="A43" s="29"/>
      <c r="B43" s="29" t="s">
        <v>28</v>
      </c>
      <c r="C43" s="29"/>
      <c r="D43" s="36">
        <f>SUM(D41:D42)</f>
        <v>0</v>
      </c>
      <c r="E43" s="36">
        <f>SUM(E41:E42)</f>
        <v>390000</v>
      </c>
      <c r="F43" s="36">
        <f>SUM(F41:F42)</f>
        <v>390000</v>
      </c>
      <c r="G43" s="36">
        <f>SUM(G41:G42)</f>
        <v>390000</v>
      </c>
      <c r="H43" s="36">
        <f>SUM(H41:H42)</f>
        <v>390000</v>
      </c>
    </row>
    <row r="44" spans="1:6" ht="15">
      <c r="A44" s="29"/>
      <c r="B44" s="29"/>
      <c r="C44" s="29"/>
      <c r="D44" s="38"/>
      <c r="E44" s="38"/>
      <c r="F44" s="34"/>
    </row>
    <row r="45" spans="1:8" ht="15">
      <c r="A45" s="29"/>
      <c r="B45" s="29" t="s">
        <v>29</v>
      </c>
      <c r="C45" s="29"/>
      <c r="D45" s="36">
        <v>0</v>
      </c>
      <c r="E45" s="36">
        <f>D48</f>
        <v>0</v>
      </c>
      <c r="F45" s="36">
        <f>E48</f>
        <v>39000</v>
      </c>
      <c r="G45" s="36">
        <f>F48</f>
        <v>117000</v>
      </c>
      <c r="H45" s="36">
        <f>G48</f>
        <v>195000</v>
      </c>
    </row>
    <row r="46" spans="1:8" ht="15">
      <c r="A46" s="29"/>
      <c r="B46" s="32" t="s">
        <v>47</v>
      </c>
      <c r="C46" s="43" t="s">
        <v>76</v>
      </c>
      <c r="D46" s="34">
        <f>D42/$I$30/2</f>
        <v>0</v>
      </c>
      <c r="E46" s="34">
        <f>E42/$I$30/2</f>
        <v>39000</v>
      </c>
      <c r="F46" s="34">
        <f>F42/$I$30/2</f>
        <v>0</v>
      </c>
      <c r="G46" s="34">
        <f>G42/$I$30/2</f>
        <v>0</v>
      </c>
      <c r="H46" s="34">
        <f>H42/$I$30/2</f>
        <v>0</v>
      </c>
    </row>
    <row r="47" spans="1:8" ht="15">
      <c r="A47" s="29"/>
      <c r="B47" s="32" t="s">
        <v>48</v>
      </c>
      <c r="C47"/>
      <c r="D47" s="34">
        <f>D41/$I$30</f>
        <v>0</v>
      </c>
      <c r="E47" s="34">
        <f>E41/$I$30</f>
        <v>0</v>
      </c>
      <c r="F47" s="34">
        <f>F41/$I$30</f>
        <v>78000</v>
      </c>
      <c r="G47" s="34">
        <f>G41/$I$30</f>
        <v>78000</v>
      </c>
      <c r="H47" s="34">
        <f>H41/$I$30</f>
        <v>78000</v>
      </c>
    </row>
    <row r="48" spans="1:8" ht="15">
      <c r="A48" s="29"/>
      <c r="B48" s="29" t="s">
        <v>30</v>
      </c>
      <c r="C48" s="29"/>
      <c r="D48" s="36">
        <f>SUM(D45:D47)</f>
        <v>0</v>
      </c>
      <c r="E48" s="36">
        <f>SUM(E45:E47)</f>
        <v>39000</v>
      </c>
      <c r="F48" s="36">
        <f>SUM(F45:F47)</f>
        <v>117000</v>
      </c>
      <c r="G48" s="36">
        <f>SUM(G45:G47)</f>
        <v>195000</v>
      </c>
      <c r="H48" s="36">
        <f>SUM(H45:H47)</f>
        <v>273000</v>
      </c>
    </row>
    <row r="49" spans="1:8" ht="15">
      <c r="A49" s="29"/>
      <c r="B49" s="29"/>
      <c r="C49" s="29"/>
      <c r="D49" s="39"/>
      <c r="E49" s="39"/>
      <c r="F49" s="34"/>
      <c r="G49" s="34"/>
      <c r="H49" s="34"/>
    </row>
    <row r="50" spans="1:8" ht="15">
      <c r="A50" s="29"/>
      <c r="B50" s="29" t="s">
        <v>31</v>
      </c>
      <c r="C50" s="29"/>
      <c r="D50" s="34">
        <f>D41-D45</f>
        <v>0</v>
      </c>
      <c r="E50" s="34">
        <f>E41-E45</f>
        <v>0</v>
      </c>
      <c r="F50" s="34">
        <f>F41-F45</f>
        <v>351000</v>
      </c>
      <c r="G50" s="34">
        <f>G41-G45</f>
        <v>273000</v>
      </c>
      <c r="H50" s="34">
        <f>H41-H45</f>
        <v>195000</v>
      </c>
    </row>
    <row r="51" spans="1:8" ht="15">
      <c r="A51" s="29"/>
      <c r="B51" s="29" t="s">
        <v>32</v>
      </c>
      <c r="C51" s="29"/>
      <c r="D51" s="36">
        <f>D43-D48</f>
        <v>0</v>
      </c>
      <c r="E51" s="36">
        <f>E43-E48</f>
        <v>351000</v>
      </c>
      <c r="F51" s="36">
        <f>F43-F48</f>
        <v>273000</v>
      </c>
      <c r="G51" s="36">
        <f>G43-G48</f>
        <v>195000</v>
      </c>
      <c r="H51" s="36">
        <f>H43-H48</f>
        <v>117000</v>
      </c>
    </row>
    <row r="52" spans="1:8" ht="15.75" thickBot="1">
      <c r="A52" s="29"/>
      <c r="B52" s="29" t="s">
        <v>33</v>
      </c>
      <c r="C52" s="29"/>
      <c r="D52" s="40">
        <f>SUM(D50:D51)/2</f>
        <v>0</v>
      </c>
      <c r="E52" s="40">
        <f>SUM(E50:E51)/2</f>
        <v>175500</v>
      </c>
      <c r="F52" s="40">
        <f>SUM(F50:F51)/2</f>
        <v>312000</v>
      </c>
      <c r="G52" s="40">
        <f>SUM(G50:G51)/2</f>
        <v>234000</v>
      </c>
      <c r="H52" s="40">
        <f>SUM(H50:H51)/2</f>
        <v>156000</v>
      </c>
    </row>
    <row r="53" spans="1:6" ht="26.25">
      <c r="A53" s="29"/>
      <c r="B53" s="30" t="s">
        <v>34</v>
      </c>
      <c r="C53" s="30"/>
      <c r="D53" s="34"/>
      <c r="E53" s="34"/>
      <c r="F53" s="34"/>
    </row>
    <row r="54" spans="1:6" ht="15">
      <c r="A54" s="29"/>
      <c r="B54" s="29"/>
      <c r="C54" s="29"/>
      <c r="D54" s="34"/>
      <c r="E54" s="34"/>
      <c r="F54" s="34"/>
    </row>
    <row r="55" spans="1:6" ht="15">
      <c r="A55" s="29"/>
      <c r="B55" s="29"/>
      <c r="C55" s="29"/>
      <c r="D55" s="34"/>
      <c r="E55" s="34"/>
      <c r="F55" s="34"/>
    </row>
    <row r="56" spans="1:8" ht="18">
      <c r="A56" s="29"/>
      <c r="B56" s="31" t="s">
        <v>81</v>
      </c>
      <c r="C56" s="31"/>
      <c r="D56" s="41">
        <v>2011</v>
      </c>
      <c r="E56" s="41">
        <v>2012</v>
      </c>
      <c r="F56" s="41">
        <v>2013</v>
      </c>
      <c r="G56" s="41">
        <v>2014</v>
      </c>
      <c r="H56" s="41">
        <v>2015</v>
      </c>
    </row>
    <row r="57" spans="1:6" ht="15">
      <c r="A57" s="29"/>
      <c r="B57" s="137" t="s">
        <v>83</v>
      </c>
      <c r="C57" s="29"/>
      <c r="D57" s="35"/>
      <c r="E57" s="35"/>
      <c r="F57" s="35"/>
    </row>
    <row r="58" spans="1:6" ht="15">
      <c r="A58" s="29"/>
      <c r="B58" s="29"/>
      <c r="C58" s="29"/>
      <c r="D58" s="34"/>
      <c r="E58" s="34"/>
      <c r="F58" s="34"/>
    </row>
    <row r="59" spans="1:8" ht="15">
      <c r="A59" s="29"/>
      <c r="B59" s="29" t="s">
        <v>35</v>
      </c>
      <c r="C59" s="29"/>
      <c r="D59" s="36">
        <v>0</v>
      </c>
      <c r="E59" s="36">
        <f>D67</f>
        <v>0</v>
      </c>
      <c r="F59" s="36">
        <f>E67</f>
        <v>64525</v>
      </c>
      <c r="G59" s="36">
        <f>F67</f>
        <v>29036.25</v>
      </c>
      <c r="H59" s="36">
        <f>G67</f>
        <v>13066.312499999998</v>
      </c>
    </row>
    <row r="60" spans="1:8" ht="15">
      <c r="A60" s="29"/>
      <c r="B60" s="29" t="s">
        <v>36</v>
      </c>
      <c r="C60" s="29"/>
      <c r="D60" s="34">
        <f>D9</f>
        <v>0</v>
      </c>
      <c r="E60" s="34">
        <f>E9</f>
        <v>89000</v>
      </c>
      <c r="F60" s="34">
        <f>F9</f>
        <v>0</v>
      </c>
      <c r="G60" s="34">
        <f>G9</f>
        <v>0</v>
      </c>
      <c r="H60" s="34">
        <f>H9</f>
        <v>0</v>
      </c>
    </row>
    <row r="61" spans="1:8" ht="15">
      <c r="A61" s="29"/>
      <c r="B61" s="29" t="s">
        <v>37</v>
      </c>
      <c r="C61" s="29"/>
      <c r="D61" s="36">
        <f>SUM(D59:D60)</f>
        <v>0</v>
      </c>
      <c r="E61" s="36">
        <f>SUM(E59:E60)</f>
        <v>89000</v>
      </c>
      <c r="F61" s="36">
        <f>SUM(F59:F60)</f>
        <v>64525</v>
      </c>
      <c r="G61" s="36">
        <f>SUM(G59:G60)</f>
        <v>29036.25</v>
      </c>
      <c r="H61" s="36">
        <f>SUM(H59:H60)</f>
        <v>13066.312499999998</v>
      </c>
    </row>
    <row r="62" spans="1:8" ht="15">
      <c r="A62" s="29"/>
      <c r="B62" s="29" t="s">
        <v>38</v>
      </c>
      <c r="C62" s="29"/>
      <c r="D62" s="34">
        <f>D60/2</f>
        <v>0</v>
      </c>
      <c r="E62" s="34">
        <f>E60/2</f>
        <v>44500</v>
      </c>
      <c r="F62" s="34">
        <f>F60/2</f>
        <v>0</v>
      </c>
      <c r="G62" s="34">
        <f>G60/2</f>
        <v>0</v>
      </c>
      <c r="H62" s="34">
        <f>H60/2</f>
        <v>0</v>
      </c>
    </row>
    <row r="63" spans="1:8" ht="15">
      <c r="A63" s="29"/>
      <c r="B63" s="29" t="s">
        <v>39</v>
      </c>
      <c r="C63" s="29"/>
      <c r="D63" s="36">
        <f>D61-D62</f>
        <v>0</v>
      </c>
      <c r="E63" s="36">
        <f>E61-E62</f>
        <v>44500</v>
      </c>
      <c r="F63" s="36">
        <f>F61-F62</f>
        <v>64525</v>
      </c>
      <c r="G63" s="36">
        <f>G61-G62</f>
        <v>29036.25</v>
      </c>
      <c r="H63" s="36">
        <f>H61-H62</f>
        <v>13066.312499999998</v>
      </c>
    </row>
    <row r="64" spans="1:8" ht="15">
      <c r="A64" s="29"/>
      <c r="B64" s="29" t="s">
        <v>42</v>
      </c>
      <c r="C64" s="42">
        <v>50</v>
      </c>
      <c r="D64" s="42">
        <v>50</v>
      </c>
      <c r="E64" s="42">
        <v>50</v>
      </c>
      <c r="F64" s="42">
        <v>50</v>
      </c>
      <c r="G64" s="42">
        <v>50</v>
      </c>
      <c r="H64" s="42">
        <v>50</v>
      </c>
    </row>
    <row r="65" spans="1:8" ht="15">
      <c r="A65" s="29"/>
      <c r="B65" s="29" t="s">
        <v>43</v>
      </c>
      <c r="C65" s="43">
        <v>0.55</v>
      </c>
      <c r="D65" s="43">
        <v>0.55</v>
      </c>
      <c r="E65" s="43">
        <v>0.55</v>
      </c>
      <c r="F65" s="43">
        <v>0.55</v>
      </c>
      <c r="G65" s="43">
        <v>0.55</v>
      </c>
      <c r="H65" s="43">
        <v>0.55</v>
      </c>
    </row>
    <row r="66" spans="1:8" ht="15">
      <c r="A66" s="29"/>
      <c r="B66" s="29" t="s">
        <v>40</v>
      </c>
      <c r="C66" s="29"/>
      <c r="D66" s="36">
        <f>D63*$C$65</f>
        <v>0</v>
      </c>
      <c r="E66" s="36">
        <f>E63*$C$65</f>
        <v>24475.000000000004</v>
      </c>
      <c r="F66" s="36">
        <f>F63*$C$65</f>
        <v>35488.75</v>
      </c>
      <c r="G66" s="36">
        <f>G63*$C$65</f>
        <v>15969.937500000002</v>
      </c>
      <c r="H66" s="36">
        <f>H63*$C$65</f>
        <v>7186.471874999999</v>
      </c>
    </row>
    <row r="67" spans="1:8" ht="15.75" thickBot="1">
      <c r="A67" s="29"/>
      <c r="B67" s="29" t="s">
        <v>41</v>
      </c>
      <c r="C67" s="29"/>
      <c r="D67" s="40">
        <f>D61-D66</f>
        <v>0</v>
      </c>
      <c r="E67" s="40">
        <f>E61-E66</f>
        <v>64525</v>
      </c>
      <c r="F67" s="40">
        <f>F61-F66</f>
        <v>29036.25</v>
      </c>
      <c r="G67" s="40">
        <f>G61-G66</f>
        <v>13066.312499999998</v>
      </c>
      <c r="H67" s="40">
        <f>H61-H66</f>
        <v>5879.840624999999</v>
      </c>
    </row>
    <row r="68" spans="1:6" ht="15">
      <c r="A68" s="29"/>
      <c r="B68" s="29"/>
      <c r="C68" s="29"/>
      <c r="D68" s="34"/>
      <c r="E68" s="34"/>
      <c r="F68" s="34"/>
    </row>
    <row r="73" spans="2:8" ht="18">
      <c r="B73" s="31" t="s">
        <v>82</v>
      </c>
      <c r="C73" s="31"/>
      <c r="D73" s="41">
        <v>2011</v>
      </c>
      <c r="E73" s="41">
        <v>2012</v>
      </c>
      <c r="F73" s="41">
        <v>2013</v>
      </c>
      <c r="G73" s="41">
        <v>2014</v>
      </c>
      <c r="H73" s="41">
        <v>2015</v>
      </c>
    </row>
    <row r="74" spans="2:6" ht="15">
      <c r="B74" s="29"/>
      <c r="C74" s="29"/>
      <c r="D74" s="35"/>
      <c r="E74" s="35"/>
      <c r="F74" s="35"/>
    </row>
    <row r="75" spans="2:6" ht="15">
      <c r="B75" s="29"/>
      <c r="C75" s="29"/>
      <c r="D75" s="34"/>
      <c r="E75" s="34"/>
      <c r="F75" s="34"/>
    </row>
    <row r="76" spans="2:8" ht="15">
      <c r="B76" s="29" t="s">
        <v>35</v>
      </c>
      <c r="C76" s="29"/>
      <c r="D76" s="36">
        <v>0</v>
      </c>
      <c r="E76" s="36">
        <f>D84</f>
        <v>0</v>
      </c>
      <c r="F76" s="36">
        <f>E84</f>
        <v>42500</v>
      </c>
      <c r="G76" s="36">
        <f>F84</f>
        <v>29750</v>
      </c>
      <c r="H76" s="36">
        <f>G84</f>
        <v>20825</v>
      </c>
    </row>
    <row r="77" spans="2:8" ht="15">
      <c r="B77" s="29" t="s">
        <v>36</v>
      </c>
      <c r="C77" s="29"/>
      <c r="D77" s="34">
        <f>D26</f>
        <v>0</v>
      </c>
      <c r="E77" s="34">
        <f>E26</f>
        <v>50000</v>
      </c>
      <c r="F77" s="34">
        <f>F26</f>
        <v>0</v>
      </c>
      <c r="G77" s="34">
        <f>G26</f>
        <v>0</v>
      </c>
      <c r="H77" s="34">
        <f>H26</f>
        <v>0</v>
      </c>
    </row>
    <row r="78" spans="2:8" ht="15">
      <c r="B78" s="29" t="s">
        <v>37</v>
      </c>
      <c r="C78" s="29"/>
      <c r="D78" s="36">
        <f>SUM(D76:D77)</f>
        <v>0</v>
      </c>
      <c r="E78" s="36">
        <f>SUM(E76:E77)</f>
        <v>50000</v>
      </c>
      <c r="F78" s="36">
        <f>SUM(F76:F77)</f>
        <v>42500</v>
      </c>
      <c r="G78" s="36">
        <f>SUM(G76:G77)</f>
        <v>29750</v>
      </c>
      <c r="H78" s="36">
        <f>SUM(H76:H77)</f>
        <v>20825</v>
      </c>
    </row>
    <row r="79" spans="2:8" ht="15">
      <c r="B79" s="29" t="s">
        <v>38</v>
      </c>
      <c r="C79" s="29"/>
      <c r="D79" s="34">
        <f>D77/2</f>
        <v>0</v>
      </c>
      <c r="E79" s="34">
        <f>E77/2</f>
        <v>25000</v>
      </c>
      <c r="F79" s="34">
        <f>F77/2</f>
        <v>0</v>
      </c>
      <c r="G79" s="34">
        <f>G77/2</f>
        <v>0</v>
      </c>
      <c r="H79" s="34">
        <f>H77/2</f>
        <v>0</v>
      </c>
    </row>
    <row r="80" spans="2:8" ht="15">
      <c r="B80" s="29" t="s">
        <v>39</v>
      </c>
      <c r="C80" s="29"/>
      <c r="D80" s="36">
        <f>D78-D79</f>
        <v>0</v>
      </c>
      <c r="E80" s="36">
        <f>E78-E79</f>
        <v>25000</v>
      </c>
      <c r="F80" s="36">
        <f>F78-F79</f>
        <v>42500</v>
      </c>
      <c r="G80" s="36">
        <f>G78-G79</f>
        <v>29750</v>
      </c>
      <c r="H80" s="36">
        <f>H78-H79</f>
        <v>20825</v>
      </c>
    </row>
    <row r="81" spans="2:8" ht="15">
      <c r="B81" s="29" t="s">
        <v>42</v>
      </c>
      <c r="C81" s="42">
        <v>10</v>
      </c>
      <c r="D81" s="42">
        <v>10</v>
      </c>
      <c r="E81" s="42">
        <v>10</v>
      </c>
      <c r="F81" s="42">
        <v>10</v>
      </c>
      <c r="G81" s="42">
        <v>10</v>
      </c>
      <c r="H81" s="42">
        <v>10</v>
      </c>
    </row>
    <row r="82" spans="2:8" ht="15">
      <c r="B82" s="29" t="s">
        <v>43</v>
      </c>
      <c r="C82" s="43">
        <v>0.3</v>
      </c>
      <c r="D82" s="43">
        <v>0.3</v>
      </c>
      <c r="E82" s="43">
        <v>0.3</v>
      </c>
      <c r="F82" s="43">
        <v>0.3</v>
      </c>
      <c r="G82" s="43">
        <v>0.3</v>
      </c>
      <c r="H82" s="43">
        <v>0.3</v>
      </c>
    </row>
    <row r="83" spans="2:8" ht="15">
      <c r="B83" s="29" t="s">
        <v>40</v>
      </c>
      <c r="C83" s="29"/>
      <c r="D83" s="36">
        <f>D80*$C$82</f>
        <v>0</v>
      </c>
      <c r="E83" s="36">
        <f>E80*$C$82</f>
        <v>7500</v>
      </c>
      <c r="F83" s="36">
        <f>F80*$C$82</f>
        <v>12750</v>
      </c>
      <c r="G83" s="36">
        <f>G80*$C$82</f>
        <v>8925</v>
      </c>
      <c r="H83" s="36">
        <f>H80*$C$82</f>
        <v>6247.5</v>
      </c>
    </row>
    <row r="84" spans="2:8" ht="15.75" thickBot="1">
      <c r="B84" s="29" t="s">
        <v>41</v>
      </c>
      <c r="C84" s="29"/>
      <c r="D84" s="40">
        <f>D78-D83</f>
        <v>0</v>
      </c>
      <c r="E84" s="40">
        <f>E78-E83</f>
        <v>42500</v>
      </c>
      <c r="F84" s="40">
        <f>F78-F83</f>
        <v>29750</v>
      </c>
      <c r="G84" s="40">
        <f>G78-G83</f>
        <v>20825</v>
      </c>
      <c r="H84" s="40">
        <f>H78-H83</f>
        <v>14577.5</v>
      </c>
    </row>
    <row r="85" spans="2:6" ht="15">
      <c r="B85" s="29"/>
      <c r="C85" s="29"/>
      <c r="D85" s="34"/>
      <c r="E85" s="34"/>
      <c r="F85" s="34"/>
    </row>
    <row r="88" spans="2:8" ht="18">
      <c r="B88" s="138"/>
      <c r="C88" s="138"/>
      <c r="D88" s="139"/>
      <c r="E88" s="139"/>
      <c r="F88" s="139"/>
      <c r="G88" s="139"/>
      <c r="H88" s="139"/>
    </row>
    <row r="89" spans="2:8" ht="15">
      <c r="B89" s="140"/>
      <c r="C89" s="141"/>
      <c r="D89" s="142"/>
      <c r="E89" s="142"/>
      <c r="F89" s="142"/>
      <c r="G89" s="90"/>
      <c r="H89" s="90"/>
    </row>
    <row r="90" spans="2:8" ht="18">
      <c r="B90" s="31" t="s">
        <v>84</v>
      </c>
      <c r="C90" s="31"/>
      <c r="D90" s="41">
        <v>2011</v>
      </c>
      <c r="E90" s="41">
        <v>2012</v>
      </c>
      <c r="F90" s="41">
        <v>2013</v>
      </c>
      <c r="G90" s="41">
        <v>2014</v>
      </c>
      <c r="H90" s="41">
        <v>2015</v>
      </c>
    </row>
    <row r="91" spans="2:6" ht="15">
      <c r="B91" s="137" t="s">
        <v>86</v>
      </c>
      <c r="C91" s="29"/>
      <c r="D91" s="35"/>
      <c r="E91" s="35"/>
      <c r="F91" s="35"/>
    </row>
    <row r="92" spans="2:6" ht="15">
      <c r="B92" s="29"/>
      <c r="C92" s="29"/>
      <c r="D92" s="34"/>
      <c r="E92" s="34"/>
      <c r="F92" s="34"/>
    </row>
    <row r="93" spans="2:8" ht="15">
      <c r="B93" s="29" t="s">
        <v>35</v>
      </c>
      <c r="C93" s="29"/>
      <c r="D93" s="36">
        <v>0</v>
      </c>
      <c r="E93" s="36">
        <f>D101</f>
        <v>0</v>
      </c>
      <c r="F93" s="36">
        <f>E101</f>
        <v>331500</v>
      </c>
      <c r="G93" s="36">
        <f>F101</f>
        <v>563550</v>
      </c>
      <c r="H93" s="36">
        <f>G101</f>
        <v>725985</v>
      </c>
    </row>
    <row r="94" spans="2:8" ht="15">
      <c r="B94" s="29" t="s">
        <v>36</v>
      </c>
      <c r="C94" s="29"/>
      <c r="D94" s="34">
        <f>D43</f>
        <v>0</v>
      </c>
      <c r="E94" s="34">
        <f>E43</f>
        <v>390000</v>
      </c>
      <c r="F94" s="34">
        <f>F43</f>
        <v>390000</v>
      </c>
      <c r="G94" s="34">
        <f>G43</f>
        <v>390000</v>
      </c>
      <c r="H94" s="34">
        <f>H43</f>
        <v>390000</v>
      </c>
    </row>
    <row r="95" spans="2:8" ht="15">
      <c r="B95" s="29" t="s">
        <v>37</v>
      </c>
      <c r="C95" s="29"/>
      <c r="D95" s="36">
        <f>SUM(D93:D94)</f>
        <v>0</v>
      </c>
      <c r="E95" s="36">
        <f>SUM(E93:E94)</f>
        <v>390000</v>
      </c>
      <c r="F95" s="36">
        <f>SUM(F93:F94)</f>
        <v>721500</v>
      </c>
      <c r="G95" s="36">
        <f>SUM(G93:G94)</f>
        <v>953550</v>
      </c>
      <c r="H95" s="36">
        <f>SUM(H93:H94)</f>
        <v>1115985</v>
      </c>
    </row>
    <row r="96" spans="2:8" ht="15">
      <c r="B96" s="29" t="s">
        <v>38</v>
      </c>
      <c r="C96" s="29"/>
      <c r="D96" s="34">
        <f>D94/2</f>
        <v>0</v>
      </c>
      <c r="E96" s="34">
        <f>E94/2</f>
        <v>195000</v>
      </c>
      <c r="F96" s="34">
        <f>F94/2</f>
        <v>195000</v>
      </c>
      <c r="G96" s="34">
        <f>G94/2</f>
        <v>195000</v>
      </c>
      <c r="H96" s="34">
        <f>H94/2</f>
        <v>195000</v>
      </c>
    </row>
    <row r="97" spans="2:8" ht="15">
      <c r="B97" s="29" t="s">
        <v>39</v>
      </c>
      <c r="C97" s="29"/>
      <c r="D97" s="36">
        <f>D95-D96</f>
        <v>0</v>
      </c>
      <c r="E97" s="36">
        <f>E95-E96</f>
        <v>195000</v>
      </c>
      <c r="F97" s="36">
        <f>F95-F96</f>
        <v>526500</v>
      </c>
      <c r="G97" s="36">
        <f>G95-G96</f>
        <v>758550</v>
      </c>
      <c r="H97" s="36">
        <f>H95-H96</f>
        <v>920985</v>
      </c>
    </row>
    <row r="98" spans="2:8" ht="15">
      <c r="B98" s="29" t="s">
        <v>42</v>
      </c>
      <c r="C98" s="42">
        <v>12</v>
      </c>
      <c r="D98" s="42">
        <f aca="true" t="shared" si="0" ref="D98:H99">C98</f>
        <v>12</v>
      </c>
      <c r="E98" s="42">
        <f t="shared" si="0"/>
        <v>12</v>
      </c>
      <c r="F98" s="42">
        <f t="shared" si="0"/>
        <v>12</v>
      </c>
      <c r="G98" s="42">
        <f t="shared" si="0"/>
        <v>12</v>
      </c>
      <c r="H98" s="42">
        <f t="shared" si="0"/>
        <v>12</v>
      </c>
    </row>
    <row r="99" spans="2:8" ht="15">
      <c r="B99" s="29" t="s">
        <v>43</v>
      </c>
      <c r="C99" s="43">
        <v>0.2</v>
      </c>
      <c r="D99" s="43">
        <f t="shared" si="0"/>
        <v>0.2</v>
      </c>
      <c r="E99" s="43">
        <f t="shared" si="0"/>
        <v>0.2</v>
      </c>
      <c r="F99" s="43">
        <f t="shared" si="0"/>
        <v>0.2</v>
      </c>
      <c r="G99" s="43">
        <f t="shared" si="0"/>
        <v>0.2</v>
      </c>
      <c r="H99" s="43">
        <f t="shared" si="0"/>
        <v>0.2</v>
      </c>
    </row>
    <row r="100" spans="2:8" ht="15">
      <c r="B100" s="29" t="s">
        <v>40</v>
      </c>
      <c r="C100" s="29"/>
      <c r="D100" s="36">
        <f>D97*$C$82</f>
        <v>0</v>
      </c>
      <c r="E100" s="36">
        <f>E97*$C$82</f>
        <v>58500</v>
      </c>
      <c r="F100" s="36">
        <f>F97*$C$82</f>
        <v>157950</v>
      </c>
      <c r="G100" s="36">
        <f>G97*$C$82</f>
        <v>227565</v>
      </c>
      <c r="H100" s="36">
        <f>H97*$C$82</f>
        <v>276295.5</v>
      </c>
    </row>
    <row r="101" spans="2:8" ht="15.75" thickBot="1">
      <c r="B101" s="29" t="s">
        <v>41</v>
      </c>
      <c r="C101" s="29"/>
      <c r="D101" s="40">
        <f>D95-D100</f>
        <v>0</v>
      </c>
      <c r="E101" s="40">
        <f>E95-E100</f>
        <v>331500</v>
      </c>
      <c r="F101" s="40">
        <f>F95-F100</f>
        <v>563550</v>
      </c>
      <c r="G101" s="40">
        <f>G95-G100</f>
        <v>725985</v>
      </c>
      <c r="H101" s="40">
        <f>H95-H100</f>
        <v>839689.5</v>
      </c>
    </row>
  </sheetData>
  <sheetProtection formatColumns="0" selectLockedCells="1"/>
  <printOptions/>
  <pageMargins left="0.75" right="0.75" top="1" bottom="1" header="0.5" footer="0.5"/>
  <pageSetup fitToHeight="2" horizontalDpi="600" verticalDpi="600" orientation="portrait" scale="65" r:id="rId1"/>
  <headerFooter alignWithMargins="0">
    <oddFooter>&amp;CPage &amp;P of &amp;N</oddFooter>
  </headerFooter>
  <rowBreaks count="1" manualBreakCount="1">
    <brk id="52" max="255" man="1"/>
  </rowBreaks>
</worksheet>
</file>

<file path=xl/worksheets/sheet4.xml><?xml version="1.0" encoding="utf-8"?>
<worksheet xmlns="http://schemas.openxmlformats.org/spreadsheetml/2006/main" xmlns:r="http://schemas.openxmlformats.org/officeDocument/2006/relationships">
  <dimension ref="A2:K65"/>
  <sheetViews>
    <sheetView zoomScalePageLayoutView="0" workbookViewId="0" topLeftCell="A49">
      <selection activeCell="D46" sqref="D46"/>
    </sheetView>
  </sheetViews>
  <sheetFormatPr defaultColWidth="8.88671875" defaultRowHeight="15"/>
  <cols>
    <col min="1" max="1" width="30.5546875" style="0" bestFit="1" customWidth="1"/>
    <col min="2" max="2" width="11.21484375" style="0" bestFit="1" customWidth="1"/>
    <col min="3" max="3" width="11.4453125" style="0" customWidth="1"/>
    <col min="4" max="4" width="9.3359375" style="0" customWidth="1"/>
    <col min="5" max="5" width="10.21484375" style="0" customWidth="1"/>
    <col min="6" max="8" width="9.99609375" style="0" bestFit="1" customWidth="1"/>
  </cols>
  <sheetData>
    <row r="1" ht="15.75" thickBot="1"/>
    <row r="2" spans="1:7" ht="15">
      <c r="A2" s="66" t="s">
        <v>55</v>
      </c>
      <c r="B2" s="70"/>
      <c r="C2" s="70">
        <v>2011</v>
      </c>
      <c r="D2" s="70">
        <v>2012</v>
      </c>
      <c r="E2" s="84">
        <v>2013</v>
      </c>
      <c r="F2" s="70">
        <v>2014</v>
      </c>
      <c r="G2" s="84">
        <v>2015</v>
      </c>
    </row>
    <row r="3" spans="1:8" ht="15">
      <c r="A3" s="67" t="s">
        <v>62</v>
      </c>
      <c r="B3" s="71">
        <v>0</v>
      </c>
      <c r="C3" s="71">
        <v>0</v>
      </c>
      <c r="D3" s="71">
        <v>0</v>
      </c>
      <c r="E3" s="71">
        <v>0</v>
      </c>
      <c r="F3" s="71">
        <v>0</v>
      </c>
      <c r="G3" s="71">
        <v>0</v>
      </c>
      <c r="H3" s="71" t="s">
        <v>70</v>
      </c>
    </row>
    <row r="4" spans="1:8" ht="25.5">
      <c r="A4" s="68" t="s">
        <v>63</v>
      </c>
      <c r="B4" s="71">
        <v>0</v>
      </c>
      <c r="C4" s="72">
        <v>0</v>
      </c>
      <c r="D4" s="72">
        <v>0</v>
      </c>
      <c r="E4" s="86">
        <v>500000</v>
      </c>
      <c r="F4" s="87">
        <v>50000</v>
      </c>
      <c r="G4" s="87">
        <v>50000</v>
      </c>
      <c r="H4" s="88">
        <f>SUM(B4:G4)</f>
        <v>600000</v>
      </c>
    </row>
    <row r="5" spans="1:8" ht="15">
      <c r="A5" s="69" t="s">
        <v>64</v>
      </c>
      <c r="B5" s="71"/>
      <c r="C5" s="71">
        <v>0</v>
      </c>
      <c r="D5" s="71">
        <v>0</v>
      </c>
      <c r="E5" s="89">
        <v>0</v>
      </c>
      <c r="F5" s="89">
        <v>0</v>
      </c>
      <c r="G5" s="89">
        <v>0</v>
      </c>
      <c r="H5" s="88">
        <f>SUM(B5:G5)</f>
        <v>0</v>
      </c>
    </row>
    <row r="6" spans="1:8" ht="15">
      <c r="A6" s="69" t="s">
        <v>56</v>
      </c>
      <c r="B6" s="71">
        <v>0</v>
      </c>
      <c r="C6" s="72">
        <f>+C4+C3</f>
        <v>0</v>
      </c>
      <c r="D6" s="72">
        <f>+D4+D3</f>
        <v>0</v>
      </c>
      <c r="E6" s="86">
        <f>+E5+E4+E3</f>
        <v>500000</v>
      </c>
      <c r="F6" s="86">
        <f>+F5+F4+F3</f>
        <v>50000</v>
      </c>
      <c r="G6" s="86">
        <f>+G5+G4+G3</f>
        <v>50000</v>
      </c>
      <c r="H6" s="88">
        <f>SUM(B6:G6)</f>
        <v>600000</v>
      </c>
    </row>
    <row r="9" spans="1:7" ht="15">
      <c r="A9" s="29"/>
      <c r="B9" s="29"/>
      <c r="C9" s="41">
        <v>2011</v>
      </c>
      <c r="D9" s="41">
        <v>2012</v>
      </c>
      <c r="E9" s="41">
        <v>2013</v>
      </c>
      <c r="F9" s="41">
        <v>2014</v>
      </c>
      <c r="G9" s="41">
        <v>2015</v>
      </c>
    </row>
    <row r="10" spans="1:5" ht="18">
      <c r="A10" s="73" t="str">
        <f>+A3</f>
        <v>Renewable Connections Capital - Expansions</v>
      </c>
      <c r="B10" s="31"/>
      <c r="C10" s="35"/>
      <c r="D10" s="35"/>
      <c r="E10" s="35"/>
    </row>
    <row r="11" spans="1:5" ht="15">
      <c r="A11" s="29"/>
      <c r="B11" s="29"/>
      <c r="C11" s="34"/>
      <c r="D11" s="34"/>
      <c r="E11" s="34"/>
    </row>
    <row r="12" spans="1:7" ht="15">
      <c r="A12" s="29" t="s">
        <v>27</v>
      </c>
      <c r="B12" s="29"/>
      <c r="C12" s="36">
        <v>0</v>
      </c>
      <c r="D12" s="36">
        <f>C14</f>
        <v>0</v>
      </c>
      <c r="E12" s="36">
        <f>D14</f>
        <v>0</v>
      </c>
      <c r="F12" s="36">
        <f>E14</f>
        <v>0</v>
      </c>
      <c r="G12" s="36">
        <f>F14</f>
        <v>0</v>
      </c>
    </row>
    <row r="13" spans="1:7" ht="15">
      <c r="A13" s="32" t="s">
        <v>46</v>
      </c>
      <c r="B13" s="32"/>
      <c r="C13" s="37">
        <f>+C3</f>
        <v>0</v>
      </c>
      <c r="D13" s="37">
        <f>+D3</f>
        <v>0</v>
      </c>
      <c r="E13" s="37">
        <f>+E3</f>
        <v>0</v>
      </c>
      <c r="F13" s="37">
        <f>+F3</f>
        <v>0</v>
      </c>
      <c r="G13" s="37">
        <f>+G3</f>
        <v>0</v>
      </c>
    </row>
    <row r="14" spans="1:7" ht="15">
      <c r="A14" s="29" t="s">
        <v>28</v>
      </c>
      <c r="B14" s="29"/>
      <c r="C14" s="36">
        <f>SUM(C12:C13)</f>
        <v>0</v>
      </c>
      <c r="D14" s="36">
        <f>SUM(D12:D13)</f>
        <v>0</v>
      </c>
      <c r="E14" s="36">
        <f>SUM(E12:E13)</f>
        <v>0</v>
      </c>
      <c r="F14" s="36">
        <f>SUM(F12:F13)</f>
        <v>0</v>
      </c>
      <c r="G14" s="36">
        <f>SUM(G12:G13)</f>
        <v>0</v>
      </c>
    </row>
    <row r="15" spans="1:7" ht="15">
      <c r="A15" s="29"/>
      <c r="B15" s="29"/>
      <c r="C15" s="38"/>
      <c r="D15" s="38"/>
      <c r="E15" s="34"/>
      <c r="F15" s="34"/>
      <c r="G15" s="34"/>
    </row>
    <row r="16" spans="1:7" ht="15">
      <c r="A16" s="29" t="s">
        <v>29</v>
      </c>
      <c r="B16" s="29"/>
      <c r="C16" s="36">
        <v>0</v>
      </c>
      <c r="D16" s="36">
        <f>C19</f>
        <v>0</v>
      </c>
      <c r="E16" s="36">
        <f>D19</f>
        <v>0</v>
      </c>
      <c r="F16" s="36">
        <f>E19</f>
        <v>0</v>
      </c>
      <c r="G16" s="36">
        <f>F19</f>
        <v>0</v>
      </c>
    </row>
    <row r="17" spans="1:7" ht="15">
      <c r="A17" s="32" t="s">
        <v>47</v>
      </c>
      <c r="B17" s="43"/>
      <c r="C17" s="34">
        <f>C13/15/2</f>
        <v>0</v>
      </c>
      <c r="D17" s="34">
        <f>D13/15/2</f>
        <v>0</v>
      </c>
      <c r="E17" s="34">
        <f>E13/15/2</f>
        <v>0</v>
      </c>
      <c r="F17" s="34">
        <f>F13/15/2</f>
        <v>0</v>
      </c>
      <c r="G17" s="34">
        <f>G13/15/2</f>
        <v>0</v>
      </c>
    </row>
    <row r="18" spans="1:7" ht="15">
      <c r="A18" s="32" t="s">
        <v>48</v>
      </c>
      <c r="C18" s="34">
        <f>C12/47</f>
        <v>0</v>
      </c>
      <c r="D18" s="34">
        <f>D12/47</f>
        <v>0</v>
      </c>
      <c r="E18" s="34">
        <f>E12/47</f>
        <v>0</v>
      </c>
      <c r="F18" s="34">
        <f>F12/47</f>
        <v>0</v>
      </c>
      <c r="G18" s="34">
        <f>G12/47</f>
        <v>0</v>
      </c>
    </row>
    <row r="19" spans="1:7" ht="15">
      <c r="A19" s="29" t="s">
        <v>30</v>
      </c>
      <c r="B19" s="29"/>
      <c r="C19" s="36">
        <f>SUM(C16:C18)</f>
        <v>0</v>
      </c>
      <c r="D19" s="36">
        <f>SUM(D16:D18)</f>
        <v>0</v>
      </c>
      <c r="E19" s="36">
        <f>SUM(E16:E18)</f>
        <v>0</v>
      </c>
      <c r="F19" s="36">
        <f>SUM(F16:F18)</f>
        <v>0</v>
      </c>
      <c r="G19" s="36">
        <f>SUM(G16:G18)</f>
        <v>0</v>
      </c>
    </row>
    <row r="20" spans="1:7" ht="15">
      <c r="A20" s="29"/>
      <c r="B20" s="29"/>
      <c r="C20" s="39"/>
      <c r="D20" s="39"/>
      <c r="E20" s="34"/>
      <c r="F20" s="34"/>
      <c r="G20" s="34"/>
    </row>
    <row r="21" spans="1:7" ht="15">
      <c r="A21" s="29" t="s">
        <v>31</v>
      </c>
      <c r="B21" s="29"/>
      <c r="C21" s="34">
        <f>C12-C16</f>
        <v>0</v>
      </c>
      <c r="D21" s="34">
        <f>D12-D16</f>
        <v>0</v>
      </c>
      <c r="E21" s="34">
        <f>E12-E16</f>
        <v>0</v>
      </c>
      <c r="F21" s="34">
        <f>F12-F16</f>
        <v>0</v>
      </c>
      <c r="G21" s="34">
        <f>G12-G16</f>
        <v>0</v>
      </c>
    </row>
    <row r="22" spans="1:7" ht="15">
      <c r="A22" s="29" t="s">
        <v>32</v>
      </c>
      <c r="B22" s="29"/>
      <c r="C22" s="36">
        <f>C14-C19</f>
        <v>0</v>
      </c>
      <c r="D22" s="36">
        <f>D14-D19</f>
        <v>0</v>
      </c>
      <c r="E22" s="36">
        <f>E14-E19</f>
        <v>0</v>
      </c>
      <c r="F22" s="36">
        <f>F14-F19</f>
        <v>0</v>
      </c>
      <c r="G22" s="36">
        <f>G14-G19</f>
        <v>0</v>
      </c>
    </row>
    <row r="23" spans="1:7" ht="15.75" thickBot="1">
      <c r="A23" s="29" t="s">
        <v>33</v>
      </c>
      <c r="B23" s="29"/>
      <c r="C23" s="40">
        <f>SUM(C21:C22)/2</f>
        <v>0</v>
      </c>
      <c r="D23" s="40">
        <f>SUM(D21:D22)/2</f>
        <v>0</v>
      </c>
      <c r="E23" s="40">
        <f>SUM(E21:E22)/2</f>
        <v>0</v>
      </c>
      <c r="F23" s="40">
        <f>SUM(F21:F22)/2</f>
        <v>0</v>
      </c>
      <c r="G23" s="40">
        <f>SUM(G21:G22)/2</f>
        <v>0</v>
      </c>
    </row>
    <row r="25" spans="1:7" ht="15">
      <c r="A25" s="29"/>
      <c r="B25" s="29"/>
      <c r="C25" s="41">
        <v>2012</v>
      </c>
      <c r="D25" s="41">
        <v>2013</v>
      </c>
      <c r="E25" s="41">
        <v>2014</v>
      </c>
      <c r="F25" s="41">
        <v>2015</v>
      </c>
      <c r="G25" s="41"/>
    </row>
    <row r="26" spans="1:5" ht="47.25">
      <c r="A26" s="74" t="str">
        <f>+A4</f>
        <v>Renewable Connections Capital - Renewable Enabling Improvements</v>
      </c>
      <c r="B26" s="31"/>
      <c r="C26" s="35"/>
      <c r="D26" s="35"/>
      <c r="E26" s="35"/>
    </row>
    <row r="27" spans="1:5" ht="15">
      <c r="A27" s="29"/>
      <c r="B27" s="29"/>
      <c r="C27" s="34"/>
      <c r="D27" s="34"/>
      <c r="E27" s="34"/>
    </row>
    <row r="28" spans="1:6" ht="15">
      <c r="A28" s="29" t="s">
        <v>27</v>
      </c>
      <c r="B28" s="29"/>
      <c r="C28" s="36">
        <v>0</v>
      </c>
      <c r="D28" s="36">
        <f>C30</f>
        <v>0</v>
      </c>
      <c r="E28" s="36">
        <f>D30</f>
        <v>500000</v>
      </c>
      <c r="F28" s="36">
        <f>E30</f>
        <v>550000</v>
      </c>
    </row>
    <row r="29" spans="1:6" ht="15">
      <c r="A29" s="32" t="s">
        <v>46</v>
      </c>
      <c r="B29" s="32"/>
      <c r="C29" s="37">
        <f>+D4</f>
        <v>0</v>
      </c>
      <c r="D29" s="37">
        <f>+E4</f>
        <v>500000</v>
      </c>
      <c r="E29" s="37">
        <f>+F4</f>
        <v>50000</v>
      </c>
      <c r="F29" s="37">
        <f>+G4</f>
        <v>50000</v>
      </c>
    </row>
    <row r="30" spans="1:6" ht="15">
      <c r="A30" s="29" t="s">
        <v>28</v>
      </c>
      <c r="B30" s="29"/>
      <c r="C30" s="36">
        <f>SUM(C28:C29)</f>
        <v>0</v>
      </c>
      <c r="D30" s="36">
        <f>SUM(D28:D29)</f>
        <v>500000</v>
      </c>
      <c r="E30" s="36">
        <f>SUM(E28:E29)</f>
        <v>550000</v>
      </c>
      <c r="F30" s="36">
        <f>SUM(F28:F29)</f>
        <v>600000</v>
      </c>
    </row>
    <row r="31" spans="1:6" ht="15">
      <c r="A31" s="29"/>
      <c r="B31" s="29"/>
      <c r="C31" s="38"/>
      <c r="D31" s="38"/>
      <c r="E31" s="34"/>
      <c r="F31" s="34"/>
    </row>
    <row r="32" spans="1:6" ht="15">
      <c r="A32" s="29" t="s">
        <v>29</v>
      </c>
      <c r="B32" s="29"/>
      <c r="C32" s="36">
        <v>0</v>
      </c>
      <c r="D32" s="36">
        <f>C35</f>
        <v>0</v>
      </c>
      <c r="E32" s="36">
        <f>D35</f>
        <v>10000</v>
      </c>
      <c r="F32" s="36">
        <f>E35</f>
        <v>31000</v>
      </c>
    </row>
    <row r="33" spans="1:7" ht="15">
      <c r="A33" s="32" t="s">
        <v>47</v>
      </c>
      <c r="B33" s="43" t="s">
        <v>71</v>
      </c>
      <c r="C33" s="34">
        <f>C29/$G$33/2</f>
        <v>0</v>
      </c>
      <c r="D33" s="34">
        <f>D29/$G$33/2</f>
        <v>10000</v>
      </c>
      <c r="E33" s="34">
        <f>E29/$G$33/2</f>
        <v>1000</v>
      </c>
      <c r="F33" s="34">
        <f>F29/$G$33/2</f>
        <v>1000</v>
      </c>
      <c r="G33">
        <v>25</v>
      </c>
    </row>
    <row r="34" spans="1:6" ht="15">
      <c r="A34" s="32" t="s">
        <v>48</v>
      </c>
      <c r="C34" s="34">
        <f>C28/$G$33</f>
        <v>0</v>
      </c>
      <c r="D34" s="34">
        <f>D28/$G$33</f>
        <v>0</v>
      </c>
      <c r="E34" s="34">
        <f>E28/$G$33</f>
        <v>20000</v>
      </c>
      <c r="F34" s="34">
        <f>F28/$G$33</f>
        <v>22000</v>
      </c>
    </row>
    <row r="35" spans="1:6" ht="15">
      <c r="A35" s="29" t="s">
        <v>30</v>
      </c>
      <c r="B35" s="29"/>
      <c r="C35" s="36">
        <f>SUM(C32:C34)</f>
        <v>0</v>
      </c>
      <c r="D35" s="36">
        <f>SUM(D32:D34)</f>
        <v>10000</v>
      </c>
      <c r="E35" s="36">
        <f>SUM(E32:E34)</f>
        <v>31000</v>
      </c>
      <c r="F35" s="36">
        <f>SUM(F32:F34)</f>
        <v>54000</v>
      </c>
    </row>
    <row r="36" spans="1:6" ht="15">
      <c r="A36" s="29"/>
      <c r="B36" s="29"/>
      <c r="C36" s="39"/>
      <c r="D36" s="39"/>
      <c r="E36" s="34"/>
      <c r="F36" s="34"/>
    </row>
    <row r="37" spans="1:6" ht="15">
      <c r="A37" s="29" t="s">
        <v>31</v>
      </c>
      <c r="B37" s="29"/>
      <c r="C37" s="34">
        <f>C28-C32</f>
        <v>0</v>
      </c>
      <c r="D37" s="34">
        <f>D28-D32</f>
        <v>0</v>
      </c>
      <c r="E37" s="34">
        <f>E28-E32</f>
        <v>490000</v>
      </c>
      <c r="F37" s="34">
        <f>F28-F32</f>
        <v>519000</v>
      </c>
    </row>
    <row r="38" spans="1:6" ht="15">
      <c r="A38" s="29" t="s">
        <v>32</v>
      </c>
      <c r="B38" s="29"/>
      <c r="C38" s="36">
        <f>C30-C35</f>
        <v>0</v>
      </c>
      <c r="D38" s="36">
        <f>D30-D35</f>
        <v>490000</v>
      </c>
      <c r="E38" s="36">
        <f>E30-E35</f>
        <v>519000</v>
      </c>
      <c r="F38" s="36">
        <f>F30-F35</f>
        <v>546000</v>
      </c>
    </row>
    <row r="39" spans="1:6" ht="15.75" thickBot="1">
      <c r="A39" s="29" t="s">
        <v>33</v>
      </c>
      <c r="B39" s="29"/>
      <c r="C39" s="40">
        <f>SUM(C37:C38)/2</f>
        <v>0</v>
      </c>
      <c r="D39" s="40">
        <f>SUM(D37:D38)/2</f>
        <v>245000</v>
      </c>
      <c r="E39" s="40">
        <f>SUM(E37:E38)/2</f>
        <v>504500</v>
      </c>
      <c r="F39" s="40">
        <f>SUM(F37:F38)/2</f>
        <v>532500</v>
      </c>
    </row>
    <row r="41" spans="1:6" ht="15">
      <c r="A41" s="29"/>
      <c r="B41" s="29"/>
      <c r="C41" s="41">
        <v>2012</v>
      </c>
      <c r="D41" s="41">
        <v>2013</v>
      </c>
      <c r="E41" s="41">
        <v>2014</v>
      </c>
      <c r="F41" s="41">
        <v>2015</v>
      </c>
    </row>
    <row r="42" spans="1:5" ht="18">
      <c r="A42" s="74" t="str">
        <f>+A5</f>
        <v>Feeder Automation Projects</v>
      </c>
      <c r="B42" s="31"/>
      <c r="C42" s="35"/>
      <c r="D42" s="35"/>
      <c r="E42" s="35"/>
    </row>
    <row r="43" spans="1:5" ht="15">
      <c r="A43" s="29"/>
      <c r="B43" s="29"/>
      <c r="C43" s="34"/>
      <c r="D43" s="34"/>
      <c r="E43" s="34"/>
    </row>
    <row r="44" spans="1:6" ht="15">
      <c r="A44" s="29" t="s">
        <v>27</v>
      </c>
      <c r="B44" s="29"/>
      <c r="C44" s="36">
        <v>0</v>
      </c>
      <c r="D44" s="36">
        <f>C46</f>
        <v>0</v>
      </c>
      <c r="E44" s="36">
        <f>D46</f>
        <v>0</v>
      </c>
      <c r="F44" s="36">
        <f>E46</f>
        <v>0</v>
      </c>
    </row>
    <row r="45" spans="1:6" ht="15">
      <c r="A45" s="32" t="s">
        <v>46</v>
      </c>
      <c r="B45" s="32"/>
      <c r="C45" s="37">
        <v>0</v>
      </c>
      <c r="D45" s="37">
        <v>0</v>
      </c>
      <c r="E45" s="37">
        <f>E5</f>
        <v>0</v>
      </c>
      <c r="F45" s="37">
        <f>F5</f>
        <v>0</v>
      </c>
    </row>
    <row r="46" spans="1:6" ht="15">
      <c r="A46" s="29" t="s">
        <v>28</v>
      </c>
      <c r="B46" s="29"/>
      <c r="C46" s="36">
        <f>SUM(C44:C45)</f>
        <v>0</v>
      </c>
      <c r="D46" s="36">
        <f>SUM(D44:D45)</f>
        <v>0</v>
      </c>
      <c r="E46" s="36">
        <f>SUM(E44:E45)</f>
        <v>0</v>
      </c>
      <c r="F46" s="36">
        <f>SUM(F44:F45)</f>
        <v>0</v>
      </c>
    </row>
    <row r="47" spans="1:6" ht="15">
      <c r="A47" s="29"/>
      <c r="B47" s="29"/>
      <c r="C47" s="38"/>
      <c r="D47" s="38"/>
      <c r="E47" s="34"/>
      <c r="F47" s="34"/>
    </row>
    <row r="48" spans="1:6" ht="15">
      <c r="A48" s="29" t="s">
        <v>29</v>
      </c>
      <c r="B48" s="29"/>
      <c r="C48" s="36">
        <v>0</v>
      </c>
      <c r="D48" s="36">
        <f>C51</f>
        <v>0</v>
      </c>
      <c r="E48" s="36">
        <f>D51</f>
        <v>0</v>
      </c>
      <c r="F48" s="36">
        <f>E51</f>
        <v>0</v>
      </c>
    </row>
    <row r="49" spans="1:6" ht="15">
      <c r="A49" s="32" t="s">
        <v>47</v>
      </c>
      <c r="B49" s="43"/>
      <c r="C49" s="34">
        <f>C45/25/2</f>
        <v>0</v>
      </c>
      <c r="D49" s="34">
        <f>D45/25/2</f>
        <v>0</v>
      </c>
      <c r="E49" s="34">
        <f>E45/25/2</f>
        <v>0</v>
      </c>
      <c r="F49" s="34">
        <f>F45/25/2</f>
        <v>0</v>
      </c>
    </row>
    <row r="50" spans="1:6" ht="15">
      <c r="A50" s="32" t="s">
        <v>48</v>
      </c>
      <c r="C50" s="34">
        <f>C44/25</f>
        <v>0</v>
      </c>
      <c r="D50" s="34">
        <f>D44/25</f>
        <v>0</v>
      </c>
      <c r="E50" s="34">
        <f>E44/25</f>
        <v>0</v>
      </c>
      <c r="F50" s="34">
        <f>F44/25</f>
        <v>0</v>
      </c>
    </row>
    <row r="51" spans="1:6" ht="15">
      <c r="A51" s="29" t="s">
        <v>30</v>
      </c>
      <c r="B51" s="29"/>
      <c r="C51" s="36">
        <f>SUM(C48:C50)</f>
        <v>0</v>
      </c>
      <c r="D51" s="36">
        <f>SUM(D48:D50)</f>
        <v>0</v>
      </c>
      <c r="E51" s="36">
        <f>SUM(E48:E50)</f>
        <v>0</v>
      </c>
      <c r="F51" s="36">
        <f>SUM(F48:F50)</f>
        <v>0</v>
      </c>
    </row>
    <row r="52" spans="1:6" ht="15">
      <c r="A52" s="29"/>
      <c r="B52" s="29"/>
      <c r="C52" s="39"/>
      <c r="D52" s="39"/>
      <c r="E52" s="34"/>
      <c r="F52" s="34"/>
    </row>
    <row r="53" spans="1:6" ht="15">
      <c r="A53" s="29" t="s">
        <v>31</v>
      </c>
      <c r="B53" s="29"/>
      <c r="C53" s="34">
        <f>C44-C48</f>
        <v>0</v>
      </c>
      <c r="D53" s="34">
        <f>D44-D48</f>
        <v>0</v>
      </c>
      <c r="E53" s="34">
        <f>E44-E48</f>
        <v>0</v>
      </c>
      <c r="F53" s="34">
        <f>F44-F48</f>
        <v>0</v>
      </c>
    </row>
    <row r="54" spans="1:6" ht="15">
      <c r="A54" s="29" t="s">
        <v>32</v>
      </c>
      <c r="B54" s="29"/>
      <c r="C54" s="36">
        <f>C46-C51</f>
        <v>0</v>
      </c>
      <c r="D54" s="36">
        <f>D46-D51</f>
        <v>0</v>
      </c>
      <c r="E54" s="36">
        <f>E46-E51</f>
        <v>0</v>
      </c>
      <c r="F54" s="36">
        <f>F46-F51</f>
        <v>0</v>
      </c>
    </row>
    <row r="55" spans="1:6" ht="15.75" thickBot="1">
      <c r="A55" s="29" t="s">
        <v>33</v>
      </c>
      <c r="B55" s="29"/>
      <c r="C55" s="40">
        <f>SUM(C53:C54)/2</f>
        <v>0</v>
      </c>
      <c r="D55" s="40">
        <f>SUM(D53:D54)/2</f>
        <v>0</v>
      </c>
      <c r="E55" s="40">
        <f>SUM(E53:E54)/2</f>
        <v>0</v>
      </c>
      <c r="F55" s="40">
        <f>SUM(F53:F54)/2</f>
        <v>0</v>
      </c>
    </row>
    <row r="57" spans="1:6" ht="15">
      <c r="A57" s="75" t="s">
        <v>33</v>
      </c>
      <c r="B57" s="76" t="s">
        <v>51</v>
      </c>
      <c r="C57" s="76">
        <v>2012</v>
      </c>
      <c r="D57" s="76">
        <v>2013</v>
      </c>
      <c r="E57" s="76">
        <v>2014</v>
      </c>
      <c r="F57" s="76">
        <v>2015</v>
      </c>
    </row>
    <row r="58" spans="1:10" ht="15">
      <c r="A58" s="67" t="s">
        <v>62</v>
      </c>
      <c r="B58" s="81">
        <v>0.17</v>
      </c>
      <c r="C58" s="77">
        <f>+D23</f>
        <v>0</v>
      </c>
      <c r="D58" s="77">
        <f>+E23</f>
        <v>0</v>
      </c>
      <c r="E58" s="77">
        <f>+F23</f>
        <v>0</v>
      </c>
      <c r="F58" s="77">
        <f>+G23</f>
        <v>0</v>
      </c>
      <c r="H58" s="83"/>
      <c r="I58" s="83"/>
      <c r="J58" s="83"/>
    </row>
    <row r="59" spans="1:10" ht="25.5">
      <c r="A59" s="68" t="s">
        <v>63</v>
      </c>
      <c r="B59" s="81">
        <v>0.06</v>
      </c>
      <c r="C59" s="77">
        <f>+C39</f>
        <v>0</v>
      </c>
      <c r="D59" s="77">
        <f>+D39</f>
        <v>245000</v>
      </c>
      <c r="E59" s="77">
        <f>+E39</f>
        <v>504500</v>
      </c>
      <c r="F59" s="77">
        <f>+F39</f>
        <v>532500</v>
      </c>
      <c r="H59" s="83"/>
      <c r="I59" s="83"/>
      <c r="J59" s="83"/>
    </row>
    <row r="60" spans="1:6" ht="15">
      <c r="A60" s="67" t="s">
        <v>64</v>
      </c>
      <c r="B60" s="81">
        <v>1</v>
      </c>
      <c r="C60" s="77">
        <f>+C55</f>
        <v>0</v>
      </c>
      <c r="D60" s="77">
        <f>+D55</f>
        <v>0</v>
      </c>
      <c r="E60" s="77">
        <f>+E55</f>
        <v>0</v>
      </c>
      <c r="F60" s="77">
        <f>+F55</f>
        <v>0</v>
      </c>
    </row>
    <row r="61" spans="1:11" s="62" customFormat="1" ht="15">
      <c r="A61" s="62" t="s">
        <v>0</v>
      </c>
      <c r="B61" s="81">
        <v>0.06</v>
      </c>
      <c r="C61" s="100">
        <f>'[2]Sheet1'!L33</f>
        <v>65250</v>
      </c>
      <c r="D61" s="101">
        <f>'[2]Sheet1'!M33</f>
        <v>82650</v>
      </c>
      <c r="E61" s="101">
        <f>'[2]Sheet1'!N33</f>
        <v>91350</v>
      </c>
      <c r="F61" s="101">
        <f>'[2]Sheet1'!O33</f>
        <v>104400</v>
      </c>
      <c r="G61" s="99"/>
      <c r="H61" s="99"/>
      <c r="I61" s="99"/>
      <c r="J61" s="55"/>
      <c r="K61" s="99"/>
    </row>
    <row r="62" spans="1:6" ht="15">
      <c r="A62" s="78"/>
      <c r="B62" s="79"/>
      <c r="C62" s="77">
        <f>SUM(C58:C61)</f>
        <v>65250</v>
      </c>
      <c r="D62" s="77">
        <f>SUM(D58:D61)</f>
        <v>327650</v>
      </c>
      <c r="E62" s="77">
        <f>SUM(E58:E61)</f>
        <v>595850</v>
      </c>
      <c r="F62" s="77">
        <f>SUM(F58:F61)</f>
        <v>636900</v>
      </c>
    </row>
    <row r="63" spans="1:6" ht="15">
      <c r="A63" s="67" t="s">
        <v>65</v>
      </c>
      <c r="B63" s="79"/>
      <c r="C63" s="77">
        <f>SUMPRODUCT(B58:B61,C58:C61)</f>
        <v>3915</v>
      </c>
      <c r="D63" s="77">
        <f>SUMPRODUCT(B58:B61,D58:D61)</f>
        <v>19659</v>
      </c>
      <c r="E63" s="77">
        <f>+SUMPRODUCT(B58:B61,E58:E61)</f>
        <v>35751</v>
      </c>
      <c r="F63" s="77">
        <f>+SUMPRODUCT(B58:B61,F58:F61)</f>
        <v>38214</v>
      </c>
    </row>
    <row r="64" spans="1:6" ht="15">
      <c r="A64" s="67" t="s">
        <v>66</v>
      </c>
      <c r="B64" s="79"/>
      <c r="C64" s="80">
        <f>+C63/C62</f>
        <v>0.06</v>
      </c>
      <c r="D64" s="80">
        <f>+D63/D62</f>
        <v>0.06</v>
      </c>
      <c r="E64" s="80">
        <f>+E63/E62</f>
        <v>0.06</v>
      </c>
      <c r="F64" s="80">
        <f>+F63/F62</f>
        <v>0.06</v>
      </c>
    </row>
    <row r="65" spans="1:11" ht="15.75">
      <c r="A65" s="14"/>
      <c r="B65" s="14"/>
      <c r="C65" s="85"/>
      <c r="D65" s="14"/>
      <c r="E65" s="85"/>
      <c r="F65" s="14"/>
      <c r="G65" s="85"/>
      <c r="H65" s="85"/>
      <c r="I65" s="85"/>
      <c r="J65" s="14"/>
      <c r="K65" s="85"/>
    </row>
  </sheetData>
  <sheetProtection/>
  <printOptions/>
  <pageMargins left="0.7" right="0.7" top="0.75" bottom="0.75" header="0.3" footer="0.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Cristina</cp:lastModifiedBy>
  <cp:lastPrinted>2011-11-21T15:06:35Z</cp:lastPrinted>
  <dcterms:created xsi:type="dcterms:W3CDTF">2009-03-31T14:51:00Z</dcterms:created>
  <dcterms:modified xsi:type="dcterms:W3CDTF">2011-11-23T14:24:55Z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