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tabRatio="671" activeTab="5"/>
  </bookViews>
  <sheets>
    <sheet name="1. Summary" sheetId="1" r:id="rId1"/>
    <sheet name="2. Revenue Requirement" sheetId="2" r:id="rId2"/>
    <sheet name="3. PILs" sheetId="3" r:id="rId3"/>
    <sheet name="4. Avg Nt Fix Ass &amp;UCC" sheetId="4" r:id="rId4"/>
    <sheet name="5. Prinicpal" sheetId="5" r:id="rId5"/>
    <sheet name="6. Interest" sheetId="6" r:id="rId6"/>
  </sheets>
  <definedNames>
    <definedName name="_xlnm.Print_Area" localSheetId="4">'5. Prinicpal'!$A$4:$E$80</definedName>
    <definedName name="_xlnm.Print_Titles" localSheetId="5">'6. Interest'!$1:$2</definedName>
  </definedNames>
  <calcPr fullCalcOnLoad="1"/>
</workbook>
</file>

<file path=xl/sharedStrings.xml><?xml version="1.0" encoding="utf-8"?>
<sst xmlns="http://schemas.openxmlformats.org/spreadsheetml/2006/main" count="215" uniqueCount="97">
  <si>
    <t>OM&amp;A</t>
  </si>
  <si>
    <t>WCA</t>
  </si>
  <si>
    <t>Deemed Equity</t>
  </si>
  <si>
    <t>Deemed ST Debt</t>
  </si>
  <si>
    <t>Deemed LT Debt</t>
  </si>
  <si>
    <t>ST Interest</t>
  </si>
  <si>
    <t>LT Interest</t>
  </si>
  <si>
    <t>ROE</t>
  </si>
  <si>
    <t>Grossed-up PILs</t>
  </si>
  <si>
    <t>Revenue Requirement</t>
  </si>
  <si>
    <t>Amortization</t>
  </si>
  <si>
    <t>PILs Calculation</t>
  </si>
  <si>
    <t>INCOME TAX</t>
  </si>
  <si>
    <t>Net Income</t>
  </si>
  <si>
    <t>Change in taxable income</t>
  </si>
  <si>
    <t>Income Taxes Payable</t>
  </si>
  <si>
    <t>ONTARIO CAPITAL TAX</t>
  </si>
  <si>
    <t>Less: Exemption</t>
  </si>
  <si>
    <t>Deemed Taxable Capital</t>
  </si>
  <si>
    <t>Ontario Capital Tax Rate</t>
  </si>
  <si>
    <t>Net Amount (Taxable Capital x Rate)</t>
  </si>
  <si>
    <t>Gross Up</t>
  </si>
  <si>
    <t>PILs Payable</t>
  </si>
  <si>
    <t>Change in Income Taxes Payable</t>
  </si>
  <si>
    <t>Change in OCT</t>
  </si>
  <si>
    <t>PIL's</t>
  </si>
  <si>
    <t>Grossed Up PILs</t>
  </si>
  <si>
    <t>Opening Capital Investment</t>
  </si>
  <si>
    <t>Closing Capital Investment</t>
  </si>
  <si>
    <t>Opening Accumulated Amortization</t>
  </si>
  <si>
    <t>Closing Accumulated Amortization</t>
  </si>
  <si>
    <t>Opening Net Fixed Assets</t>
  </si>
  <si>
    <t>Closing Net Fixed Assets</t>
  </si>
  <si>
    <t>Average Net Fixed Assets</t>
  </si>
  <si>
    <t>For PILs Calculation</t>
  </si>
  <si>
    <t>Opening UCC</t>
  </si>
  <si>
    <t>Capital Additions</t>
  </si>
  <si>
    <t>UCC Before Half Year Rule</t>
  </si>
  <si>
    <t>Half Year Rule (1/2 Additions - Disposals)</t>
  </si>
  <si>
    <t>Reduced UCC</t>
  </si>
  <si>
    <t>CCA</t>
  </si>
  <si>
    <t>Closing UCC</t>
  </si>
  <si>
    <t>Forecasted</t>
  </si>
  <si>
    <t>CCA Rate Class</t>
  </si>
  <si>
    <t xml:space="preserve">CCA Rate </t>
  </si>
  <si>
    <r>
      <t>Amortization</t>
    </r>
    <r>
      <rPr>
        <i/>
        <sz val="8"/>
        <rFont val="Arial"/>
        <family val="2"/>
      </rPr>
      <t xml:space="preserve"> </t>
    </r>
  </si>
  <si>
    <t>Net Fixed Assets</t>
  </si>
  <si>
    <t>Capital Investment</t>
  </si>
  <si>
    <t>UCC</t>
  </si>
  <si>
    <t>Amortization Year One</t>
  </si>
  <si>
    <t>Amortization Thereafter</t>
  </si>
  <si>
    <t>Incremental Revenue Requirement Calculation</t>
  </si>
  <si>
    <t>Tax Rate</t>
  </si>
  <si>
    <t xml:space="preserve">Table Staff 16-1: Account 1555 Smart Meter Capital and Offset Account – Principal </t>
  </si>
  <si>
    <t xml:space="preserve">Month </t>
  </si>
  <si>
    <t xml:space="preserve">Opening Balance </t>
  </si>
  <si>
    <t xml:space="preserve">SM Adder </t>
  </si>
  <si>
    <t xml:space="preserve">Closing Balance (excluding Stranded) </t>
  </si>
  <si>
    <t xml:space="preserve"> </t>
  </si>
  <si>
    <t xml:space="preserve">Table Staff 16-2: Account 1555 – Interest </t>
  </si>
  <si>
    <t>Opening Balance (excluding Stranded)</t>
  </si>
  <si>
    <t xml:space="preserve">Days </t>
  </si>
  <si>
    <t xml:space="preserve">Rate </t>
  </si>
  <si>
    <t xml:space="preserve">Interest </t>
  </si>
  <si>
    <t xml:space="preserve">To Date </t>
  </si>
  <si>
    <t>15 years</t>
  </si>
  <si>
    <t>3 years</t>
  </si>
  <si>
    <t>Revenue Requirement 2006</t>
  </si>
  <si>
    <t>Revenue Requirement 2007</t>
  </si>
  <si>
    <t>Revenue Requirement 2008</t>
  </si>
  <si>
    <t>Revenue Requirement Total</t>
  </si>
  <si>
    <t>Smart Meter Rate Adder</t>
  </si>
  <si>
    <t>Carrying Cost</t>
  </si>
  <si>
    <t>Smart Meter True-up</t>
  </si>
  <si>
    <t>Rate Rider to Recover Smart Meter Costs</t>
  </si>
  <si>
    <t>Smart Meters</t>
  </si>
  <si>
    <t>Fixed Assets</t>
  </si>
  <si>
    <t>Computer Software</t>
  </si>
  <si>
    <t>Accumulated Depreciation</t>
  </si>
  <si>
    <t>Rate Base</t>
  </si>
  <si>
    <t>PowerStream Inc. - North</t>
  </si>
  <si>
    <t>Revenue Requirement 2009</t>
  </si>
  <si>
    <t>Revenue Requirement 2010</t>
  </si>
  <si>
    <t>Addition to Net Fixed Assets</t>
  </si>
  <si>
    <t>Total</t>
  </si>
  <si>
    <t>Actual</t>
  </si>
  <si>
    <t>Net Fixed Assets - Smart Meters</t>
  </si>
  <si>
    <t>Net Fixed Assets - Computer Software</t>
  </si>
  <si>
    <t>Total Average Fixed Assets</t>
  </si>
  <si>
    <t>Total Amortization expense</t>
  </si>
  <si>
    <t>Total CCA</t>
  </si>
  <si>
    <t>Revenue Requirement 2011 (to Oct 31/11)</t>
  </si>
  <si>
    <t>2011 Amortization Expense</t>
  </si>
  <si>
    <t>Total closing capital investment</t>
  </si>
  <si>
    <t>Recovery of Costs to Oct 31, 2011</t>
  </si>
  <si>
    <t>2011 Adjusted</t>
  </si>
  <si>
    <t>2011 Addition to Rate Base (Smart meters installed up to April 30, 2011)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</si>
</sst>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* #,##0.0_-;\-&quot;$&quot;* #,##0.0_-;_-&quot;$&quot;* &quot;-&quot;??_-;_-@_-"/>
    <numFmt numFmtId="173" formatCode="_-&quot;$&quot;* #,##0_-;\-&quot;$&quot;* #,##0_-;_-&quot;$&quot;* &quot;-&quot;??_-;_-@_-"/>
    <numFmt numFmtId="174" formatCode="_-* #,##0.0_-;\-* #,##0.0_-;_-* &quot;-&quot;?_-;_-@_-"/>
    <numFmt numFmtId="175" formatCode="0.0%"/>
    <numFmt numFmtId="176" formatCode="0.000%"/>
    <numFmt numFmtId="177" formatCode="_-&quot;$&quot;* #,##0.000_-;\-&quot;$&quot;* #,##0.000_-;_-&quot;$&quot;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00_-;\-* #,##0.000_-;_-* &quot;-&quot;???_-;_-@_-"/>
    <numFmt numFmtId="181" formatCode="0.0000%"/>
    <numFmt numFmtId="182" formatCode="_-* #,##0.0000_-;\-* #,##0.0000_-;_-* &quot;-&quot;????_-;_-@_-"/>
    <numFmt numFmtId="183" formatCode="_-* #,##0.0_-;\-* #,##0.0_-;_-* &quot;-&quot;??_-;_-@_-"/>
    <numFmt numFmtId="184" formatCode="_-* #,##0_-;\-* #,##0_-;_-* &quot;-&quot;??_-;_-@_-"/>
    <numFmt numFmtId="185" formatCode="#,##0.0_);\(#,##0.0\)"/>
    <numFmt numFmtId="186" formatCode="_(&quot;$&quot;* #,##0_);_(&quot;$&quot;* \(#,##0\);_(&quot;$&quot;* &quot;-&quot;??_);_(@_)"/>
  </numFmts>
  <fonts count="28"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i/>
      <sz val="10"/>
      <color indexed="23"/>
      <name val="Arial"/>
      <family val="2"/>
    </font>
    <font>
      <u val="single"/>
      <sz val="7.5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7.5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i/>
      <sz val="8"/>
      <name val="Arial"/>
      <family val="2"/>
    </font>
    <font>
      <b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44" fontId="0" fillId="0" borderId="0" xfId="44" applyAlignment="1">
      <alignment/>
    </xf>
    <xf numFmtId="173" fontId="0" fillId="0" borderId="0" xfId="44" applyNumberFormat="1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Border="1" applyAlignment="1">
      <alignment/>
    </xf>
    <xf numFmtId="10" fontId="0" fillId="0" borderId="0" xfId="62" applyNumberFormat="1" applyAlignment="1">
      <alignment/>
    </xf>
    <xf numFmtId="9" fontId="0" fillId="0" borderId="0" xfId="0" applyNumberFormat="1" applyAlignment="1">
      <alignment horizontal="center"/>
    </xf>
    <xf numFmtId="9" fontId="0" fillId="0" borderId="0" xfId="62" applyFont="1" applyBorder="1" applyAlignment="1">
      <alignment horizontal="center"/>
    </xf>
    <xf numFmtId="9" fontId="0" fillId="0" borderId="0" xfId="62" applyAlignment="1">
      <alignment horizontal="center"/>
    </xf>
    <xf numFmtId="10" fontId="0" fillId="0" borderId="0" xfId="62" applyNumberFormat="1" applyFont="1" applyAlignment="1">
      <alignment horizontal="center"/>
    </xf>
    <xf numFmtId="10" fontId="0" fillId="0" borderId="0" xfId="62" applyNumberFormat="1" applyAlignment="1">
      <alignment horizontal="center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10" fontId="0" fillId="0" borderId="0" xfId="0" applyNumberFormat="1" applyAlignment="1">
      <alignment/>
    </xf>
    <xf numFmtId="173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8" fillId="0" borderId="0" xfId="57" applyFill="1" applyProtection="1">
      <alignment/>
      <protection/>
    </xf>
    <xf numFmtId="0" fontId="23" fillId="0" borderId="0" xfId="57" applyFont="1" applyFill="1" applyProtection="1">
      <alignment/>
      <protection/>
    </xf>
    <xf numFmtId="0" fontId="8" fillId="0" borderId="0" xfId="57" applyFill="1">
      <alignment/>
      <protection/>
    </xf>
    <xf numFmtId="0" fontId="8" fillId="0" borderId="0" xfId="57" applyFill="1" applyAlignment="1" applyProtection="1">
      <alignment horizontal="center"/>
      <protection/>
    </xf>
    <xf numFmtId="0" fontId="24" fillId="0" borderId="0" xfId="57" applyFont="1" applyFill="1" applyProtection="1">
      <alignment/>
      <protection/>
    </xf>
    <xf numFmtId="10" fontId="25" fillId="0" borderId="0" xfId="57" applyNumberFormat="1" applyFont="1" applyFill="1" applyAlignment="1" applyProtection="1">
      <alignment horizontal="center"/>
      <protection/>
    </xf>
    <xf numFmtId="176" fontId="8" fillId="0" borderId="0" xfId="59" applyNumberFormat="1" applyFill="1">
      <alignment/>
      <protection/>
    </xf>
    <xf numFmtId="176" fontId="8" fillId="0" borderId="0" xfId="62" applyNumberFormat="1" applyFill="1" applyAlignment="1" applyProtection="1">
      <alignment/>
      <protection/>
    </xf>
    <xf numFmtId="0" fontId="1" fillId="0" borderId="0" xfId="57" applyFont="1" applyFill="1" applyAlignment="1" applyProtection="1">
      <alignment horizontal="left"/>
      <protection/>
    </xf>
    <xf numFmtId="10" fontId="8" fillId="0" borderId="0" xfId="57" applyNumberFormat="1" applyFill="1" applyAlignment="1" applyProtection="1">
      <alignment horizontal="center"/>
      <protection/>
    </xf>
    <xf numFmtId="0" fontId="8" fillId="0" borderId="0" xfId="57" applyFill="1" applyAlignment="1" applyProtection="1">
      <alignment horizontal="center" wrapText="1"/>
      <protection/>
    </xf>
    <xf numFmtId="0" fontId="8" fillId="0" borderId="0" xfId="58" applyFill="1" applyProtection="1">
      <alignment/>
      <protection/>
    </xf>
    <xf numFmtId="0" fontId="23" fillId="0" borderId="0" xfId="58" applyFont="1" applyFill="1" applyProtection="1">
      <alignment/>
      <protection/>
    </xf>
    <xf numFmtId="0" fontId="27" fillId="0" borderId="0" xfId="58" applyFont="1" applyFill="1" applyProtection="1">
      <alignment/>
      <protection/>
    </xf>
    <xf numFmtId="0" fontId="8" fillId="0" borderId="0" xfId="58" applyFill="1">
      <alignment/>
      <protection/>
    </xf>
    <xf numFmtId="0" fontId="8" fillId="0" borderId="0" xfId="58" applyFont="1" applyFill="1" applyProtection="1">
      <alignment/>
      <protection/>
    </xf>
    <xf numFmtId="173" fontId="0" fillId="0" borderId="0" xfId="44" applyNumberFormat="1" applyFill="1" applyAlignment="1">
      <alignment/>
    </xf>
    <xf numFmtId="173" fontId="8" fillId="0" borderId="0" xfId="44" applyNumberFormat="1" applyFill="1" applyAlignment="1" applyProtection="1">
      <alignment/>
      <protection/>
    </xf>
    <xf numFmtId="173" fontId="8" fillId="0" borderId="0" xfId="44" applyNumberFormat="1" applyFill="1" applyAlignment="1" applyProtection="1">
      <alignment horizontal="center"/>
      <protection/>
    </xf>
    <xf numFmtId="173" fontId="8" fillId="0" borderId="11" xfId="44" applyNumberFormat="1" applyFill="1" applyBorder="1" applyAlignment="1" applyProtection="1">
      <alignment/>
      <protection/>
    </xf>
    <xf numFmtId="173" fontId="25" fillId="4" borderId="0" xfId="44" applyNumberFormat="1" applyFont="1" applyFill="1" applyBorder="1" applyAlignment="1" applyProtection="1">
      <alignment/>
      <protection/>
    </xf>
    <xf numFmtId="173" fontId="8" fillId="0" borderId="0" xfId="44" applyNumberFormat="1" applyFill="1" applyBorder="1" applyAlignment="1" applyProtection="1">
      <alignment/>
      <protection/>
    </xf>
    <xf numFmtId="173" fontId="8" fillId="0" borderId="0" xfId="44" applyNumberFormat="1" applyFill="1" applyAlignment="1">
      <alignment/>
    </xf>
    <xf numFmtId="173" fontId="8" fillId="0" borderId="10" xfId="44" applyNumberFormat="1" applyFill="1" applyBorder="1" applyAlignment="1" applyProtection="1">
      <alignment/>
      <protection/>
    </xf>
    <xf numFmtId="0" fontId="8" fillId="0" borderId="0" xfId="44" applyNumberFormat="1" applyFill="1" applyAlignment="1" applyProtection="1">
      <alignment horizontal="center"/>
      <protection/>
    </xf>
    <xf numFmtId="0" fontId="8" fillId="4" borderId="0" xfId="44" applyNumberFormat="1" applyFill="1" applyAlignment="1" applyProtection="1">
      <alignment horizontal="center"/>
      <protection/>
    </xf>
    <xf numFmtId="9" fontId="8" fillId="4" borderId="0" xfId="62" applyFill="1" applyAlignment="1" applyProtection="1">
      <alignment horizontal="center"/>
      <protection/>
    </xf>
    <xf numFmtId="0" fontId="0" fillId="24" borderId="0" xfId="0" applyFill="1" applyAlignment="1">
      <alignment/>
    </xf>
    <xf numFmtId="173" fontId="8" fillId="24" borderId="0" xfId="44" applyNumberFormat="1" applyFill="1" applyBorder="1" applyAlignment="1" applyProtection="1">
      <alignment horizontal="center"/>
      <protection/>
    </xf>
    <xf numFmtId="173" fontId="1" fillId="4" borderId="0" xfId="0" applyNumberFormat="1" applyFont="1" applyFill="1" applyAlignment="1">
      <alignment/>
    </xf>
    <xf numFmtId="42" fontId="0" fillId="0" borderId="0" xfId="0" applyNumberFormat="1" applyAlignment="1">
      <alignment horizontal="center"/>
    </xf>
    <xf numFmtId="173" fontId="25" fillId="0" borderId="0" xfId="44" applyNumberFormat="1" applyFont="1" applyFill="1" applyAlignment="1" applyProtection="1">
      <alignment/>
      <protection/>
    </xf>
    <xf numFmtId="0" fontId="8" fillId="0" borderId="0" xfId="57" applyFont="1" applyFill="1" applyProtection="1">
      <alignment/>
      <protection/>
    </xf>
    <xf numFmtId="173" fontId="25" fillId="0" borderId="12" xfId="44" applyNumberFormat="1" applyFont="1" applyFill="1" applyBorder="1" applyAlignment="1" applyProtection="1">
      <alignment/>
      <protection/>
    </xf>
    <xf numFmtId="44" fontId="8" fillId="4" borderId="0" xfId="44" applyFill="1" applyAlignment="1" applyProtection="1">
      <alignment/>
      <protection/>
    </xf>
    <xf numFmtId="9" fontId="0" fillId="4" borderId="0" xfId="0" applyNumberFormat="1" applyFill="1" applyAlignment="1">
      <alignment horizontal="center"/>
    </xf>
    <xf numFmtId="9" fontId="0" fillId="4" borderId="0" xfId="62" applyFont="1" applyFill="1" applyBorder="1" applyAlignment="1">
      <alignment horizontal="center"/>
    </xf>
    <xf numFmtId="9" fontId="0" fillId="4" borderId="0" xfId="62" applyFill="1" applyAlignment="1">
      <alignment horizontal="center"/>
    </xf>
    <xf numFmtId="10" fontId="0" fillId="4" borderId="0" xfId="62" applyNumberFormat="1" applyFont="1" applyFill="1" applyAlignment="1">
      <alignment horizontal="center"/>
    </xf>
    <xf numFmtId="10" fontId="0" fillId="4" borderId="0" xfId="62" applyNumberFormat="1" applyFill="1" applyAlignment="1">
      <alignment horizontal="center"/>
    </xf>
    <xf numFmtId="9" fontId="8" fillId="4" borderId="0" xfId="62" applyFont="1" applyFill="1" applyAlignment="1" applyProtection="1">
      <alignment horizontal="center"/>
      <protection/>
    </xf>
    <xf numFmtId="0" fontId="0" fillId="0" borderId="0" xfId="0" applyAlignment="1">
      <alignment wrapText="1"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62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73" fontId="25" fillId="25" borderId="0" xfId="44" applyNumberFormat="1" applyFont="1" applyFill="1" applyAlignment="1" applyProtection="1">
      <alignment/>
      <protection/>
    </xf>
    <xf numFmtId="164" fontId="0" fillId="0" borderId="0" xfId="0" applyNumberFormat="1" applyAlignment="1">
      <alignment/>
    </xf>
    <xf numFmtId="164" fontId="0" fillId="0" borderId="0" xfId="44" applyNumberFormat="1" applyAlignment="1">
      <alignment/>
    </xf>
    <xf numFmtId="164" fontId="0" fillId="0" borderId="11" xfId="0" applyNumberFormat="1" applyBorder="1" applyAlignment="1">
      <alignment/>
    </xf>
    <xf numFmtId="164" fontId="0" fillId="0" borderId="0" xfId="42" applyNumberFormat="1" applyAlignment="1">
      <alignment/>
    </xf>
    <xf numFmtId="164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10" fontId="25" fillId="4" borderId="0" xfId="57" applyNumberFormat="1" applyFont="1" applyFill="1" applyAlignment="1" applyProtection="1">
      <alignment horizontal="center"/>
      <protection/>
    </xf>
    <xf numFmtId="0" fontId="1" fillId="0" borderId="17" xfId="0" applyFont="1" applyBorder="1" applyAlignment="1">
      <alignment horizontal="right" wrapText="1"/>
    </xf>
    <xf numFmtId="164" fontId="0" fillId="0" borderId="0" xfId="44" applyNumberFormat="1" applyFont="1" applyAlignment="1">
      <alignment/>
    </xf>
    <xf numFmtId="164" fontId="0" fillId="0" borderId="10" xfId="44" applyNumberFormat="1" applyFont="1" applyBorder="1" applyAlignment="1">
      <alignment/>
    </xf>
    <xf numFmtId="164" fontId="0" fillId="0" borderId="10" xfId="44" applyNumberFormat="1" applyBorder="1" applyAlignment="1">
      <alignment/>
    </xf>
    <xf numFmtId="173" fontId="8" fillId="0" borderId="0" xfId="44" applyNumberFormat="1" applyFont="1" applyFill="1" applyAlignment="1" applyProtection="1">
      <alignment horizontal="center"/>
      <protection/>
    </xf>
    <xf numFmtId="0" fontId="1" fillId="0" borderId="0" xfId="0" applyFont="1" applyFill="1" applyAlignment="1">
      <alignment/>
    </xf>
    <xf numFmtId="37" fontId="8" fillId="0" borderId="0" xfId="44" applyNumberFormat="1" applyFill="1" applyAlignment="1" applyProtection="1">
      <alignment/>
      <protection/>
    </xf>
    <xf numFmtId="164" fontId="24" fillId="0" borderId="11" xfId="44" applyNumberFormat="1" applyFont="1" applyFill="1" applyBorder="1" applyAlignment="1" applyProtection="1">
      <alignment/>
      <protection/>
    </xf>
    <xf numFmtId="164" fontId="8" fillId="0" borderId="0" xfId="44" applyNumberFormat="1" applyFill="1" applyAlignment="1" applyProtection="1">
      <alignment/>
      <protection/>
    </xf>
    <xf numFmtId="164" fontId="8" fillId="0" borderId="11" xfId="44" applyNumberFormat="1" applyFill="1" applyBorder="1" applyAlignment="1" applyProtection="1">
      <alignment/>
      <protection/>
    </xf>
    <xf numFmtId="164" fontId="25" fillId="25" borderId="0" xfId="44" applyNumberFormat="1" applyFont="1" applyFill="1" applyAlignment="1" applyProtection="1">
      <alignment/>
      <protection/>
    </xf>
    <xf numFmtId="173" fontId="8" fillId="0" borderId="0" xfId="44" applyNumberFormat="1" applyFont="1" applyFill="1" applyAlignment="1">
      <alignment/>
    </xf>
    <xf numFmtId="164" fontId="0" fillId="0" borderId="0" xfId="0" applyNumberFormat="1" applyBorder="1" applyAlignment="1">
      <alignment/>
    </xf>
    <xf numFmtId="186" fontId="0" fillId="0" borderId="0" xfId="44" applyNumberFormat="1" applyAlignment="1">
      <alignment/>
    </xf>
    <xf numFmtId="173" fontId="0" fillId="0" borderId="1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24" fillId="0" borderId="14" xfId="57" applyFont="1" applyFill="1" applyBorder="1" applyAlignment="1" applyProtection="1">
      <alignment horizontal="center"/>
      <protection/>
    </xf>
    <xf numFmtId="0" fontId="24" fillId="0" borderId="16" xfId="57" applyFont="1" applyFill="1" applyBorder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rmal_Sheet3" xfId="58"/>
    <cellStyle name="Normal_Tax Rates for 2006-2012_Sep42008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7"/>
  <sheetViews>
    <sheetView workbookViewId="0" topLeftCell="A1">
      <selection activeCell="G30" sqref="G30"/>
    </sheetView>
  </sheetViews>
  <sheetFormatPr defaultColWidth="8.88671875" defaultRowHeight="15"/>
  <cols>
    <col min="1" max="1" width="5.21484375" style="0" customWidth="1"/>
    <col min="2" max="2" width="36.21484375" style="0" bestFit="1" customWidth="1"/>
    <col min="3" max="3" width="15.4453125" style="64" customWidth="1"/>
  </cols>
  <sheetData>
    <row r="2" ht="15.75">
      <c r="B2" s="62" t="s">
        <v>80</v>
      </c>
    </row>
    <row r="3" spans="2:4" ht="15.75">
      <c r="B3" s="62" t="s">
        <v>94</v>
      </c>
      <c r="D3" s="89"/>
    </row>
    <row r="6" ht="15.75">
      <c r="B6" s="62" t="s">
        <v>74</v>
      </c>
    </row>
    <row r="8" spans="2:3" ht="15">
      <c r="B8" t="s">
        <v>67</v>
      </c>
      <c r="C8" s="65">
        <f>+'5. Prinicpal'!D74</f>
        <v>959.5731638914632</v>
      </c>
    </row>
    <row r="9" spans="2:3" ht="15">
      <c r="B9" t="s">
        <v>68</v>
      </c>
      <c r="C9" s="65">
        <f>+'5. Prinicpal'!D75</f>
        <v>2225.1879493176793</v>
      </c>
    </row>
    <row r="10" spans="2:3" ht="15">
      <c r="B10" t="s">
        <v>69</v>
      </c>
      <c r="C10" s="65">
        <f>+'5. Prinicpal'!D76</f>
        <v>5826.859778401503</v>
      </c>
    </row>
    <row r="11" spans="2:3" ht="15">
      <c r="B11" t="s">
        <v>81</v>
      </c>
      <c r="C11" s="65">
        <f>+'5. Prinicpal'!D77</f>
        <v>169160.0999586822</v>
      </c>
    </row>
    <row r="12" spans="2:3" ht="15">
      <c r="B12" t="s">
        <v>82</v>
      </c>
      <c r="C12" s="65">
        <f>+'5. Prinicpal'!D78</f>
        <v>1271804.3314871164</v>
      </c>
    </row>
    <row r="13" spans="2:3" ht="15">
      <c r="B13" t="s">
        <v>91</v>
      </c>
      <c r="C13" s="65">
        <f>+'5. Prinicpal'!D79</f>
        <v>1663157.4023673285</v>
      </c>
    </row>
    <row r="14" ht="15">
      <c r="C14" s="65"/>
    </row>
    <row r="15" spans="2:3" ht="15">
      <c r="B15" t="s">
        <v>70</v>
      </c>
      <c r="C15" s="66">
        <f>SUM(C8:C14)</f>
        <v>3113133.4547047378</v>
      </c>
    </row>
    <row r="16" ht="15">
      <c r="C16" s="86"/>
    </row>
    <row r="17" spans="2:3" ht="15">
      <c r="B17" t="s">
        <v>71</v>
      </c>
      <c r="C17" s="67">
        <f>'5. Prinicpal'!C80</f>
        <v>-2801421</v>
      </c>
    </row>
    <row r="18" spans="2:3" ht="15">
      <c r="B18" t="s">
        <v>72</v>
      </c>
      <c r="C18" s="65">
        <f>+'6. Interest'!F68</f>
        <v>-49597.04375642327</v>
      </c>
    </row>
    <row r="19" spans="2:3" ht="20.25" customHeight="1">
      <c r="B19" t="s">
        <v>73</v>
      </c>
      <c r="C19" s="66">
        <f>SUM(C15:C18)</f>
        <v>262115.41094831447</v>
      </c>
    </row>
    <row r="22" ht="15.75">
      <c r="B22" s="62" t="s">
        <v>96</v>
      </c>
    </row>
    <row r="23" ht="15">
      <c r="B23" t="s">
        <v>76</v>
      </c>
    </row>
    <row r="24" spans="2:3" ht="15">
      <c r="B24" t="s">
        <v>75</v>
      </c>
      <c r="C24" s="65">
        <f>+'4. Avg Nt Fix Ass &amp;UCC'!I10</f>
        <v>10651424</v>
      </c>
    </row>
    <row r="25" spans="2:3" ht="15">
      <c r="B25" t="s">
        <v>77</v>
      </c>
      <c r="C25" s="65">
        <f>+'4. Avg Nt Fix Ass &amp;UCC'!I27</f>
        <v>398433</v>
      </c>
    </row>
    <row r="26" ht="15">
      <c r="C26" s="66">
        <f>SUM(C24:C25)</f>
        <v>11049857</v>
      </c>
    </row>
    <row r="27" ht="15">
      <c r="B27" t="s">
        <v>78</v>
      </c>
    </row>
    <row r="28" spans="2:3" ht="15">
      <c r="B28" t="s">
        <v>75</v>
      </c>
      <c r="C28" s="65">
        <f>-'4. Avg Nt Fix Ass &amp;UCC'!I15</f>
        <v>-1123538</v>
      </c>
    </row>
    <row r="29" spans="2:3" ht="15">
      <c r="B29" t="s">
        <v>77</v>
      </c>
      <c r="C29" s="65">
        <f>-'4. Avg Nt Fix Ass &amp;UCC'!I32</f>
        <v>-234643.5</v>
      </c>
    </row>
    <row r="30" ht="15">
      <c r="C30" s="66">
        <f>SUM(C28:C29)</f>
        <v>-1358181.5</v>
      </c>
    </row>
    <row r="32" spans="2:3" ht="16.5" thickBot="1">
      <c r="B32" s="62" t="s">
        <v>83</v>
      </c>
      <c r="C32" s="68">
        <f>+C26+C30</f>
        <v>9691675.5</v>
      </c>
    </row>
    <row r="33" ht="15.75" thickTop="1"/>
    <row r="34" ht="15">
      <c r="B34" t="s">
        <v>92</v>
      </c>
    </row>
    <row r="35" spans="2:3" ht="15">
      <c r="B35" t="s">
        <v>75</v>
      </c>
      <c r="C35" s="65">
        <f>+'4. Avg Nt Fix Ass &amp;UCC'!I13+'4. Avg Nt Fix Ass &amp;UCC'!I14</f>
        <v>677521</v>
      </c>
    </row>
    <row r="36" spans="2:3" ht="15">
      <c r="B36" t="s">
        <v>77</v>
      </c>
      <c r="C36" s="65">
        <f>+'4. Avg Nt Fix Ass &amp;UCC'!I30+'4. Avg Nt Fix Ass &amp;UCC'!I31</f>
        <v>120664.66666666666</v>
      </c>
    </row>
    <row r="37" ht="15">
      <c r="C37" s="66">
        <f>SUM(C35:C36)</f>
        <v>798185.6666666666</v>
      </c>
    </row>
  </sheetData>
  <printOptions/>
  <pageMargins left="0.75" right="0.75" top="0.85" bottom="0.35" header="0.5" footer="0.17"/>
  <pageSetup horizontalDpi="600" verticalDpi="600" orientation="portrait" r:id="rId1"/>
  <headerFooter alignWithMargins="0">
    <oddFooter>&amp;R&amp;8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="80" zoomScaleNormal="80" workbookViewId="0" topLeftCell="A1">
      <selection activeCell="P23" sqref="P23"/>
    </sheetView>
  </sheetViews>
  <sheetFormatPr defaultColWidth="8.88671875" defaultRowHeight="15"/>
  <cols>
    <col min="1" max="1" width="2.3359375" style="0" customWidth="1"/>
    <col min="2" max="2" width="15.4453125" style="0" customWidth="1"/>
    <col min="3" max="4" width="8.77734375" style="0" bestFit="1" customWidth="1"/>
    <col min="5" max="5" width="9.77734375" style="0" bestFit="1" customWidth="1"/>
    <col min="6" max="6" width="11.21484375" style="0" bestFit="1" customWidth="1"/>
    <col min="7" max="7" width="6.3359375" style="0" bestFit="1" customWidth="1"/>
    <col min="8" max="8" width="11.21484375" style="0" bestFit="1" customWidth="1"/>
    <col min="9" max="9" width="7.5546875" style="0" bestFit="1" customWidth="1"/>
    <col min="10" max="10" width="12.10546875" style="0" customWidth="1"/>
    <col min="11" max="11" width="9.5546875" style="0" bestFit="1" customWidth="1"/>
    <col min="12" max="12" width="12.5546875" style="0" customWidth="1"/>
    <col min="13" max="13" width="9.5546875" style="0" bestFit="1" customWidth="1"/>
    <col min="14" max="14" width="12.6640625" style="0" bestFit="1" customWidth="1"/>
    <col min="15" max="15" width="9.5546875" style="0" bestFit="1" customWidth="1"/>
    <col min="16" max="16" width="11.99609375" style="0" bestFit="1" customWidth="1"/>
  </cols>
  <sheetData>
    <row r="2" ht="15.75">
      <c r="B2" s="62" t="str">
        <f>'1. Summary'!B2</f>
        <v>PowerStream Inc. - North</v>
      </c>
    </row>
    <row r="3" ht="15.75">
      <c r="B3" s="62" t="str">
        <f>'1. Summary'!B3</f>
        <v>Recovery of Costs to Oct 31, 2011</v>
      </c>
    </row>
    <row r="4" ht="15.75" thickBot="1"/>
    <row r="5" spans="2:5" ht="16.5" thickBot="1">
      <c r="B5" s="69" t="s">
        <v>51</v>
      </c>
      <c r="C5" s="70"/>
      <c r="D5" s="71"/>
      <c r="E5" s="72"/>
    </row>
    <row r="6" ht="15.75" thickBot="1"/>
    <row r="7" spans="3:16" ht="15.75" thickBot="1">
      <c r="C7" s="90">
        <v>2006</v>
      </c>
      <c r="D7" s="91"/>
      <c r="E7" s="90">
        <v>2007</v>
      </c>
      <c r="F7" s="91"/>
      <c r="G7" s="90">
        <v>2008</v>
      </c>
      <c r="H7" s="91"/>
      <c r="I7" s="90">
        <v>2009</v>
      </c>
      <c r="J7" s="91"/>
      <c r="K7" s="90">
        <v>2010</v>
      </c>
      <c r="L7" s="91"/>
      <c r="M7" s="90">
        <v>2011</v>
      </c>
      <c r="N7" s="91"/>
      <c r="O7" s="90" t="s">
        <v>95</v>
      </c>
      <c r="P7" s="91"/>
    </row>
    <row r="8" spans="2:16" ht="15">
      <c r="B8" t="s">
        <v>46</v>
      </c>
      <c r="C8" s="6"/>
      <c r="D8" s="2">
        <f>'4. Avg Nt Fix Ass &amp;UCC'!D19+'4. Avg Nt Fix Ass &amp;UCC'!D36</f>
        <v>5979.316666666667</v>
      </c>
      <c r="E8" s="6"/>
      <c r="F8" s="2">
        <f>'4. Avg Nt Fix Ass &amp;UCC'!E19+'4. Avg Nt Fix Ass &amp;UCC'!E36</f>
        <v>13866.266666666666</v>
      </c>
      <c r="G8" s="6"/>
      <c r="H8" s="2">
        <f>'4. Avg Nt Fix Ass &amp;UCC'!F19+'4. Avg Nt Fix Ass &amp;UCC'!F36</f>
        <v>37072.85</v>
      </c>
      <c r="I8" s="6"/>
      <c r="J8" s="2">
        <f>'4. Avg Nt Fix Ass &amp;UCC'!G19+'4. Avg Nt Fix Ass &amp;UCC'!G36</f>
        <v>952010.8833333334</v>
      </c>
      <c r="K8" s="6"/>
      <c r="L8" s="2">
        <f>+'4. Avg Nt Fix Ass &amp;UCC'!H19+'4. Avg Nt Fix Ass &amp;UCC'!H36</f>
        <v>5642707.566666667</v>
      </c>
      <c r="M8" s="6"/>
      <c r="N8" s="2">
        <f>+'4. Avg Nt Fix Ass &amp;UCC'!I19+'4. Avg Nt Fix Ass &amp;UCC'!I36</f>
        <v>9565720.333333334</v>
      </c>
      <c r="O8" s="6"/>
      <c r="P8" s="2">
        <f>+N8</f>
        <v>9565720.333333334</v>
      </c>
    </row>
    <row r="9" spans="2:15" ht="15">
      <c r="B9" t="s">
        <v>0</v>
      </c>
      <c r="C9" s="46">
        <f>D23</f>
        <v>0</v>
      </c>
      <c r="E9" s="46">
        <f>F23</f>
        <v>0</v>
      </c>
      <c r="G9" s="46">
        <f>H23</f>
        <v>0</v>
      </c>
      <c r="I9" s="46">
        <f>J23</f>
        <v>6704</v>
      </c>
      <c r="K9" s="46">
        <f>L23</f>
        <v>325849</v>
      </c>
      <c r="M9" s="46">
        <f>N23</f>
        <v>407110</v>
      </c>
      <c r="O9" s="46">
        <f>P23</f>
        <v>138875</v>
      </c>
    </row>
    <row r="10" spans="2:16" ht="15">
      <c r="B10" t="s">
        <v>1</v>
      </c>
      <c r="C10" s="6">
        <v>0.15</v>
      </c>
      <c r="D10" s="12">
        <f>C9*C10</f>
        <v>0</v>
      </c>
      <c r="E10" s="6">
        <v>0.15</v>
      </c>
      <c r="F10" s="12">
        <f>E9*E10</f>
        <v>0</v>
      </c>
      <c r="G10" s="6">
        <v>0.15</v>
      </c>
      <c r="H10" s="12">
        <f>G9*G10</f>
        <v>0</v>
      </c>
      <c r="I10" s="6">
        <v>0.15</v>
      </c>
      <c r="J10" s="12">
        <f>I9*I10</f>
        <v>1005.5999999999999</v>
      </c>
      <c r="K10" s="6">
        <v>0.15</v>
      </c>
      <c r="L10" s="12">
        <f>K9*K10</f>
        <v>48877.35</v>
      </c>
      <c r="M10" s="6">
        <v>0.15</v>
      </c>
      <c r="N10" s="12">
        <f>M9*M10</f>
        <v>61066.5</v>
      </c>
      <c r="O10" s="6">
        <v>0.15</v>
      </c>
      <c r="P10" s="12">
        <f>O9*O10</f>
        <v>20831.25</v>
      </c>
    </row>
    <row r="11" spans="2:16" ht="15">
      <c r="B11" t="s">
        <v>79</v>
      </c>
      <c r="D11" s="3">
        <f>SUM(D8:D10)</f>
        <v>5979.316666666667</v>
      </c>
      <c r="F11" s="3">
        <f>SUM(F8:F10)</f>
        <v>13866.266666666666</v>
      </c>
      <c r="H11" s="3">
        <f>SUM(H8:H10)</f>
        <v>37072.85</v>
      </c>
      <c r="J11" s="3">
        <f>SUM(J8:J10)</f>
        <v>953016.4833333334</v>
      </c>
      <c r="L11" s="3">
        <f>SUM(L8:L10)</f>
        <v>5691584.916666667</v>
      </c>
      <c r="N11" s="3">
        <f>SUM(N8:N10)</f>
        <v>9626786.833333334</v>
      </c>
      <c r="P11" s="3">
        <f>SUM(P8:P10)</f>
        <v>9586551.583333334</v>
      </c>
    </row>
    <row r="14" spans="2:16" ht="15">
      <c r="B14" t="s">
        <v>3</v>
      </c>
      <c r="C14" s="51">
        <v>0</v>
      </c>
      <c r="D14" s="3">
        <f>D11*C14</f>
        <v>0</v>
      </c>
      <c r="E14" s="6">
        <f>C14</f>
        <v>0</v>
      </c>
      <c r="F14" s="3">
        <f>F11*E14</f>
        <v>0</v>
      </c>
      <c r="G14" s="6">
        <f>4%</f>
        <v>0.04</v>
      </c>
      <c r="H14" s="3">
        <f>H11*G14</f>
        <v>1482.914</v>
      </c>
      <c r="I14" s="6">
        <f>G14</f>
        <v>0.04</v>
      </c>
      <c r="J14" s="3">
        <f>J11*I14</f>
        <v>38120.65933333334</v>
      </c>
      <c r="K14" s="6">
        <f>I14</f>
        <v>0.04</v>
      </c>
      <c r="L14" s="3">
        <f>L11*K14</f>
        <v>227663.3966666667</v>
      </c>
      <c r="M14" s="6">
        <f>K14</f>
        <v>0.04</v>
      </c>
      <c r="N14" s="3">
        <f>N11*M14</f>
        <v>385071.4733333334</v>
      </c>
      <c r="O14" s="6">
        <f>M14</f>
        <v>0.04</v>
      </c>
      <c r="P14" s="3">
        <f>P11*O14</f>
        <v>383462.06333333335</v>
      </c>
    </row>
    <row r="15" spans="2:16" ht="15">
      <c r="B15" t="s">
        <v>4</v>
      </c>
      <c r="C15" s="52">
        <v>0.6</v>
      </c>
      <c r="D15" s="3">
        <f>D11*C15</f>
        <v>3587.5899999999997</v>
      </c>
      <c r="E15" s="7">
        <f>C15</f>
        <v>0.6</v>
      </c>
      <c r="F15" s="3">
        <f>F11*E15</f>
        <v>8319.76</v>
      </c>
      <c r="G15" s="7">
        <v>0.56</v>
      </c>
      <c r="H15" s="3">
        <f>H11*G15</f>
        <v>20760.796000000002</v>
      </c>
      <c r="I15" s="7">
        <f>G15</f>
        <v>0.56</v>
      </c>
      <c r="J15" s="3">
        <f>J11*I15</f>
        <v>533689.2306666668</v>
      </c>
      <c r="K15" s="7">
        <f>I15</f>
        <v>0.56</v>
      </c>
      <c r="L15" s="3">
        <f>L11*K15</f>
        <v>3187287.5533333337</v>
      </c>
      <c r="M15" s="7">
        <f>K15</f>
        <v>0.56</v>
      </c>
      <c r="N15" s="3">
        <f>N11*M15</f>
        <v>5391000.626666668</v>
      </c>
      <c r="O15" s="7">
        <f>M15</f>
        <v>0.56</v>
      </c>
      <c r="P15" s="3">
        <f>P11*O15</f>
        <v>5368468.886666668</v>
      </c>
    </row>
    <row r="16" spans="2:16" ht="15">
      <c r="B16" t="s">
        <v>2</v>
      </c>
      <c r="C16" s="53">
        <v>0.4</v>
      </c>
      <c r="D16" s="3">
        <f>D11*C16</f>
        <v>2391.726666666667</v>
      </c>
      <c r="E16" s="8">
        <f>C16</f>
        <v>0.4</v>
      </c>
      <c r="F16" s="3">
        <f>F11*E16</f>
        <v>5546.506666666667</v>
      </c>
      <c r="G16" s="8">
        <f>E16</f>
        <v>0.4</v>
      </c>
      <c r="H16" s="3">
        <f>H11*G16</f>
        <v>14829.14</v>
      </c>
      <c r="I16" s="8">
        <f>G16</f>
        <v>0.4</v>
      </c>
      <c r="J16" s="3">
        <f>J11*I16</f>
        <v>381206.5933333334</v>
      </c>
      <c r="K16" s="8">
        <f>I16</f>
        <v>0.4</v>
      </c>
      <c r="L16" s="3">
        <f>L11*K16</f>
        <v>2276633.966666667</v>
      </c>
      <c r="M16" s="8">
        <f>K16</f>
        <v>0.4</v>
      </c>
      <c r="N16" s="3">
        <f>N11*M16</f>
        <v>3850714.733333334</v>
      </c>
      <c r="O16" s="8">
        <f>M16</f>
        <v>0.4</v>
      </c>
      <c r="P16" s="3">
        <f>P11*O16</f>
        <v>3834620.633333334</v>
      </c>
    </row>
    <row r="17" spans="4:16" ht="15">
      <c r="D17" s="1"/>
      <c r="F17" s="1"/>
      <c r="H17" s="1"/>
      <c r="J17" s="1"/>
      <c r="L17" s="1"/>
      <c r="N17" s="1"/>
      <c r="P17" s="1"/>
    </row>
    <row r="18" spans="2:16" ht="15">
      <c r="B18" t="s">
        <v>5</v>
      </c>
      <c r="C18" s="54">
        <v>0</v>
      </c>
      <c r="D18" s="3">
        <f>D14*C18</f>
        <v>0</v>
      </c>
      <c r="E18" s="9">
        <f>C18</f>
        <v>0</v>
      </c>
      <c r="F18" s="3">
        <f>F14*E18</f>
        <v>0</v>
      </c>
      <c r="G18" s="54">
        <v>0.0447</v>
      </c>
      <c r="H18" s="3">
        <f>H14*G18</f>
        <v>66.28625579999999</v>
      </c>
      <c r="I18" s="9">
        <f>G18</f>
        <v>0.0447</v>
      </c>
      <c r="J18" s="3">
        <f>J14*I18</f>
        <v>1703.9934722</v>
      </c>
      <c r="K18" s="9">
        <v>0.0207</v>
      </c>
      <c r="L18" s="3">
        <f>L14*K18</f>
        <v>4712.632311</v>
      </c>
      <c r="M18" s="9">
        <v>0.0243</v>
      </c>
      <c r="N18" s="3">
        <f>N14*M18</f>
        <v>9357.236802000001</v>
      </c>
      <c r="O18" s="9">
        <v>0.0243</v>
      </c>
      <c r="P18" s="3">
        <f>P14*O18</f>
        <v>9318.128139</v>
      </c>
    </row>
    <row r="19" spans="2:16" ht="15">
      <c r="B19" t="s">
        <v>6</v>
      </c>
      <c r="C19" s="54">
        <v>0.0616</v>
      </c>
      <c r="D19" s="3">
        <f>D15*C19</f>
        <v>220.995544</v>
      </c>
      <c r="E19" s="9">
        <f>C19</f>
        <v>0.0616</v>
      </c>
      <c r="F19" s="3">
        <f>F15*E19</f>
        <v>512.497216</v>
      </c>
      <c r="G19" s="54">
        <v>0.061</v>
      </c>
      <c r="H19" s="3">
        <f>H15*G19</f>
        <v>1266.408556</v>
      </c>
      <c r="I19" s="9">
        <f>G19</f>
        <v>0.061</v>
      </c>
      <c r="J19" s="3">
        <f>J15*I19</f>
        <v>32555.04307066667</v>
      </c>
      <c r="K19" s="9">
        <v>0.0589</v>
      </c>
      <c r="L19" s="3">
        <f>L15*K19</f>
        <v>187731.23689133336</v>
      </c>
      <c r="M19" s="9">
        <v>0.0548</v>
      </c>
      <c r="N19" s="3">
        <f>N15*M19</f>
        <v>295426.8343413334</v>
      </c>
      <c r="O19" s="9">
        <v>0.0548</v>
      </c>
      <c r="P19" s="3">
        <f>P15*O19</f>
        <v>294192.0949893334</v>
      </c>
    </row>
    <row r="20" spans="2:16" ht="15">
      <c r="B20" t="s">
        <v>7</v>
      </c>
      <c r="C20" s="55">
        <v>0.09</v>
      </c>
      <c r="D20" s="3">
        <f>D16*C20</f>
        <v>215.2554</v>
      </c>
      <c r="E20" s="10">
        <f>C20</f>
        <v>0.09</v>
      </c>
      <c r="F20" s="3">
        <f>F16*E20</f>
        <v>499.1856</v>
      </c>
      <c r="G20" s="55">
        <v>0.0857</v>
      </c>
      <c r="H20" s="3">
        <f>H16*G20</f>
        <v>1270.857298</v>
      </c>
      <c r="I20" s="10">
        <f>G20</f>
        <v>0.0857</v>
      </c>
      <c r="J20" s="3">
        <f>J16*I20</f>
        <v>32669.40504866667</v>
      </c>
      <c r="K20" s="10">
        <v>0.0985</v>
      </c>
      <c r="L20" s="3">
        <f>L16*K20</f>
        <v>224248.4457166667</v>
      </c>
      <c r="M20" s="10">
        <v>0.0966</v>
      </c>
      <c r="N20" s="3">
        <f>N16*M20</f>
        <v>371979.0432400001</v>
      </c>
      <c r="O20" s="10">
        <v>0.0966</v>
      </c>
      <c r="P20" s="3">
        <f>P16*O20</f>
        <v>370424.35318000003</v>
      </c>
    </row>
    <row r="21" spans="4:16" ht="15">
      <c r="D21" s="11">
        <f>SUM(D18:D20)</f>
        <v>436.250944</v>
      </c>
      <c r="F21" s="11">
        <f>SUM(F18:F20)</f>
        <v>1011.682816</v>
      </c>
      <c r="H21" s="11">
        <f>SUM(H18:H20)</f>
        <v>2603.5521098</v>
      </c>
      <c r="J21" s="11">
        <f>SUM(J18:J20)</f>
        <v>66928.44159153334</v>
      </c>
      <c r="L21" s="11">
        <f>SUM(L18:L20)</f>
        <v>416692.314919</v>
      </c>
      <c r="N21" s="11">
        <f>SUM(N18:N20)</f>
        <v>676763.1143833336</v>
      </c>
      <c r="P21" s="11">
        <f>SUM(P18:P20)</f>
        <v>673934.5763083334</v>
      </c>
    </row>
    <row r="23" spans="2:16" ht="15.75">
      <c r="B23" t="s">
        <v>0</v>
      </c>
      <c r="D23" s="45"/>
      <c r="F23" s="45"/>
      <c r="H23" s="45">
        <v>0</v>
      </c>
      <c r="J23" s="45">
        <v>6704</v>
      </c>
      <c r="L23" s="45">
        <v>325849</v>
      </c>
      <c r="N23" s="45">
        <v>407110</v>
      </c>
      <c r="P23" s="45">
        <v>138875</v>
      </c>
    </row>
    <row r="24" spans="2:16" ht="15">
      <c r="B24" t="s">
        <v>10</v>
      </c>
      <c r="D24" s="14">
        <f>SUM('4. Avg Nt Fix Ass &amp;UCC'!D13:D14)+SUM('4. Avg Nt Fix Ass &amp;UCC'!D30:D31)</f>
        <v>412.3666666666667</v>
      </c>
      <c r="F24" s="14">
        <f>SUM('4. Avg Nt Fix Ass &amp;UCC'!E13:E14)+SUM('4. Avg Nt Fix Ass &amp;UCC'!E30:E31)</f>
        <v>984.7333333333333</v>
      </c>
      <c r="H24" s="14">
        <f>SUM('4. Avg Nt Fix Ass &amp;UCC'!F13:F14)+SUM('4. Avg Nt Fix Ass &amp;UCC'!F30:F31)</f>
        <v>2653.1</v>
      </c>
      <c r="J24" s="14">
        <f>+'4. Avg Nt Fix Ass &amp;UCC'!G13+'4. Avg Nt Fix Ass &amp;UCC'!G14+'4. Avg Nt Fix Ass &amp;UCC'!G30+'4. Avg Nt Fix Ass &amp;UCC'!G31</f>
        <v>90646.83333333333</v>
      </c>
      <c r="L24" s="14">
        <f>+'4. Avg Nt Fix Ass &amp;UCC'!H13+'4. Avg Nt Fix Ass &amp;UCC'!H14+'4. Avg Nt Fix Ass &amp;UCC'!H30+'4. Avg Nt Fix Ass &amp;UCC'!H31</f>
        <v>465298.8</v>
      </c>
      <c r="N24" s="14">
        <f>+'4. Avg Nt Fix Ass &amp;UCC'!I13+'4. Avg Nt Fix Ass &amp;UCC'!I14+'4. Avg Nt Fix Ass &amp;UCC'!I30+'4. Avg Nt Fix Ass &amp;UCC'!I31</f>
        <v>798185.6666666667</v>
      </c>
      <c r="P24" s="14">
        <f>+N24</f>
        <v>798185.6666666667</v>
      </c>
    </row>
    <row r="25" spans="2:16" ht="15">
      <c r="B25" t="s">
        <v>8</v>
      </c>
      <c r="D25" s="2">
        <f>'3. PILs'!C35</f>
        <v>110.95555322479649</v>
      </c>
      <c r="F25" s="2">
        <f>'3. PILs'!D35</f>
        <v>228.77179998434562</v>
      </c>
      <c r="H25" s="2">
        <f>'3. PILs'!E35</f>
        <v>570.2076686015037</v>
      </c>
      <c r="J25" s="2">
        <f>'3. PILs'!F35</f>
        <v>4880.825033815517</v>
      </c>
      <c r="L25" s="2">
        <f>'3. PILs'!G35</f>
        <v>63964.21656811635</v>
      </c>
      <c r="N25" s="2">
        <f>'3. PILs'!H35</f>
        <v>113730.1017907937</v>
      </c>
      <c r="P25" s="2">
        <f>+N25</f>
        <v>113730.1017907937</v>
      </c>
    </row>
    <row r="27" spans="2:16" ht="15.75" thickBot="1">
      <c r="B27" t="s">
        <v>9</v>
      </c>
      <c r="D27" s="4">
        <f>SUM(D21:D25)</f>
        <v>959.5731638914632</v>
      </c>
      <c r="F27" s="4">
        <f>SUM(F21:F25)</f>
        <v>2225.187949317679</v>
      </c>
      <c r="H27" s="4">
        <f>SUM(H21:H25)</f>
        <v>5826.859778401503</v>
      </c>
      <c r="J27" s="4">
        <f>SUM(J21:J25)</f>
        <v>169160.0999586822</v>
      </c>
      <c r="L27" s="4">
        <f>SUM(L21:L25)</f>
        <v>1271804.3314871164</v>
      </c>
      <c r="N27" s="88">
        <f>SUM(N21:N25)</f>
        <v>1995788.882840794</v>
      </c>
      <c r="P27" s="88">
        <f>SUM(P21:P25)</f>
        <v>1724725.344765794</v>
      </c>
    </row>
    <row r="30" ht="15">
      <c r="D30" s="3"/>
    </row>
    <row r="31" spans="3:4" ht="15">
      <c r="C31" s="2"/>
      <c r="D31" s="3"/>
    </row>
    <row r="32" spans="3:4" ht="15">
      <c r="C32" s="13"/>
      <c r="D32" s="5"/>
    </row>
    <row r="33" spans="3:4" ht="15">
      <c r="C33" s="2"/>
      <c r="D33" s="1"/>
    </row>
    <row r="34" ht="15">
      <c r="D34" s="5"/>
    </row>
  </sheetData>
  <mergeCells count="7">
    <mergeCell ref="O7:P7"/>
    <mergeCell ref="C7:D7"/>
    <mergeCell ref="E7:F7"/>
    <mergeCell ref="K7:L7"/>
    <mergeCell ref="M7:N7"/>
    <mergeCell ref="I7:J7"/>
    <mergeCell ref="G7:H7"/>
  </mergeCells>
  <printOptions/>
  <pageMargins left="0.68" right="0.46" top="1" bottom="0.41" header="0.5" footer="0.24"/>
  <pageSetup fitToHeight="1" fitToWidth="1" horizontalDpi="600" verticalDpi="600" orientation="landscape" scale="66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workbookViewId="0" topLeftCell="A1">
      <selection activeCell="I4" sqref="I1:I16384"/>
    </sheetView>
  </sheetViews>
  <sheetFormatPr defaultColWidth="8.88671875" defaultRowHeight="15"/>
  <cols>
    <col min="1" max="1" width="3.3359375" style="15" customWidth="1"/>
    <col min="2" max="2" width="25.4453125" style="15" bestFit="1" customWidth="1"/>
    <col min="3" max="3" width="13.10546875" style="15" customWidth="1"/>
    <col min="4" max="4" width="13.99609375" style="15" customWidth="1"/>
    <col min="5" max="5" width="15.99609375" style="15" customWidth="1"/>
    <col min="6" max="6" width="13.21484375" style="15" bestFit="1" customWidth="1"/>
    <col min="7" max="7" width="10.99609375" style="15" customWidth="1"/>
    <col min="8" max="8" width="11.4453125" style="15" customWidth="1"/>
    <col min="9" max="16384" width="8.88671875" style="15" customWidth="1"/>
  </cols>
  <sheetData>
    <row r="1" ht="15.75">
      <c r="B1" s="79" t="str">
        <f>+'1. Summary'!B2</f>
        <v>PowerStream Inc. - North</v>
      </c>
    </row>
    <row r="2" ht="15.75">
      <c r="B2" s="79" t="str">
        <f>+'1. Summary'!B3</f>
        <v>Recovery of Costs to Oct 31, 2011</v>
      </c>
    </row>
    <row r="4" spans="1:5" ht="26.25">
      <c r="A4" s="16"/>
      <c r="B4" s="17" t="s">
        <v>11</v>
      </c>
      <c r="C4" s="16"/>
      <c r="D4" s="18"/>
      <c r="E4" s="18"/>
    </row>
    <row r="5" spans="1:5" ht="15">
      <c r="A5" s="16"/>
      <c r="B5" s="16"/>
      <c r="C5" s="16"/>
      <c r="D5" s="18"/>
      <c r="E5" s="18"/>
    </row>
    <row r="6" spans="1:8" ht="15">
      <c r="A6" s="16"/>
      <c r="B6" s="16"/>
      <c r="C6" s="19">
        <v>2006</v>
      </c>
      <c r="D6" s="19">
        <v>2007</v>
      </c>
      <c r="E6" s="19">
        <v>2008</v>
      </c>
      <c r="F6" s="19">
        <v>2009</v>
      </c>
      <c r="G6" s="19">
        <v>2010</v>
      </c>
      <c r="H6" s="19">
        <v>2011</v>
      </c>
    </row>
    <row r="7" spans="1:8" ht="15">
      <c r="A7" s="16"/>
      <c r="B7" s="20" t="s">
        <v>12</v>
      </c>
      <c r="C7" s="19" t="s">
        <v>42</v>
      </c>
      <c r="D7" s="19" t="s">
        <v>42</v>
      </c>
      <c r="E7" s="19" t="s">
        <v>42</v>
      </c>
      <c r="F7" s="19" t="s">
        <v>42</v>
      </c>
      <c r="G7" s="19" t="s">
        <v>42</v>
      </c>
      <c r="H7" s="19" t="s">
        <v>42</v>
      </c>
    </row>
    <row r="8" spans="1:8" ht="15">
      <c r="A8" s="16"/>
      <c r="B8" s="16" t="s">
        <v>13</v>
      </c>
      <c r="C8" s="47">
        <f>'2. Revenue Requirement'!D20</f>
        <v>215.2554</v>
      </c>
      <c r="D8" s="47">
        <f>'2. Revenue Requirement'!F20</f>
        <v>499.1856</v>
      </c>
      <c r="E8" s="47">
        <f>'2. Revenue Requirement'!H20</f>
        <v>1270.857298</v>
      </c>
      <c r="F8" s="47">
        <f>'2. Revenue Requirement'!J20</f>
        <v>32669.40504866667</v>
      </c>
      <c r="G8" s="47">
        <f>'2. Revenue Requirement'!L20</f>
        <v>224248.4457166667</v>
      </c>
      <c r="H8" s="47">
        <f>'2. Revenue Requirement'!N20</f>
        <v>371979.0432400001</v>
      </c>
    </row>
    <row r="9" spans="1:8" ht="15">
      <c r="A9" s="16"/>
      <c r="B9" s="16" t="s">
        <v>45</v>
      </c>
      <c r="C9" s="63">
        <f>'2. Revenue Requirement'!D24</f>
        <v>412.3666666666667</v>
      </c>
      <c r="D9" s="63">
        <f>'2. Revenue Requirement'!F24</f>
        <v>984.7333333333333</v>
      </c>
      <c r="E9" s="63">
        <f>'2. Revenue Requirement'!H24</f>
        <v>2653.1</v>
      </c>
      <c r="F9" s="63">
        <f>'2. Revenue Requirement'!J24</f>
        <v>90646.83333333333</v>
      </c>
      <c r="G9" s="63">
        <f>'2. Revenue Requirement'!L24</f>
        <v>465298.8</v>
      </c>
      <c r="H9" s="63">
        <f>'2. Revenue Requirement'!N24</f>
        <v>798185.6666666667</v>
      </c>
    </row>
    <row r="10" spans="1:8" ht="15">
      <c r="A10" s="16"/>
      <c r="B10" s="48" t="s">
        <v>40</v>
      </c>
      <c r="C10" s="84">
        <f>-'4. Avg Nt Fix Ass &amp;UCC'!D58-'4. Avg Nt Fix Ass &amp;UCC'!D75</f>
        <v>-494.84000000000003</v>
      </c>
      <c r="D10" s="84">
        <f>-'4. Avg Nt Fix Ass &amp;UCC'!E58-'4. Avg Nt Fix Ass &amp;UCC'!E75</f>
        <v>-1142.0928000000001</v>
      </c>
      <c r="E10" s="84">
        <f>-'4. Avg Nt Fix Ass &amp;UCC'!F58-'4. Avg Nt Fix Ass &amp;UCC'!F75</f>
        <v>-3052.765376</v>
      </c>
      <c r="F10" s="84">
        <f>-'4. Avg Nt Fix Ass &amp;UCC'!G58-'4. Avg Nt Fix Ass &amp;UCC'!G75</f>
        <v>-121837.94914592</v>
      </c>
      <c r="G10" s="84">
        <f>-'4. Avg Nt Fix Ass &amp;UCC'!H58-'4. Avg Nt Fix Ass &amp;UCC'!H75</f>
        <v>-562933.5974642464</v>
      </c>
      <c r="H10" s="84">
        <f>-'4. Avg Nt Fix Ass &amp;UCC'!I58-'4. Avg Nt Fix Ass &amp;UCC'!I75</f>
        <v>-881310.3805796066</v>
      </c>
    </row>
    <row r="11" spans="1:8" ht="15">
      <c r="A11" s="16"/>
      <c r="B11" s="16" t="s">
        <v>14</v>
      </c>
      <c r="C11" s="35">
        <f aca="true" t="shared" si="0" ref="C11:H11">SUM(C8:C10)</f>
        <v>132.78206666666665</v>
      </c>
      <c r="D11" s="35">
        <f t="shared" si="0"/>
        <v>341.82613333333325</v>
      </c>
      <c r="E11" s="35">
        <f t="shared" si="0"/>
        <v>871.191922</v>
      </c>
      <c r="F11" s="35">
        <f t="shared" si="0"/>
        <v>1478.2892360799888</v>
      </c>
      <c r="G11" s="35">
        <f t="shared" si="0"/>
        <v>126613.64825242024</v>
      </c>
      <c r="H11" s="35">
        <f t="shared" si="0"/>
        <v>288854.32932706014</v>
      </c>
    </row>
    <row r="12" spans="1:8" ht="15">
      <c r="A12" s="16"/>
      <c r="B12" s="48" t="s">
        <v>52</v>
      </c>
      <c r="C12" s="21">
        <v>0.3612</v>
      </c>
      <c r="D12" s="21">
        <v>0.3612</v>
      </c>
      <c r="E12" s="21">
        <v>0.335</v>
      </c>
      <c r="F12" s="21">
        <v>0.33</v>
      </c>
      <c r="G12" s="73">
        <v>0.31</v>
      </c>
      <c r="H12" s="73">
        <v>0.2825</v>
      </c>
    </row>
    <row r="13" spans="1:8" ht="15">
      <c r="A13" s="16"/>
      <c r="B13" s="16" t="s">
        <v>15</v>
      </c>
      <c r="C13" s="35">
        <f aca="true" t="shared" si="1" ref="C13:H13">C11*C12</f>
        <v>47.960882479999995</v>
      </c>
      <c r="D13" s="35">
        <f t="shared" si="1"/>
        <v>123.46759935999998</v>
      </c>
      <c r="E13" s="35">
        <f t="shared" si="1"/>
        <v>291.84929387</v>
      </c>
      <c r="F13" s="35">
        <f t="shared" si="1"/>
        <v>487.8354479063963</v>
      </c>
      <c r="G13" s="35">
        <f t="shared" si="1"/>
        <v>39250.23095825028</v>
      </c>
      <c r="H13" s="35">
        <f t="shared" si="1"/>
        <v>81601.34803489449</v>
      </c>
    </row>
    <row r="14" spans="1:8" ht="15">
      <c r="A14" s="16"/>
      <c r="B14" s="16"/>
      <c r="C14" s="16"/>
      <c r="D14" s="16"/>
      <c r="E14" s="18"/>
      <c r="F14" s="18"/>
      <c r="G14" s="18"/>
      <c r="H14" s="18"/>
    </row>
    <row r="15" spans="1:8" ht="15">
      <c r="A15" s="16"/>
      <c r="B15" s="20" t="s">
        <v>16</v>
      </c>
      <c r="C15" s="16"/>
      <c r="D15" s="16"/>
      <c r="E15" s="18"/>
      <c r="F15" s="18"/>
      <c r="G15" s="18"/>
      <c r="H15" s="18"/>
    </row>
    <row r="16" spans="1:8" ht="15">
      <c r="A16" s="16"/>
      <c r="B16" s="27" t="s">
        <v>32</v>
      </c>
      <c r="C16" s="49">
        <f>'4. Avg Nt Fix Ass &amp;UCC'!D18+'4. Avg Nt Fix Ass &amp;UCC'!D35</f>
        <v>11958.633333333333</v>
      </c>
      <c r="D16" s="49">
        <f>'4. Avg Nt Fix Ass &amp;UCC'!E18+'4. Avg Nt Fix Ass &amp;UCC'!E35</f>
        <v>15773.9</v>
      </c>
      <c r="E16" s="49">
        <f>'4. Avg Nt Fix Ass &amp;UCC'!F18+'4. Avg Nt Fix Ass &amp;UCC'!F35</f>
        <v>58371.8</v>
      </c>
      <c r="F16" s="49">
        <f>'4. Avg Nt Fix Ass &amp;UCC'!G18+'4. Avg Nt Fix Ass &amp;UCC'!G35</f>
        <v>1845649.9666666668</v>
      </c>
      <c r="G16" s="49">
        <f>'4. Avg Nt Fix Ass &amp;UCC'!H18+'4. Avg Nt Fix Ass &amp;UCC'!H35</f>
        <v>9439765.166666666</v>
      </c>
      <c r="H16" s="49">
        <f>'4. Avg Nt Fix Ass &amp;UCC'!I18+'4. Avg Nt Fix Ass &amp;UCC'!I35</f>
        <v>9691675.5</v>
      </c>
    </row>
    <row r="17" spans="1:8" ht="15">
      <c r="A17" s="16"/>
      <c r="B17" s="16" t="s">
        <v>17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</row>
    <row r="18" spans="1:8" ht="15">
      <c r="A18" s="16"/>
      <c r="B18" s="16" t="s">
        <v>18</v>
      </c>
      <c r="C18" s="35">
        <f aca="true" t="shared" si="2" ref="C18:H18">C16-C17</f>
        <v>11958.633333333333</v>
      </c>
      <c r="D18" s="35">
        <f t="shared" si="2"/>
        <v>15773.9</v>
      </c>
      <c r="E18" s="35">
        <f t="shared" si="2"/>
        <v>58371.8</v>
      </c>
      <c r="F18" s="35">
        <f t="shared" si="2"/>
        <v>1845649.9666666668</v>
      </c>
      <c r="G18" s="35">
        <f t="shared" si="2"/>
        <v>9439765.166666666</v>
      </c>
      <c r="H18" s="35">
        <f t="shared" si="2"/>
        <v>9691675.5</v>
      </c>
    </row>
    <row r="19" spans="1:8" ht="15">
      <c r="A19" s="16"/>
      <c r="B19" s="16" t="s">
        <v>19</v>
      </c>
      <c r="C19" s="22">
        <v>0.003</v>
      </c>
      <c r="D19" s="22">
        <v>0.00225</v>
      </c>
      <c r="E19" s="23">
        <v>0.00225</v>
      </c>
      <c r="F19" s="23">
        <v>0.00225</v>
      </c>
      <c r="G19" s="23">
        <v>0.00075</v>
      </c>
      <c r="H19" s="23">
        <v>0</v>
      </c>
    </row>
    <row r="20" spans="1:8" ht="15">
      <c r="A20" s="16"/>
      <c r="B20" s="16" t="s">
        <v>20</v>
      </c>
      <c r="C20" s="83">
        <f aca="true" t="shared" si="3" ref="C20:H20">C18*C19</f>
        <v>35.8759</v>
      </c>
      <c r="D20" s="83">
        <f t="shared" si="3"/>
        <v>35.491274999999995</v>
      </c>
      <c r="E20" s="83">
        <f t="shared" si="3"/>
        <v>131.33655</v>
      </c>
      <c r="F20" s="83">
        <f t="shared" si="3"/>
        <v>4152.712425</v>
      </c>
      <c r="G20" s="83">
        <f t="shared" si="3"/>
        <v>7079.823875</v>
      </c>
      <c r="H20" s="83">
        <f t="shared" si="3"/>
        <v>0</v>
      </c>
    </row>
    <row r="21" spans="1:8" ht="15">
      <c r="A21" s="16"/>
      <c r="B21" s="16"/>
      <c r="C21" s="16"/>
      <c r="D21" s="16"/>
      <c r="E21" s="18"/>
      <c r="F21" s="18"/>
      <c r="G21" s="18"/>
      <c r="H21" s="18"/>
    </row>
    <row r="22" spans="1:8" ht="15">
      <c r="A22" s="16"/>
      <c r="B22" s="16"/>
      <c r="C22" s="16"/>
      <c r="D22" s="16"/>
      <c r="E22" s="18"/>
      <c r="F22" s="18"/>
      <c r="G22" s="18"/>
      <c r="H22" s="18"/>
    </row>
    <row r="23" spans="1:8" ht="15.75">
      <c r="A23" s="16"/>
      <c r="B23" s="24" t="s">
        <v>21</v>
      </c>
      <c r="C23" s="16"/>
      <c r="D23" s="16"/>
      <c r="E23" s="18"/>
      <c r="F23" s="18"/>
      <c r="G23" s="18"/>
      <c r="H23" s="18"/>
    </row>
    <row r="24" spans="1:8" ht="15">
      <c r="A24" s="16"/>
      <c r="B24" s="16"/>
      <c r="C24" s="19" t="s">
        <v>22</v>
      </c>
      <c r="D24" s="19" t="s">
        <v>22</v>
      </c>
      <c r="E24" s="19" t="s">
        <v>22</v>
      </c>
      <c r="F24" s="19" t="s">
        <v>22</v>
      </c>
      <c r="G24" s="19" t="s">
        <v>22</v>
      </c>
      <c r="H24" s="19" t="s">
        <v>22</v>
      </c>
    </row>
    <row r="25" spans="1:8" ht="15">
      <c r="A25" s="16"/>
      <c r="B25" s="16" t="s">
        <v>23</v>
      </c>
      <c r="C25" s="82">
        <f aca="true" t="shared" si="4" ref="C25:H25">C13</f>
        <v>47.960882479999995</v>
      </c>
      <c r="D25" s="82">
        <f t="shared" si="4"/>
        <v>123.46759935999998</v>
      </c>
      <c r="E25" s="82">
        <f t="shared" si="4"/>
        <v>291.84929387</v>
      </c>
      <c r="F25" s="82">
        <f t="shared" si="4"/>
        <v>487.8354479063963</v>
      </c>
      <c r="G25" s="82">
        <f t="shared" si="4"/>
        <v>39250.23095825028</v>
      </c>
      <c r="H25" s="82">
        <f t="shared" si="4"/>
        <v>81601.34803489449</v>
      </c>
    </row>
    <row r="26" spans="1:8" ht="15">
      <c r="A26" s="16"/>
      <c r="B26" s="16" t="s">
        <v>24</v>
      </c>
      <c r="C26" s="82">
        <f aca="true" t="shared" si="5" ref="C26:H26">C20</f>
        <v>35.8759</v>
      </c>
      <c r="D26" s="82">
        <f t="shared" si="5"/>
        <v>35.491274999999995</v>
      </c>
      <c r="E26" s="82">
        <f t="shared" si="5"/>
        <v>131.33655</v>
      </c>
      <c r="F26" s="82">
        <f t="shared" si="5"/>
        <v>4152.712425</v>
      </c>
      <c r="G26" s="82">
        <f t="shared" si="5"/>
        <v>7079.823875</v>
      </c>
      <c r="H26" s="82">
        <f t="shared" si="5"/>
        <v>0</v>
      </c>
    </row>
    <row r="27" spans="1:8" ht="15">
      <c r="A27" s="16"/>
      <c r="B27" s="16" t="s">
        <v>25</v>
      </c>
      <c r="C27" s="83">
        <f aca="true" t="shared" si="6" ref="C27:H27">SUM(C25:C26)</f>
        <v>83.83678248</v>
      </c>
      <c r="D27" s="83">
        <f t="shared" si="6"/>
        <v>158.95887435999998</v>
      </c>
      <c r="E27" s="83">
        <f t="shared" si="6"/>
        <v>423.18584387</v>
      </c>
      <c r="F27" s="83">
        <f t="shared" si="6"/>
        <v>4640.547872906396</v>
      </c>
      <c r="G27" s="83">
        <f t="shared" si="6"/>
        <v>46330.05483325028</v>
      </c>
      <c r="H27" s="83">
        <f t="shared" si="6"/>
        <v>81601.34803489449</v>
      </c>
    </row>
    <row r="28" spans="1:8" ht="15">
      <c r="A28" s="18"/>
      <c r="B28" s="18"/>
      <c r="C28" s="18"/>
      <c r="D28" s="18"/>
      <c r="E28" s="18"/>
      <c r="F28" s="18"/>
      <c r="G28" s="18"/>
      <c r="H28" s="18"/>
    </row>
    <row r="29" spans="1:8" ht="15">
      <c r="A29" s="18"/>
      <c r="B29" s="18"/>
      <c r="C29" s="19" t="s">
        <v>21</v>
      </c>
      <c r="D29" s="19" t="s">
        <v>21</v>
      </c>
      <c r="E29" s="19" t="s">
        <v>21</v>
      </c>
      <c r="F29" s="19" t="s">
        <v>21</v>
      </c>
      <c r="G29" s="19" t="s">
        <v>21</v>
      </c>
      <c r="H29" s="19" t="s">
        <v>21</v>
      </c>
    </row>
    <row r="30" spans="1:8" ht="15">
      <c r="A30" s="18"/>
      <c r="B30" s="18"/>
      <c r="C30" s="25">
        <f aca="true" t="shared" si="7" ref="C30:H30">+C12</f>
        <v>0.3612</v>
      </c>
      <c r="D30" s="25">
        <f t="shared" si="7"/>
        <v>0.3612</v>
      </c>
      <c r="E30" s="25">
        <f t="shared" si="7"/>
        <v>0.335</v>
      </c>
      <c r="F30" s="25">
        <f t="shared" si="7"/>
        <v>0.33</v>
      </c>
      <c r="G30" s="25">
        <f t="shared" si="7"/>
        <v>0.31</v>
      </c>
      <c r="H30" s="25">
        <f t="shared" si="7"/>
        <v>0.2825</v>
      </c>
    </row>
    <row r="31" spans="1:8" ht="15">
      <c r="A31" s="18"/>
      <c r="B31" s="18"/>
      <c r="C31" s="18"/>
      <c r="D31" s="18"/>
      <c r="E31" s="18"/>
      <c r="F31" s="18"/>
      <c r="G31" s="18"/>
      <c r="H31" s="18"/>
    </row>
    <row r="32" spans="1:8" ht="25.5">
      <c r="A32" s="18"/>
      <c r="B32" s="18"/>
      <c r="C32" s="26" t="s">
        <v>26</v>
      </c>
      <c r="D32" s="26" t="s">
        <v>26</v>
      </c>
      <c r="E32" s="26" t="s">
        <v>26</v>
      </c>
      <c r="F32" s="26" t="s">
        <v>26</v>
      </c>
      <c r="G32" s="26" t="s">
        <v>26</v>
      </c>
      <c r="H32" s="26" t="s">
        <v>26</v>
      </c>
    </row>
    <row r="33" spans="1:8" ht="15">
      <c r="A33" s="18"/>
      <c r="B33" s="16" t="s">
        <v>23</v>
      </c>
      <c r="C33" s="80">
        <f aca="true" t="shared" si="8" ref="C33:H33">C25/(1-C12)</f>
        <v>75.07965322479649</v>
      </c>
      <c r="D33" s="80">
        <f t="shared" si="8"/>
        <v>193.28052498434562</v>
      </c>
      <c r="E33" s="80">
        <f t="shared" si="8"/>
        <v>438.8711186015037</v>
      </c>
      <c r="F33" s="80">
        <f t="shared" si="8"/>
        <v>728.112608815517</v>
      </c>
      <c r="G33" s="80">
        <f t="shared" si="8"/>
        <v>56884.39269311635</v>
      </c>
      <c r="H33" s="80">
        <f t="shared" si="8"/>
        <v>113730.1017907937</v>
      </c>
    </row>
    <row r="34" spans="1:8" ht="15">
      <c r="A34" s="18"/>
      <c r="B34" s="16" t="s">
        <v>24</v>
      </c>
      <c r="C34" s="80">
        <f aca="true" t="shared" si="9" ref="C34:H34">C20</f>
        <v>35.8759</v>
      </c>
      <c r="D34" s="80">
        <f t="shared" si="9"/>
        <v>35.491274999999995</v>
      </c>
      <c r="E34" s="80">
        <f t="shared" si="9"/>
        <v>131.33655</v>
      </c>
      <c r="F34" s="80">
        <f t="shared" si="9"/>
        <v>4152.712425</v>
      </c>
      <c r="G34" s="80">
        <f t="shared" si="9"/>
        <v>7079.823875</v>
      </c>
      <c r="H34" s="80">
        <f t="shared" si="9"/>
        <v>0</v>
      </c>
    </row>
    <row r="35" spans="1:8" ht="15">
      <c r="A35" s="18"/>
      <c r="B35" s="16" t="s">
        <v>25</v>
      </c>
      <c r="C35" s="81">
        <f aca="true" t="shared" si="10" ref="C35:H35">SUM(C33:C34)</f>
        <v>110.95555322479649</v>
      </c>
      <c r="D35" s="81">
        <f t="shared" si="10"/>
        <v>228.77179998434562</v>
      </c>
      <c r="E35" s="81">
        <f t="shared" si="10"/>
        <v>570.2076686015037</v>
      </c>
      <c r="F35" s="81">
        <f t="shared" si="10"/>
        <v>4880.825033815517</v>
      </c>
      <c r="G35" s="81">
        <f t="shared" si="10"/>
        <v>63964.21656811635</v>
      </c>
      <c r="H35" s="81">
        <f t="shared" si="10"/>
        <v>113730.1017907937</v>
      </c>
    </row>
  </sheetData>
  <sheetProtection formatColumns="0" selectLockedCells="1"/>
  <printOptions/>
  <pageMargins left="0.75" right="0.75" top="1" bottom="0.4" header="0.5" footer="0.17"/>
  <pageSetup fitToHeight="1" fitToWidth="1" horizontalDpi="600" verticalDpi="600" orientation="landscape" scale="94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I78"/>
  <sheetViews>
    <sheetView workbookViewId="0" topLeftCell="B1">
      <selection activeCell="D9" sqref="D9:F9"/>
    </sheetView>
  </sheetViews>
  <sheetFormatPr defaultColWidth="8.88671875" defaultRowHeight="15"/>
  <cols>
    <col min="1" max="1" width="8.88671875" style="15" customWidth="1"/>
    <col min="2" max="2" width="40.5546875" style="15" bestFit="1" customWidth="1"/>
    <col min="3" max="3" width="6.3359375" style="15" bestFit="1" customWidth="1"/>
    <col min="4" max="4" width="9.77734375" style="32" bestFit="1" customWidth="1"/>
    <col min="5" max="6" width="10.4453125" style="32" bestFit="1" customWidth="1"/>
    <col min="7" max="7" width="10.4453125" style="15" bestFit="1" customWidth="1"/>
    <col min="8" max="9" width="10.6640625" style="15" bestFit="1" customWidth="1"/>
    <col min="10" max="16384" width="8.88671875" style="15" customWidth="1"/>
  </cols>
  <sheetData>
    <row r="3" spans="1:7" ht="15">
      <c r="A3" s="27"/>
      <c r="B3" s="27"/>
      <c r="C3" s="27"/>
      <c r="D3" s="33"/>
      <c r="E3" s="33"/>
      <c r="F3" s="33"/>
      <c r="G3" s="27"/>
    </row>
    <row r="4" spans="1:7" ht="26.25">
      <c r="A4" s="27"/>
      <c r="B4" s="28" t="s">
        <v>33</v>
      </c>
      <c r="C4" s="28"/>
      <c r="D4" s="33"/>
      <c r="E4" s="33"/>
      <c r="F4" s="33"/>
      <c r="G4" s="27"/>
    </row>
    <row r="5" spans="1:9" ht="15">
      <c r="A5" s="27"/>
      <c r="B5" s="27"/>
      <c r="C5" s="27"/>
      <c r="D5" s="40">
        <v>2006</v>
      </c>
      <c r="E5" s="40">
        <v>2007</v>
      </c>
      <c r="F5" s="40">
        <v>2008</v>
      </c>
      <c r="G5" s="40">
        <v>2009</v>
      </c>
      <c r="H5" s="40">
        <v>2010</v>
      </c>
      <c r="I5" s="40">
        <v>2011</v>
      </c>
    </row>
    <row r="6" spans="1:9" ht="18">
      <c r="A6" s="27"/>
      <c r="B6" s="29" t="s">
        <v>86</v>
      </c>
      <c r="C6" s="29"/>
      <c r="D6" s="78" t="s">
        <v>85</v>
      </c>
      <c r="E6" s="78" t="s">
        <v>85</v>
      </c>
      <c r="F6" s="78" t="s">
        <v>85</v>
      </c>
      <c r="G6" s="78" t="s">
        <v>85</v>
      </c>
      <c r="H6" s="78" t="s">
        <v>85</v>
      </c>
      <c r="I6" s="78" t="s">
        <v>85</v>
      </c>
    </row>
    <row r="7" spans="1:7" ht="15">
      <c r="A7" s="27"/>
      <c r="B7" s="27"/>
      <c r="C7" s="27"/>
      <c r="D7" s="33"/>
      <c r="E7" s="33"/>
      <c r="F7" s="33"/>
      <c r="G7" s="33"/>
    </row>
    <row r="8" spans="1:9" ht="15">
      <c r="A8" s="27"/>
      <c r="B8" s="27" t="s">
        <v>27</v>
      </c>
      <c r="C8" s="27"/>
      <c r="D8" s="35">
        <v>0</v>
      </c>
      <c r="E8" s="35">
        <f>D10</f>
        <v>12371</v>
      </c>
      <c r="F8" s="35">
        <f>E10</f>
        <v>17171</v>
      </c>
      <c r="G8" s="35">
        <f>F10</f>
        <v>62422</v>
      </c>
      <c r="H8" s="35">
        <f>G10</f>
        <v>1761188</v>
      </c>
      <c r="I8" s="35">
        <f>H10</f>
        <v>9674206</v>
      </c>
    </row>
    <row r="9" spans="1:9" ht="15">
      <c r="A9" s="27"/>
      <c r="B9" s="31" t="s">
        <v>47</v>
      </c>
      <c r="C9" s="31"/>
      <c r="D9" s="36">
        <v>12371</v>
      </c>
      <c r="E9" s="36">
        <v>4800</v>
      </c>
      <c r="F9" s="36">
        <v>45251</v>
      </c>
      <c r="G9" s="36">
        <v>1698766</v>
      </c>
      <c r="H9" s="36">
        <v>7913018</v>
      </c>
      <c r="I9" s="36">
        <v>977218</v>
      </c>
    </row>
    <row r="10" spans="1:9" ht="15">
      <c r="A10" s="27"/>
      <c r="B10" s="27" t="s">
        <v>28</v>
      </c>
      <c r="C10" s="27"/>
      <c r="D10" s="35">
        <f aca="true" t="shared" si="0" ref="D10:I10">SUM(D8:D9)</f>
        <v>12371</v>
      </c>
      <c r="E10" s="35">
        <f t="shared" si="0"/>
        <v>17171</v>
      </c>
      <c r="F10" s="35">
        <f t="shared" si="0"/>
        <v>62422</v>
      </c>
      <c r="G10" s="35">
        <f t="shared" si="0"/>
        <v>1761188</v>
      </c>
      <c r="H10" s="35">
        <f t="shared" si="0"/>
        <v>9674206</v>
      </c>
      <c r="I10" s="35">
        <f t="shared" si="0"/>
        <v>10651424</v>
      </c>
    </row>
    <row r="11" spans="1:9" ht="15">
      <c r="A11" s="27"/>
      <c r="B11" s="27"/>
      <c r="C11" s="27"/>
      <c r="D11" s="37"/>
      <c r="E11" s="37"/>
      <c r="F11" s="33"/>
      <c r="G11" s="33"/>
      <c r="H11" s="33"/>
      <c r="I11" s="33"/>
    </row>
    <row r="12" spans="1:9" ht="15">
      <c r="A12" s="27"/>
      <c r="B12" s="27" t="s">
        <v>29</v>
      </c>
      <c r="C12" s="27"/>
      <c r="D12" s="35">
        <v>0</v>
      </c>
      <c r="E12" s="35">
        <f>D15</f>
        <v>412.3666666666667</v>
      </c>
      <c r="F12" s="35">
        <f>E15</f>
        <v>1397.1</v>
      </c>
      <c r="G12" s="35">
        <f>F15</f>
        <v>4050.2</v>
      </c>
      <c r="H12" s="35">
        <f>G15</f>
        <v>64837.2</v>
      </c>
      <c r="I12" s="35">
        <f>H15</f>
        <v>446017</v>
      </c>
    </row>
    <row r="13" spans="1:9" ht="15">
      <c r="A13" s="27"/>
      <c r="B13" s="31" t="s">
        <v>49</v>
      </c>
      <c r="C13" s="56" t="s">
        <v>65</v>
      </c>
      <c r="D13" s="33">
        <f aca="true" t="shared" si="1" ref="D13:I13">D9/15/2</f>
        <v>412.3666666666667</v>
      </c>
      <c r="E13" s="33">
        <f t="shared" si="1"/>
        <v>160</v>
      </c>
      <c r="F13" s="33">
        <f t="shared" si="1"/>
        <v>1508.3666666666666</v>
      </c>
      <c r="G13" s="33">
        <f t="shared" si="1"/>
        <v>56625.53333333333</v>
      </c>
      <c r="H13" s="33">
        <f t="shared" si="1"/>
        <v>263767.26666666666</v>
      </c>
      <c r="I13" s="33">
        <f t="shared" si="1"/>
        <v>32573.933333333334</v>
      </c>
    </row>
    <row r="14" spans="1:9" ht="15">
      <c r="A14" s="27"/>
      <c r="B14" s="31" t="s">
        <v>50</v>
      </c>
      <c r="C14"/>
      <c r="D14" s="33">
        <f aca="true" t="shared" si="2" ref="D14:I14">D8/15</f>
        <v>0</v>
      </c>
      <c r="E14" s="33">
        <f t="shared" si="2"/>
        <v>824.7333333333333</v>
      </c>
      <c r="F14" s="33">
        <f t="shared" si="2"/>
        <v>1144.7333333333333</v>
      </c>
      <c r="G14" s="33">
        <f t="shared" si="2"/>
        <v>4161.466666666666</v>
      </c>
      <c r="H14" s="33">
        <f t="shared" si="2"/>
        <v>117412.53333333334</v>
      </c>
      <c r="I14" s="33">
        <f t="shared" si="2"/>
        <v>644947.0666666667</v>
      </c>
    </row>
    <row r="15" spans="1:9" ht="15">
      <c r="A15" s="27"/>
      <c r="B15" s="27" t="s">
        <v>30</v>
      </c>
      <c r="C15" s="27"/>
      <c r="D15" s="35">
        <f aca="true" t="shared" si="3" ref="D15:I15">SUM(D12:D14)</f>
        <v>412.3666666666667</v>
      </c>
      <c r="E15" s="35">
        <f t="shared" si="3"/>
        <v>1397.1</v>
      </c>
      <c r="F15" s="35">
        <f t="shared" si="3"/>
        <v>4050.2</v>
      </c>
      <c r="G15" s="35">
        <f t="shared" si="3"/>
        <v>64837.2</v>
      </c>
      <c r="H15" s="35">
        <f t="shared" si="3"/>
        <v>446017</v>
      </c>
      <c r="I15" s="35">
        <f t="shared" si="3"/>
        <v>1123538</v>
      </c>
    </row>
    <row r="16" spans="1:9" ht="15">
      <c r="A16" s="27"/>
      <c r="B16" s="27"/>
      <c r="C16" s="27"/>
      <c r="D16" s="38"/>
      <c r="E16" s="38"/>
      <c r="F16" s="33"/>
      <c r="G16" s="33"/>
      <c r="H16" s="33"/>
      <c r="I16" s="33"/>
    </row>
    <row r="17" spans="1:9" ht="15">
      <c r="A17" s="27"/>
      <c r="B17" s="27" t="s">
        <v>31</v>
      </c>
      <c r="C17" s="27"/>
      <c r="D17" s="33">
        <f aca="true" t="shared" si="4" ref="D17:I17">D8-D12</f>
        <v>0</v>
      </c>
      <c r="E17" s="33">
        <f t="shared" si="4"/>
        <v>11958.633333333333</v>
      </c>
      <c r="F17" s="33">
        <f t="shared" si="4"/>
        <v>15773.9</v>
      </c>
      <c r="G17" s="33">
        <f t="shared" si="4"/>
        <v>58371.8</v>
      </c>
      <c r="H17" s="33">
        <f t="shared" si="4"/>
        <v>1696350.8</v>
      </c>
      <c r="I17" s="33">
        <f t="shared" si="4"/>
        <v>9228189</v>
      </c>
    </row>
    <row r="18" spans="1:9" ht="15">
      <c r="A18" s="27"/>
      <c r="B18" s="27" t="s">
        <v>32</v>
      </c>
      <c r="C18" s="27"/>
      <c r="D18" s="35">
        <f aca="true" t="shared" si="5" ref="D18:I18">D10-D15</f>
        <v>11958.633333333333</v>
      </c>
      <c r="E18" s="35">
        <f t="shared" si="5"/>
        <v>15773.9</v>
      </c>
      <c r="F18" s="35">
        <f t="shared" si="5"/>
        <v>58371.8</v>
      </c>
      <c r="G18" s="35">
        <f t="shared" si="5"/>
        <v>1696350.8</v>
      </c>
      <c r="H18" s="35">
        <f t="shared" si="5"/>
        <v>9228189</v>
      </c>
      <c r="I18" s="35">
        <f t="shared" si="5"/>
        <v>9527886</v>
      </c>
    </row>
    <row r="19" spans="1:9" ht="15.75" thickBot="1">
      <c r="A19" s="27"/>
      <c r="B19" s="27" t="s">
        <v>33</v>
      </c>
      <c r="C19" s="27"/>
      <c r="D19" s="39">
        <f aca="true" t="shared" si="6" ref="D19:I19">SUM(D17:D18)/2</f>
        <v>5979.316666666667</v>
      </c>
      <c r="E19" s="39">
        <f t="shared" si="6"/>
        <v>13866.266666666666</v>
      </c>
      <c r="F19" s="39">
        <f t="shared" si="6"/>
        <v>37072.85</v>
      </c>
      <c r="G19" s="39">
        <f t="shared" si="6"/>
        <v>877361.3</v>
      </c>
      <c r="H19" s="39">
        <f t="shared" si="6"/>
        <v>5462269.9</v>
      </c>
      <c r="I19" s="39">
        <f t="shared" si="6"/>
        <v>9378037.5</v>
      </c>
    </row>
    <row r="20" spans="1:7" ht="15">
      <c r="A20" s="27"/>
      <c r="B20" s="27"/>
      <c r="C20" s="27"/>
      <c r="D20" s="37"/>
      <c r="E20" s="37"/>
      <c r="F20" s="37"/>
      <c r="G20" s="30"/>
    </row>
    <row r="21" spans="1:7" ht="15">
      <c r="A21" s="27"/>
      <c r="B21" s="27"/>
      <c r="C21" s="27"/>
      <c r="D21" s="34"/>
      <c r="E21" s="34"/>
      <c r="F21" s="34"/>
      <c r="G21" s="27"/>
    </row>
    <row r="22" spans="1:9" ht="15">
      <c r="A22" s="27"/>
      <c r="B22" s="27"/>
      <c r="C22" s="27"/>
      <c r="D22" s="40">
        <v>2006</v>
      </c>
      <c r="E22" s="40">
        <v>2007</v>
      </c>
      <c r="F22" s="40">
        <v>2008</v>
      </c>
      <c r="G22" s="40">
        <v>2009</v>
      </c>
      <c r="H22" s="40">
        <v>2010</v>
      </c>
      <c r="I22" s="40">
        <v>2011</v>
      </c>
    </row>
    <row r="23" spans="1:9" ht="18">
      <c r="A23" s="27"/>
      <c r="B23" s="29" t="s">
        <v>87</v>
      </c>
      <c r="C23" s="29"/>
      <c r="D23" s="78" t="s">
        <v>85</v>
      </c>
      <c r="E23" s="78" t="s">
        <v>85</v>
      </c>
      <c r="F23" s="78" t="s">
        <v>85</v>
      </c>
      <c r="G23" s="78" t="s">
        <v>85</v>
      </c>
      <c r="H23" s="34" t="s">
        <v>42</v>
      </c>
      <c r="I23" s="34" t="s">
        <v>42</v>
      </c>
    </row>
    <row r="24" spans="1:7" ht="15">
      <c r="A24" s="27"/>
      <c r="B24" s="27"/>
      <c r="C24" s="27"/>
      <c r="D24" s="33"/>
      <c r="E24" s="33"/>
      <c r="F24" s="33"/>
      <c r="G24" s="33"/>
    </row>
    <row r="25" spans="1:9" ht="15">
      <c r="A25" s="27"/>
      <c r="B25" s="27" t="s">
        <v>27</v>
      </c>
      <c r="C25" s="27"/>
      <c r="D25" s="35">
        <v>0</v>
      </c>
      <c r="E25" s="35">
        <f>D27</f>
        <v>0</v>
      </c>
      <c r="F25" s="35">
        <f>E27</f>
        <v>0</v>
      </c>
      <c r="G25" s="35">
        <f>F27</f>
        <v>0</v>
      </c>
      <c r="H25" s="35">
        <f>G27</f>
        <v>179159</v>
      </c>
      <c r="I25" s="35">
        <f>H27</f>
        <v>325555</v>
      </c>
    </row>
    <row r="26" spans="1:9" ht="15">
      <c r="A26" s="27"/>
      <c r="B26" s="31" t="s">
        <v>47</v>
      </c>
      <c r="C26" s="31"/>
      <c r="D26" s="36"/>
      <c r="E26" s="36"/>
      <c r="F26" s="36"/>
      <c r="G26" s="36">
        <v>179159</v>
      </c>
      <c r="H26" s="36">
        <v>146396</v>
      </c>
      <c r="I26" s="36">
        <v>72878</v>
      </c>
    </row>
    <row r="27" spans="1:9" ht="15">
      <c r="A27" s="27"/>
      <c r="B27" s="27" t="s">
        <v>28</v>
      </c>
      <c r="C27" s="27"/>
      <c r="D27" s="35">
        <f aca="true" t="shared" si="7" ref="D27:I27">SUM(D25:D26)</f>
        <v>0</v>
      </c>
      <c r="E27" s="35">
        <f t="shared" si="7"/>
        <v>0</v>
      </c>
      <c r="F27" s="35">
        <f t="shared" si="7"/>
        <v>0</v>
      </c>
      <c r="G27" s="35">
        <f t="shared" si="7"/>
        <v>179159</v>
      </c>
      <c r="H27" s="35">
        <f t="shared" si="7"/>
        <v>325555</v>
      </c>
      <c r="I27" s="35">
        <f t="shared" si="7"/>
        <v>398433</v>
      </c>
    </row>
    <row r="28" spans="1:9" ht="15">
      <c r="A28" s="27"/>
      <c r="B28" s="27"/>
      <c r="C28" s="27"/>
      <c r="D28" s="37"/>
      <c r="E28" s="37"/>
      <c r="F28" s="33"/>
      <c r="G28" s="33"/>
      <c r="H28" s="33"/>
      <c r="I28" s="33"/>
    </row>
    <row r="29" spans="1:9" ht="15">
      <c r="A29" s="27"/>
      <c r="B29" s="27" t="s">
        <v>29</v>
      </c>
      <c r="C29" s="27"/>
      <c r="D29" s="35">
        <v>0</v>
      </c>
      <c r="E29" s="35">
        <f>D32</f>
        <v>0</v>
      </c>
      <c r="F29" s="35">
        <f>E32</f>
        <v>0</v>
      </c>
      <c r="G29" s="35">
        <f>F32</f>
        <v>0</v>
      </c>
      <c r="H29" s="35">
        <f>G32</f>
        <v>29859.833333333332</v>
      </c>
      <c r="I29" s="35">
        <f>H32</f>
        <v>113978.83333333333</v>
      </c>
    </row>
    <row r="30" spans="1:9" ht="15">
      <c r="A30" s="27"/>
      <c r="B30" s="31" t="s">
        <v>49</v>
      </c>
      <c r="C30" s="56" t="s">
        <v>66</v>
      </c>
      <c r="D30" s="33">
        <f aca="true" t="shared" si="8" ref="D30:I30">D26/3/2</f>
        <v>0</v>
      </c>
      <c r="E30" s="33">
        <f t="shared" si="8"/>
        <v>0</v>
      </c>
      <c r="F30" s="33">
        <f t="shared" si="8"/>
        <v>0</v>
      </c>
      <c r="G30" s="33">
        <f t="shared" si="8"/>
        <v>29859.833333333332</v>
      </c>
      <c r="H30" s="33">
        <f t="shared" si="8"/>
        <v>24399.333333333332</v>
      </c>
      <c r="I30" s="33">
        <f t="shared" si="8"/>
        <v>12146.333333333334</v>
      </c>
    </row>
    <row r="31" spans="1:9" ht="15">
      <c r="A31" s="27"/>
      <c r="B31" s="31" t="s">
        <v>50</v>
      </c>
      <c r="C31"/>
      <c r="D31" s="33">
        <f aca="true" t="shared" si="9" ref="D31:I31">D25/3</f>
        <v>0</v>
      </c>
      <c r="E31" s="33">
        <f t="shared" si="9"/>
        <v>0</v>
      </c>
      <c r="F31" s="33">
        <f t="shared" si="9"/>
        <v>0</v>
      </c>
      <c r="G31" s="33">
        <f t="shared" si="9"/>
        <v>0</v>
      </c>
      <c r="H31" s="33">
        <f t="shared" si="9"/>
        <v>59719.666666666664</v>
      </c>
      <c r="I31" s="33">
        <f t="shared" si="9"/>
        <v>108518.33333333333</v>
      </c>
    </row>
    <row r="32" spans="1:9" ht="15">
      <c r="A32" s="27"/>
      <c r="B32" s="27" t="s">
        <v>30</v>
      </c>
      <c r="C32" s="27"/>
      <c r="D32" s="35">
        <f aca="true" t="shared" si="10" ref="D32:I32">SUM(D29:D31)</f>
        <v>0</v>
      </c>
      <c r="E32" s="35">
        <f t="shared" si="10"/>
        <v>0</v>
      </c>
      <c r="F32" s="35">
        <f t="shared" si="10"/>
        <v>0</v>
      </c>
      <c r="G32" s="35">
        <f t="shared" si="10"/>
        <v>29859.833333333332</v>
      </c>
      <c r="H32" s="35">
        <f t="shared" si="10"/>
        <v>113978.83333333333</v>
      </c>
      <c r="I32" s="35">
        <f t="shared" si="10"/>
        <v>234643.5</v>
      </c>
    </row>
    <row r="33" spans="1:9" ht="15">
      <c r="A33" s="27"/>
      <c r="B33" s="27"/>
      <c r="C33" s="27"/>
      <c r="D33" s="38"/>
      <c r="E33" s="38"/>
      <c r="F33" s="33"/>
      <c r="G33" s="33"/>
      <c r="H33" s="33"/>
      <c r="I33" s="33"/>
    </row>
    <row r="34" spans="1:9" ht="15">
      <c r="A34" s="27"/>
      <c r="B34" s="27" t="s">
        <v>31</v>
      </c>
      <c r="C34" s="27"/>
      <c r="D34" s="33">
        <f aca="true" t="shared" si="11" ref="D34:I34">D25-D29</f>
        <v>0</v>
      </c>
      <c r="E34" s="33">
        <f t="shared" si="11"/>
        <v>0</v>
      </c>
      <c r="F34" s="33">
        <f t="shared" si="11"/>
        <v>0</v>
      </c>
      <c r="G34" s="33">
        <f t="shared" si="11"/>
        <v>0</v>
      </c>
      <c r="H34" s="33">
        <f t="shared" si="11"/>
        <v>149299.16666666666</v>
      </c>
      <c r="I34" s="33">
        <f t="shared" si="11"/>
        <v>211576.1666666667</v>
      </c>
    </row>
    <row r="35" spans="1:9" ht="15">
      <c r="A35" s="27"/>
      <c r="B35" s="27" t="s">
        <v>32</v>
      </c>
      <c r="C35" s="27"/>
      <c r="D35" s="35">
        <f aca="true" t="shared" si="12" ref="D35:I35">D27-D32</f>
        <v>0</v>
      </c>
      <c r="E35" s="35">
        <f t="shared" si="12"/>
        <v>0</v>
      </c>
      <c r="F35" s="35">
        <f t="shared" si="12"/>
        <v>0</v>
      </c>
      <c r="G35" s="35">
        <f t="shared" si="12"/>
        <v>149299.16666666666</v>
      </c>
      <c r="H35" s="35">
        <f t="shared" si="12"/>
        <v>211576.1666666667</v>
      </c>
      <c r="I35" s="35">
        <f t="shared" si="12"/>
        <v>163789.5</v>
      </c>
    </row>
    <row r="36" spans="1:9" ht="15.75" thickBot="1">
      <c r="A36" s="27"/>
      <c r="B36" s="27" t="s">
        <v>33</v>
      </c>
      <c r="C36" s="27"/>
      <c r="D36" s="39">
        <f aca="true" t="shared" si="13" ref="D36:I36">SUM(D34:D35)/2</f>
        <v>0</v>
      </c>
      <c r="E36" s="39">
        <f t="shared" si="13"/>
        <v>0</v>
      </c>
      <c r="F36" s="39">
        <f t="shared" si="13"/>
        <v>0</v>
      </c>
      <c r="G36" s="39">
        <f t="shared" si="13"/>
        <v>74649.58333333333</v>
      </c>
      <c r="H36" s="39">
        <f t="shared" si="13"/>
        <v>180437.6666666667</v>
      </c>
      <c r="I36" s="39">
        <f t="shared" si="13"/>
        <v>187682.83333333334</v>
      </c>
    </row>
    <row r="37" spans="1:7" ht="15">
      <c r="A37" s="27"/>
      <c r="B37" s="27"/>
      <c r="C37" s="27"/>
      <c r="D37" s="33"/>
      <c r="E37" s="33"/>
      <c r="F37" s="33"/>
      <c r="G37" s="27"/>
    </row>
    <row r="38" spans="1:9" ht="15">
      <c r="A38" s="27"/>
      <c r="B38" s="31" t="s">
        <v>93</v>
      </c>
      <c r="C38" s="27"/>
      <c r="D38" s="33">
        <f aca="true" t="shared" si="14" ref="D38:I38">+D10+D27</f>
        <v>12371</v>
      </c>
      <c r="E38" s="33">
        <f t="shared" si="14"/>
        <v>17171</v>
      </c>
      <c r="F38" s="33">
        <f t="shared" si="14"/>
        <v>62422</v>
      </c>
      <c r="G38" s="33">
        <f t="shared" si="14"/>
        <v>1940347</v>
      </c>
      <c r="H38" s="33">
        <f t="shared" si="14"/>
        <v>9999761</v>
      </c>
      <c r="I38" s="33">
        <f t="shared" si="14"/>
        <v>11049857</v>
      </c>
    </row>
    <row r="39" spans="1:9" ht="15">
      <c r="A39" s="27"/>
      <c r="B39" s="31" t="s">
        <v>88</v>
      </c>
      <c r="C39" s="27"/>
      <c r="D39" s="33">
        <f aca="true" t="shared" si="15" ref="D39:I39">+D19+D36</f>
        <v>5979.316666666667</v>
      </c>
      <c r="E39" s="33">
        <f t="shared" si="15"/>
        <v>13866.266666666666</v>
      </c>
      <c r="F39" s="33">
        <f t="shared" si="15"/>
        <v>37072.85</v>
      </c>
      <c r="G39" s="33">
        <f t="shared" si="15"/>
        <v>952010.8833333334</v>
      </c>
      <c r="H39" s="33">
        <f t="shared" si="15"/>
        <v>5642707.566666667</v>
      </c>
      <c r="I39" s="33">
        <f t="shared" si="15"/>
        <v>9565720.333333334</v>
      </c>
    </row>
    <row r="40" spans="1:9" ht="15">
      <c r="A40" s="27"/>
      <c r="B40" s="31" t="s">
        <v>89</v>
      </c>
      <c r="C40" s="27"/>
      <c r="D40" s="33">
        <f aca="true" t="shared" si="16" ref="D40:I40">+D13+D14+D30+D31</f>
        <v>412.3666666666667</v>
      </c>
      <c r="E40" s="33">
        <f t="shared" si="16"/>
        <v>984.7333333333333</v>
      </c>
      <c r="F40" s="33">
        <f t="shared" si="16"/>
        <v>2653.1</v>
      </c>
      <c r="G40" s="33">
        <f t="shared" si="16"/>
        <v>90646.83333333333</v>
      </c>
      <c r="H40" s="33">
        <f t="shared" si="16"/>
        <v>465298.8</v>
      </c>
      <c r="I40" s="33">
        <f t="shared" si="16"/>
        <v>798185.6666666667</v>
      </c>
    </row>
    <row r="41" spans="1:7" ht="15">
      <c r="A41" s="27"/>
      <c r="B41" s="27"/>
      <c r="C41" s="27"/>
      <c r="D41" s="33"/>
      <c r="E41" s="33"/>
      <c r="F41" s="33"/>
      <c r="G41" s="27"/>
    </row>
    <row r="42" spans="1:7" ht="15">
      <c r="A42" s="27"/>
      <c r="B42" s="27"/>
      <c r="C42" s="27"/>
      <c r="D42" s="33"/>
      <c r="E42" s="33"/>
      <c r="F42" s="33"/>
      <c r="G42" s="27"/>
    </row>
    <row r="43" spans="1:7" ht="15">
      <c r="A43" s="27"/>
      <c r="B43" s="27"/>
      <c r="C43" s="27"/>
      <c r="D43" s="33"/>
      <c r="E43" s="33"/>
      <c r="F43" s="33"/>
      <c r="G43" s="27"/>
    </row>
    <row r="44" spans="1:7" ht="15">
      <c r="A44" s="27"/>
      <c r="B44" s="27"/>
      <c r="C44" s="27"/>
      <c r="D44" s="33"/>
      <c r="E44" s="33"/>
      <c r="F44" s="33"/>
      <c r="G44" s="27"/>
    </row>
    <row r="45" spans="1:7" ht="15">
      <c r="A45" s="27"/>
      <c r="B45" s="27"/>
      <c r="C45" s="27"/>
      <c r="D45" s="33"/>
      <c r="E45" s="33"/>
      <c r="F45" s="33"/>
      <c r="G45" s="27"/>
    </row>
    <row r="46" spans="1:7" ht="26.25">
      <c r="A46" s="27"/>
      <c r="B46" s="28" t="s">
        <v>34</v>
      </c>
      <c r="C46" s="28"/>
      <c r="D46" s="33"/>
      <c r="E46" s="33"/>
      <c r="F46" s="33"/>
      <c r="G46" s="27"/>
    </row>
    <row r="47" spans="1:7" ht="15">
      <c r="A47" s="27"/>
      <c r="B47" s="27"/>
      <c r="C47" s="27"/>
      <c r="D47" s="33"/>
      <c r="E47" s="33"/>
      <c r="F47" s="33"/>
      <c r="G47" s="27"/>
    </row>
    <row r="48" spans="1:9" ht="18">
      <c r="A48" s="27"/>
      <c r="B48" s="29" t="s">
        <v>48</v>
      </c>
      <c r="C48" s="29"/>
      <c r="D48" s="40">
        <v>2006</v>
      </c>
      <c r="E48" s="40">
        <v>2007</v>
      </c>
      <c r="F48" s="40">
        <v>2008</v>
      </c>
      <c r="G48" s="40">
        <v>2009</v>
      </c>
      <c r="H48" s="40">
        <v>2010</v>
      </c>
      <c r="I48" s="40">
        <v>2011</v>
      </c>
    </row>
    <row r="49" spans="1:9" ht="15">
      <c r="A49" s="27"/>
      <c r="B49" s="27"/>
      <c r="C49" s="27"/>
      <c r="D49" s="78" t="s">
        <v>85</v>
      </c>
      <c r="E49" s="78" t="s">
        <v>85</v>
      </c>
      <c r="F49" s="78" t="s">
        <v>85</v>
      </c>
      <c r="G49" s="78" t="s">
        <v>85</v>
      </c>
      <c r="H49" s="34" t="s">
        <v>42</v>
      </c>
      <c r="I49" s="34" t="s">
        <v>42</v>
      </c>
    </row>
    <row r="50" spans="1:7" ht="15">
      <c r="A50" s="27"/>
      <c r="B50" s="27"/>
      <c r="C50" s="27"/>
      <c r="D50" s="33"/>
      <c r="E50" s="33"/>
      <c r="F50" s="33"/>
      <c r="G50" s="33"/>
    </row>
    <row r="51" spans="1:9" ht="15">
      <c r="A51" s="27"/>
      <c r="B51" s="27" t="s">
        <v>35</v>
      </c>
      <c r="C51" s="27"/>
      <c r="D51" s="35">
        <v>0</v>
      </c>
      <c r="E51" s="35">
        <f>D59</f>
        <v>11876.16</v>
      </c>
      <c r="F51" s="35">
        <f>E59</f>
        <v>15534.0672</v>
      </c>
      <c r="G51" s="35">
        <f>F59</f>
        <v>57732.301823999995</v>
      </c>
      <c r="H51" s="35">
        <f>G59</f>
        <v>1683929.07767808</v>
      </c>
      <c r="I51" s="35">
        <f>H59</f>
        <v>9145712.031463834</v>
      </c>
    </row>
    <row r="52" spans="1:9" ht="15">
      <c r="A52" s="27"/>
      <c r="B52" s="27" t="s">
        <v>36</v>
      </c>
      <c r="C52" s="27"/>
      <c r="D52" s="33">
        <f aca="true" t="shared" si="17" ref="D52:I52">D9</f>
        <v>12371</v>
      </c>
      <c r="E52" s="33">
        <f t="shared" si="17"/>
        <v>4800</v>
      </c>
      <c r="F52" s="33">
        <f t="shared" si="17"/>
        <v>45251</v>
      </c>
      <c r="G52" s="33">
        <f t="shared" si="17"/>
        <v>1698766</v>
      </c>
      <c r="H52" s="33">
        <f t="shared" si="17"/>
        <v>7913018</v>
      </c>
      <c r="I52" s="33">
        <f t="shared" si="17"/>
        <v>977218</v>
      </c>
    </row>
    <row r="53" spans="1:9" ht="15">
      <c r="A53" s="27"/>
      <c r="B53" s="27" t="s">
        <v>37</v>
      </c>
      <c r="C53" s="27"/>
      <c r="D53" s="35">
        <f aca="true" t="shared" si="18" ref="D53:I53">SUM(D51:D52)</f>
        <v>12371</v>
      </c>
      <c r="E53" s="35">
        <f t="shared" si="18"/>
        <v>16676.16</v>
      </c>
      <c r="F53" s="35">
        <f t="shared" si="18"/>
        <v>60785.0672</v>
      </c>
      <c r="G53" s="35">
        <f t="shared" si="18"/>
        <v>1756498.301824</v>
      </c>
      <c r="H53" s="35">
        <f t="shared" si="18"/>
        <v>9596947.07767808</v>
      </c>
      <c r="I53" s="35">
        <f t="shared" si="18"/>
        <v>10122930.031463834</v>
      </c>
    </row>
    <row r="54" spans="1:9" ht="15">
      <c r="A54" s="27"/>
      <c r="B54" s="27" t="s">
        <v>38</v>
      </c>
      <c r="C54" s="27"/>
      <c r="D54" s="33">
        <f aca="true" t="shared" si="19" ref="D54:I54">D52/2</f>
        <v>6185.5</v>
      </c>
      <c r="E54" s="33">
        <f t="shared" si="19"/>
        <v>2400</v>
      </c>
      <c r="F54" s="33">
        <f t="shared" si="19"/>
        <v>22625.5</v>
      </c>
      <c r="G54" s="33">
        <f t="shared" si="19"/>
        <v>849383</v>
      </c>
      <c r="H54" s="33">
        <f t="shared" si="19"/>
        <v>3956509</v>
      </c>
      <c r="I54" s="33">
        <f t="shared" si="19"/>
        <v>488609</v>
      </c>
    </row>
    <row r="55" spans="1:9" ht="15">
      <c r="A55" s="27"/>
      <c r="B55" s="27" t="s">
        <v>39</v>
      </c>
      <c r="C55" s="27"/>
      <c r="D55" s="35">
        <f aca="true" t="shared" si="20" ref="D55:I55">D53-D54</f>
        <v>6185.5</v>
      </c>
      <c r="E55" s="35">
        <f t="shared" si="20"/>
        <v>14276.16</v>
      </c>
      <c r="F55" s="35">
        <f t="shared" si="20"/>
        <v>38159.5672</v>
      </c>
      <c r="G55" s="35">
        <f t="shared" si="20"/>
        <v>907115.301824</v>
      </c>
      <c r="H55" s="35">
        <f t="shared" si="20"/>
        <v>5640438.077678081</v>
      </c>
      <c r="I55" s="35">
        <f t="shared" si="20"/>
        <v>9634321.031463834</v>
      </c>
    </row>
    <row r="56" spans="1:9" ht="15">
      <c r="A56" s="27"/>
      <c r="B56" s="27" t="s">
        <v>43</v>
      </c>
      <c r="C56" s="41">
        <v>47</v>
      </c>
      <c r="D56" s="43"/>
      <c r="E56" s="44"/>
      <c r="F56" s="44"/>
      <c r="G56" s="44"/>
      <c r="H56" s="44"/>
      <c r="I56" s="44"/>
    </row>
    <row r="57" spans="1:9" ht="15">
      <c r="A57" s="27"/>
      <c r="B57" s="27" t="s">
        <v>44</v>
      </c>
      <c r="C57" s="42">
        <v>0.08</v>
      </c>
      <c r="D57" s="43"/>
      <c r="E57" s="44"/>
      <c r="F57" s="44"/>
      <c r="G57" s="44"/>
      <c r="H57" s="44"/>
      <c r="I57" s="44"/>
    </row>
    <row r="58" spans="1:9" ht="15">
      <c r="A58" s="27"/>
      <c r="B58" s="27" t="s">
        <v>40</v>
      </c>
      <c r="C58" s="27"/>
      <c r="D58" s="35">
        <f aca="true" t="shared" si="21" ref="D58:I58">D55*$C$57</f>
        <v>494.84000000000003</v>
      </c>
      <c r="E58" s="35">
        <f t="shared" si="21"/>
        <v>1142.0928000000001</v>
      </c>
      <c r="F58" s="35">
        <f t="shared" si="21"/>
        <v>3052.765376</v>
      </c>
      <c r="G58" s="35">
        <f t="shared" si="21"/>
        <v>72569.22414592</v>
      </c>
      <c r="H58" s="35">
        <f t="shared" si="21"/>
        <v>451235.0462142465</v>
      </c>
      <c r="I58" s="35">
        <f t="shared" si="21"/>
        <v>770745.6825171066</v>
      </c>
    </row>
    <row r="59" spans="1:9" ht="15.75" thickBot="1">
      <c r="A59" s="27"/>
      <c r="B59" s="27" t="s">
        <v>41</v>
      </c>
      <c r="C59" s="27"/>
      <c r="D59" s="39">
        <f aca="true" t="shared" si="22" ref="D59:I59">D53-D58</f>
        <v>11876.16</v>
      </c>
      <c r="E59" s="39">
        <f t="shared" si="22"/>
        <v>15534.0672</v>
      </c>
      <c r="F59" s="39">
        <f t="shared" si="22"/>
        <v>57732.301823999995</v>
      </c>
      <c r="G59" s="39">
        <f t="shared" si="22"/>
        <v>1683929.07767808</v>
      </c>
      <c r="H59" s="39">
        <f t="shared" si="22"/>
        <v>9145712.031463834</v>
      </c>
      <c r="I59" s="39">
        <f t="shared" si="22"/>
        <v>9352184.348946728</v>
      </c>
    </row>
    <row r="60" spans="1:7" ht="15">
      <c r="A60" s="27"/>
      <c r="B60" s="27"/>
      <c r="C60" s="27"/>
      <c r="D60" s="33"/>
      <c r="E60" s="33"/>
      <c r="F60" s="33"/>
      <c r="G60" s="27"/>
    </row>
    <row r="65" spans="2:9" ht="18">
      <c r="B65" s="29" t="s">
        <v>48</v>
      </c>
      <c r="C65" s="29"/>
      <c r="D65" s="40">
        <v>2006</v>
      </c>
      <c r="E65" s="40">
        <v>2007</v>
      </c>
      <c r="F65" s="40">
        <v>2008</v>
      </c>
      <c r="G65" s="40">
        <v>2009</v>
      </c>
      <c r="H65" s="40">
        <v>2010</v>
      </c>
      <c r="I65" s="40">
        <v>2011</v>
      </c>
    </row>
    <row r="66" spans="2:9" ht="15">
      <c r="B66" s="27"/>
      <c r="C66" s="27"/>
      <c r="D66" s="78" t="s">
        <v>85</v>
      </c>
      <c r="E66" s="78" t="s">
        <v>85</v>
      </c>
      <c r="F66" s="78" t="s">
        <v>85</v>
      </c>
      <c r="G66" s="78" t="s">
        <v>85</v>
      </c>
      <c r="H66" s="34" t="s">
        <v>42</v>
      </c>
      <c r="I66" s="34" t="s">
        <v>42</v>
      </c>
    </row>
    <row r="67" spans="2:7" ht="15">
      <c r="B67" s="27"/>
      <c r="C67" s="27"/>
      <c r="D67" s="33"/>
      <c r="E67" s="33"/>
      <c r="F67" s="33"/>
      <c r="G67" s="33"/>
    </row>
    <row r="68" spans="2:9" ht="15">
      <c r="B68" s="27" t="s">
        <v>35</v>
      </c>
      <c r="C68" s="27"/>
      <c r="D68" s="35">
        <v>0</v>
      </c>
      <c r="E68" s="35">
        <f>D76</f>
        <v>0</v>
      </c>
      <c r="F68" s="35">
        <f>E76</f>
        <v>0</v>
      </c>
      <c r="G68" s="35">
        <f>F76</f>
        <v>0</v>
      </c>
      <c r="H68" s="35">
        <f>G76</f>
        <v>129890.275</v>
      </c>
      <c r="I68" s="35">
        <f>H76</f>
        <v>164587.72375</v>
      </c>
    </row>
    <row r="69" spans="2:9" ht="15">
      <c r="B69" s="27" t="s">
        <v>36</v>
      </c>
      <c r="C69" s="27"/>
      <c r="D69" s="33">
        <f aca="true" t="shared" si="23" ref="D69:I69">D26</f>
        <v>0</v>
      </c>
      <c r="E69" s="33">
        <f t="shared" si="23"/>
        <v>0</v>
      </c>
      <c r="F69" s="33">
        <f t="shared" si="23"/>
        <v>0</v>
      </c>
      <c r="G69" s="33">
        <f t="shared" si="23"/>
        <v>179159</v>
      </c>
      <c r="H69" s="33">
        <f t="shared" si="23"/>
        <v>146396</v>
      </c>
      <c r="I69" s="33">
        <f t="shared" si="23"/>
        <v>72878</v>
      </c>
    </row>
    <row r="70" spans="2:9" ht="15">
      <c r="B70" s="27" t="s">
        <v>37</v>
      </c>
      <c r="C70" s="27"/>
      <c r="D70" s="35">
        <f aca="true" t="shared" si="24" ref="D70:I70">SUM(D68:D69)</f>
        <v>0</v>
      </c>
      <c r="E70" s="35">
        <f t="shared" si="24"/>
        <v>0</v>
      </c>
      <c r="F70" s="35">
        <f t="shared" si="24"/>
        <v>0</v>
      </c>
      <c r="G70" s="35">
        <f t="shared" si="24"/>
        <v>179159</v>
      </c>
      <c r="H70" s="35">
        <f t="shared" si="24"/>
        <v>276286.275</v>
      </c>
      <c r="I70" s="35">
        <f t="shared" si="24"/>
        <v>237465.72375</v>
      </c>
    </row>
    <row r="71" spans="2:9" ht="15">
      <c r="B71" s="27" t="s">
        <v>38</v>
      </c>
      <c r="C71" s="27"/>
      <c r="D71" s="33">
        <f aca="true" t="shared" si="25" ref="D71:I71">D69/2</f>
        <v>0</v>
      </c>
      <c r="E71" s="33">
        <f t="shared" si="25"/>
        <v>0</v>
      </c>
      <c r="F71" s="33">
        <f t="shared" si="25"/>
        <v>0</v>
      </c>
      <c r="G71" s="33">
        <f t="shared" si="25"/>
        <v>89579.5</v>
      </c>
      <c r="H71" s="33">
        <f t="shared" si="25"/>
        <v>73198</v>
      </c>
      <c r="I71" s="33">
        <f t="shared" si="25"/>
        <v>36439</v>
      </c>
    </row>
    <row r="72" spans="2:9" ht="15">
      <c r="B72" s="27" t="s">
        <v>39</v>
      </c>
      <c r="C72" s="27"/>
      <c r="D72" s="35">
        <f aca="true" t="shared" si="26" ref="D72:I72">D70-D71</f>
        <v>0</v>
      </c>
      <c r="E72" s="35">
        <f t="shared" si="26"/>
        <v>0</v>
      </c>
      <c r="F72" s="35">
        <f t="shared" si="26"/>
        <v>0</v>
      </c>
      <c r="G72" s="35">
        <f t="shared" si="26"/>
        <v>89579.5</v>
      </c>
      <c r="H72" s="35">
        <f t="shared" si="26"/>
        <v>203088.27500000002</v>
      </c>
      <c r="I72" s="35">
        <f t="shared" si="26"/>
        <v>201026.72375</v>
      </c>
    </row>
    <row r="73" spans="2:9" ht="15">
      <c r="B73" s="27" t="s">
        <v>43</v>
      </c>
      <c r="C73" s="41">
        <v>50</v>
      </c>
      <c r="D73" s="43"/>
      <c r="E73" s="44"/>
      <c r="F73" s="44"/>
      <c r="G73" s="44"/>
      <c r="H73" s="44"/>
      <c r="I73" s="44"/>
    </row>
    <row r="74" spans="2:9" ht="15">
      <c r="B74" s="27" t="s">
        <v>44</v>
      </c>
      <c r="C74" s="42">
        <v>0.55</v>
      </c>
      <c r="D74" s="43"/>
      <c r="E74" s="44"/>
      <c r="F74" s="44"/>
      <c r="G74" s="44"/>
      <c r="H74" s="44"/>
      <c r="I74" s="44"/>
    </row>
    <row r="75" spans="2:9" ht="15">
      <c r="B75" s="27" t="s">
        <v>40</v>
      </c>
      <c r="C75" s="27"/>
      <c r="D75" s="35">
        <f>D72*$C$57</f>
        <v>0</v>
      </c>
      <c r="E75" s="35">
        <f>E72*$C$74</f>
        <v>0</v>
      </c>
      <c r="F75" s="35">
        <f>F72*$C$74</f>
        <v>0</v>
      </c>
      <c r="G75" s="35">
        <f>G72*$C$74</f>
        <v>49268.725000000006</v>
      </c>
      <c r="H75" s="35">
        <f>H72*$C$74</f>
        <v>111698.55125000002</v>
      </c>
      <c r="I75" s="35">
        <f>I72*$C$74</f>
        <v>110564.69806250001</v>
      </c>
    </row>
    <row r="76" spans="2:9" ht="15.75" thickBot="1">
      <c r="B76" s="27" t="s">
        <v>41</v>
      </c>
      <c r="C76" s="27"/>
      <c r="D76" s="39">
        <f aca="true" t="shared" si="27" ref="D76:I76">D70-D75</f>
        <v>0</v>
      </c>
      <c r="E76" s="39">
        <f t="shared" si="27"/>
        <v>0</v>
      </c>
      <c r="F76" s="39">
        <f t="shared" si="27"/>
        <v>0</v>
      </c>
      <c r="G76" s="39">
        <f t="shared" si="27"/>
        <v>129890.275</v>
      </c>
      <c r="H76" s="39">
        <f t="shared" si="27"/>
        <v>164587.72375</v>
      </c>
      <c r="I76" s="39">
        <f t="shared" si="27"/>
        <v>126901.02568749999</v>
      </c>
    </row>
    <row r="77" spans="2:7" ht="15">
      <c r="B77" s="27"/>
      <c r="C77" s="27"/>
      <c r="D77" s="33"/>
      <c r="E77" s="33"/>
      <c r="F77" s="33"/>
      <c r="G77" s="27"/>
    </row>
    <row r="78" spans="2:9" ht="15">
      <c r="B78" s="27" t="s">
        <v>90</v>
      </c>
      <c r="D78" s="85">
        <f aca="true" t="shared" si="28" ref="D78:I78">+D58+D75</f>
        <v>494.84000000000003</v>
      </c>
      <c r="E78" s="85">
        <f t="shared" si="28"/>
        <v>1142.0928000000001</v>
      </c>
      <c r="F78" s="85">
        <f t="shared" si="28"/>
        <v>3052.765376</v>
      </c>
      <c r="G78" s="85">
        <f t="shared" si="28"/>
        <v>121837.94914592</v>
      </c>
      <c r="H78" s="85">
        <f t="shared" si="28"/>
        <v>562933.5974642464</v>
      </c>
      <c r="I78" s="85">
        <f t="shared" si="28"/>
        <v>881310.3805796066</v>
      </c>
    </row>
  </sheetData>
  <sheetProtection formatColumns="0" selectLockedCells="1"/>
  <printOptions/>
  <pageMargins left="0.75" right="0.75" top="0.91" bottom="0.32" header="0.5" footer="0.16"/>
  <pageSetup fitToHeight="2" horizontalDpi="600" verticalDpi="600" orientation="landscape" scale="75" r:id="rId1"/>
  <headerFooter alignWithMargins="0">
    <oddFooter>&amp;R&amp;A</oddFooter>
  </headerFooter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workbookViewId="0" topLeftCell="A1">
      <pane ySplit="5" topLeftCell="BM50" activePane="bottomLeft" state="frozen"/>
      <selection pane="topLeft" activeCell="A1" sqref="A1"/>
      <selection pane="bottomLeft" activeCell="E75" sqref="E75"/>
    </sheetView>
  </sheetViews>
  <sheetFormatPr defaultColWidth="8.88671875" defaultRowHeight="15"/>
  <cols>
    <col min="1" max="1" width="11.99609375" style="0" customWidth="1"/>
    <col min="2" max="2" width="14.99609375" style="0" customWidth="1"/>
    <col min="3" max="3" width="12.3359375" style="0" customWidth="1"/>
    <col min="4" max="4" width="14.21484375" style="0" customWidth="1"/>
    <col min="5" max="5" width="14.99609375" style="0" customWidth="1"/>
  </cols>
  <sheetData>
    <row r="1" s="62" customFormat="1" ht="15.75">
      <c r="A1" s="62" t="str">
        <f>+'1. Summary'!B2</f>
        <v>PowerStream Inc. - North</v>
      </c>
    </row>
    <row r="2" s="62" customFormat="1" ht="15.75">
      <c r="A2" s="62" t="str">
        <f>+'1. Summary'!B3</f>
        <v>Recovery of Costs to Oct 31, 2011</v>
      </c>
    </row>
    <row r="4" ht="15.75">
      <c r="A4" s="62" t="s">
        <v>53</v>
      </c>
    </row>
    <row r="5" spans="1:6" s="57" customFormat="1" ht="47.25">
      <c r="A5" s="74" t="s">
        <v>54</v>
      </c>
      <c r="B5" s="74" t="s">
        <v>55</v>
      </c>
      <c r="C5" s="74" t="s">
        <v>56</v>
      </c>
      <c r="D5" s="74" t="s">
        <v>9</v>
      </c>
      <c r="E5" s="74" t="s">
        <v>57</v>
      </c>
      <c r="F5" s="57" t="s">
        <v>58</v>
      </c>
    </row>
    <row r="6" spans="1:6" ht="15">
      <c r="A6" s="58">
        <v>38838</v>
      </c>
      <c r="B6" s="65">
        <v>0</v>
      </c>
      <c r="C6" s="65">
        <f>-122611/8</f>
        <v>-15326.375</v>
      </c>
      <c r="D6" s="65">
        <f>'2. Revenue Requirement'!$D$27/8</f>
        <v>119.9466454864329</v>
      </c>
      <c r="E6" s="65">
        <f>B6+C6+D6</f>
        <v>-15206.428354513568</v>
      </c>
      <c r="F6" t="s">
        <v>58</v>
      </c>
    </row>
    <row r="7" spans="1:6" ht="15">
      <c r="A7" s="58">
        <v>38869</v>
      </c>
      <c r="B7" s="65">
        <f>E6</f>
        <v>-15206.428354513568</v>
      </c>
      <c r="C7" s="65">
        <f aca="true" t="shared" si="0" ref="C7:C13">-122611/8</f>
        <v>-15326.375</v>
      </c>
      <c r="D7" s="65">
        <f>'2. Revenue Requirement'!$D$27/8</f>
        <v>119.9466454864329</v>
      </c>
      <c r="E7" s="65">
        <f aca="true" t="shared" si="1" ref="E7:E70">B7+C7+D7</f>
        <v>-30412.856709027135</v>
      </c>
      <c r="F7" t="s">
        <v>58</v>
      </c>
    </row>
    <row r="8" spans="1:6" ht="15">
      <c r="A8" s="58">
        <v>38899</v>
      </c>
      <c r="B8" s="65">
        <f aca="true" t="shared" si="2" ref="B8:B70">E7</f>
        <v>-30412.856709027135</v>
      </c>
      <c r="C8" s="65">
        <f t="shared" si="0"/>
        <v>-15326.375</v>
      </c>
      <c r="D8" s="65">
        <f>'2. Revenue Requirement'!$D$27/8</f>
        <v>119.9466454864329</v>
      </c>
      <c r="E8" s="65">
        <f t="shared" si="1"/>
        <v>-45619.28506354071</v>
      </c>
      <c r="F8" t="s">
        <v>58</v>
      </c>
    </row>
    <row r="9" spans="1:6" ht="15">
      <c r="A9" s="58">
        <v>38930</v>
      </c>
      <c r="B9" s="65">
        <f t="shared" si="2"/>
        <v>-45619.28506354071</v>
      </c>
      <c r="C9" s="65">
        <f t="shared" si="0"/>
        <v>-15326.375</v>
      </c>
      <c r="D9" s="65">
        <f>'2. Revenue Requirement'!$D$27/8</f>
        <v>119.9466454864329</v>
      </c>
      <c r="E9" s="65">
        <f t="shared" si="1"/>
        <v>-60825.71341805428</v>
      </c>
      <c r="F9" t="s">
        <v>58</v>
      </c>
    </row>
    <row r="10" spans="1:6" ht="15">
      <c r="A10" s="58">
        <v>38961</v>
      </c>
      <c r="B10" s="65">
        <f t="shared" si="2"/>
        <v>-60825.71341805428</v>
      </c>
      <c r="C10" s="65">
        <f t="shared" si="0"/>
        <v>-15326.375</v>
      </c>
      <c r="D10" s="65">
        <f>'2. Revenue Requirement'!$D$27/8</f>
        <v>119.9466454864329</v>
      </c>
      <c r="E10" s="65">
        <f t="shared" si="1"/>
        <v>-76032.14177256785</v>
      </c>
      <c r="F10" t="s">
        <v>58</v>
      </c>
    </row>
    <row r="11" spans="1:6" ht="15">
      <c r="A11" s="58">
        <v>38991</v>
      </c>
      <c r="B11" s="65">
        <f t="shared" si="2"/>
        <v>-76032.14177256785</v>
      </c>
      <c r="C11" s="65">
        <f t="shared" si="0"/>
        <v>-15326.375</v>
      </c>
      <c r="D11" s="65">
        <f>'2. Revenue Requirement'!$D$27/8</f>
        <v>119.9466454864329</v>
      </c>
      <c r="E11" s="65">
        <f t="shared" si="1"/>
        <v>-91238.57012708142</v>
      </c>
      <c r="F11" t="s">
        <v>58</v>
      </c>
    </row>
    <row r="12" spans="1:6" ht="15">
      <c r="A12" s="58">
        <v>39022</v>
      </c>
      <c r="B12" s="65">
        <f t="shared" si="2"/>
        <v>-91238.57012708142</v>
      </c>
      <c r="C12" s="65">
        <f t="shared" si="0"/>
        <v>-15326.375</v>
      </c>
      <c r="D12" s="65">
        <f>'2. Revenue Requirement'!$D$27/8</f>
        <v>119.9466454864329</v>
      </c>
      <c r="E12" s="65">
        <f t="shared" si="1"/>
        <v>-106444.99848159499</v>
      </c>
      <c r="F12" t="s">
        <v>58</v>
      </c>
    </row>
    <row r="13" spans="1:6" ht="15">
      <c r="A13" s="58">
        <v>39052</v>
      </c>
      <c r="B13" s="65">
        <f t="shared" si="2"/>
        <v>-106444.99848159499</v>
      </c>
      <c r="C13" s="65">
        <f t="shared" si="0"/>
        <v>-15326.375</v>
      </c>
      <c r="D13" s="65">
        <f>'2. Revenue Requirement'!$D$27/8</f>
        <v>119.9466454864329</v>
      </c>
      <c r="E13" s="65">
        <f t="shared" si="1"/>
        <v>-121651.42683610856</v>
      </c>
      <c r="F13" t="s">
        <v>58</v>
      </c>
    </row>
    <row r="14" spans="1:6" ht="15">
      <c r="A14" s="58">
        <v>39083</v>
      </c>
      <c r="B14" s="65">
        <f t="shared" si="2"/>
        <v>-121651.42683610856</v>
      </c>
      <c r="C14" s="65">
        <f>-216059/12</f>
        <v>-18004.916666666668</v>
      </c>
      <c r="D14" s="65">
        <f>'2. Revenue Requirement'!$F$27/12</f>
        <v>185.43232910980657</v>
      </c>
      <c r="E14" s="65">
        <f t="shared" si="1"/>
        <v>-139470.9111736654</v>
      </c>
      <c r="F14" t="s">
        <v>58</v>
      </c>
    </row>
    <row r="15" spans="1:6" ht="15">
      <c r="A15" s="58">
        <v>39114</v>
      </c>
      <c r="B15" s="65">
        <f t="shared" si="2"/>
        <v>-139470.9111736654</v>
      </c>
      <c r="C15" s="65">
        <f aca="true" t="shared" si="3" ref="C15:C25">-216059/12</f>
        <v>-18004.916666666668</v>
      </c>
      <c r="D15" s="65">
        <f>'2. Revenue Requirement'!$F$27/12</f>
        <v>185.43232910980657</v>
      </c>
      <c r="E15" s="65">
        <f t="shared" si="1"/>
        <v>-157290.39551122225</v>
      </c>
      <c r="F15" t="s">
        <v>58</v>
      </c>
    </row>
    <row r="16" spans="1:6" ht="15">
      <c r="A16" s="58">
        <v>39142</v>
      </c>
      <c r="B16" s="65">
        <f t="shared" si="2"/>
        <v>-157290.39551122225</v>
      </c>
      <c r="C16" s="65">
        <f t="shared" si="3"/>
        <v>-18004.916666666668</v>
      </c>
      <c r="D16" s="65">
        <f>'2. Revenue Requirement'!$F$27/12</f>
        <v>185.43232910980657</v>
      </c>
      <c r="E16" s="65">
        <f t="shared" si="1"/>
        <v>-175109.8798487791</v>
      </c>
      <c r="F16" t="s">
        <v>58</v>
      </c>
    </row>
    <row r="17" spans="1:6" ht="15">
      <c r="A17" s="58">
        <v>39173</v>
      </c>
      <c r="B17" s="65">
        <f t="shared" si="2"/>
        <v>-175109.8798487791</v>
      </c>
      <c r="C17" s="65">
        <f t="shared" si="3"/>
        <v>-18004.916666666668</v>
      </c>
      <c r="D17" s="65">
        <f>'2. Revenue Requirement'!$F$27/12</f>
        <v>185.43232910980657</v>
      </c>
      <c r="E17" s="65">
        <f t="shared" si="1"/>
        <v>-192929.36418633594</v>
      </c>
      <c r="F17" t="s">
        <v>58</v>
      </c>
    </row>
    <row r="18" spans="1:6" ht="15">
      <c r="A18" s="58">
        <v>39203</v>
      </c>
      <c r="B18" s="65">
        <f t="shared" si="2"/>
        <v>-192929.36418633594</v>
      </c>
      <c r="C18" s="65">
        <f t="shared" si="3"/>
        <v>-18004.916666666668</v>
      </c>
      <c r="D18" s="65">
        <f>'2. Revenue Requirement'!$F$27/12</f>
        <v>185.43232910980657</v>
      </c>
      <c r="E18" s="65">
        <f t="shared" si="1"/>
        <v>-210748.84852389278</v>
      </c>
      <c r="F18" t="s">
        <v>58</v>
      </c>
    </row>
    <row r="19" spans="1:6" ht="15">
      <c r="A19" s="58">
        <v>39234</v>
      </c>
      <c r="B19" s="65">
        <f t="shared" si="2"/>
        <v>-210748.84852389278</v>
      </c>
      <c r="C19" s="65">
        <f t="shared" si="3"/>
        <v>-18004.916666666668</v>
      </c>
      <c r="D19" s="65">
        <f>'2. Revenue Requirement'!$F$27/12</f>
        <v>185.43232910980657</v>
      </c>
      <c r="E19" s="65">
        <f t="shared" si="1"/>
        <v>-228568.33286144963</v>
      </c>
      <c r="F19" t="s">
        <v>58</v>
      </c>
    </row>
    <row r="20" spans="1:6" ht="15">
      <c r="A20" s="58">
        <v>39264</v>
      </c>
      <c r="B20" s="65">
        <f t="shared" si="2"/>
        <v>-228568.33286144963</v>
      </c>
      <c r="C20" s="65">
        <f t="shared" si="3"/>
        <v>-18004.916666666668</v>
      </c>
      <c r="D20" s="65">
        <f>'2. Revenue Requirement'!$F$27/12</f>
        <v>185.43232910980657</v>
      </c>
      <c r="E20" s="65">
        <f t="shared" si="1"/>
        <v>-246387.81719900647</v>
      </c>
      <c r="F20" t="s">
        <v>58</v>
      </c>
    </row>
    <row r="21" spans="1:6" ht="15">
      <c r="A21" s="58">
        <v>39295</v>
      </c>
      <c r="B21" s="65">
        <f t="shared" si="2"/>
        <v>-246387.81719900647</v>
      </c>
      <c r="C21" s="65">
        <f t="shared" si="3"/>
        <v>-18004.916666666668</v>
      </c>
      <c r="D21" s="65">
        <f>'2. Revenue Requirement'!$F$27/12</f>
        <v>185.43232910980657</v>
      </c>
      <c r="E21" s="65">
        <f t="shared" si="1"/>
        <v>-264207.3015365633</v>
      </c>
      <c r="F21" t="s">
        <v>58</v>
      </c>
    </row>
    <row r="22" spans="1:6" ht="15">
      <c r="A22" s="58">
        <v>39326</v>
      </c>
      <c r="B22" s="65">
        <f t="shared" si="2"/>
        <v>-264207.3015365633</v>
      </c>
      <c r="C22" s="65">
        <f t="shared" si="3"/>
        <v>-18004.916666666668</v>
      </c>
      <c r="D22" s="65">
        <f>'2. Revenue Requirement'!$F$27/12</f>
        <v>185.43232910980657</v>
      </c>
      <c r="E22" s="65">
        <f t="shared" si="1"/>
        <v>-282026.7858741202</v>
      </c>
      <c r="F22" t="s">
        <v>58</v>
      </c>
    </row>
    <row r="23" spans="1:6" ht="15">
      <c r="A23" s="58">
        <v>39356</v>
      </c>
      <c r="B23" s="65">
        <f t="shared" si="2"/>
        <v>-282026.7858741202</v>
      </c>
      <c r="C23" s="65">
        <f t="shared" si="3"/>
        <v>-18004.916666666668</v>
      </c>
      <c r="D23" s="65">
        <f>'2. Revenue Requirement'!$F$27/12</f>
        <v>185.43232910980657</v>
      </c>
      <c r="E23" s="65">
        <f t="shared" si="1"/>
        <v>-299846.27021167707</v>
      </c>
      <c r="F23" t="s">
        <v>58</v>
      </c>
    </row>
    <row r="24" spans="1:6" ht="15">
      <c r="A24" s="58">
        <v>39387</v>
      </c>
      <c r="B24" s="65">
        <f t="shared" si="2"/>
        <v>-299846.27021167707</v>
      </c>
      <c r="C24" s="65">
        <f t="shared" si="3"/>
        <v>-18004.916666666668</v>
      </c>
      <c r="D24" s="65">
        <f>'2. Revenue Requirement'!$F$27/12</f>
        <v>185.43232910980657</v>
      </c>
      <c r="E24" s="65">
        <f t="shared" si="1"/>
        <v>-317665.75454923394</v>
      </c>
      <c r="F24" t="s">
        <v>58</v>
      </c>
    </row>
    <row r="25" spans="1:6" ht="15">
      <c r="A25" s="58">
        <v>39417</v>
      </c>
      <c r="B25" s="65">
        <f t="shared" si="2"/>
        <v>-317665.75454923394</v>
      </c>
      <c r="C25" s="65">
        <f t="shared" si="3"/>
        <v>-18004.916666666668</v>
      </c>
      <c r="D25" s="65">
        <f>'2. Revenue Requirement'!$F$27/12</f>
        <v>185.43232910980657</v>
      </c>
      <c r="E25" s="65">
        <f t="shared" si="1"/>
        <v>-335485.2388867908</v>
      </c>
      <c r="F25" t="s">
        <v>58</v>
      </c>
    </row>
    <row r="26" spans="1:5" ht="15">
      <c r="A26" s="58">
        <v>39448</v>
      </c>
      <c r="B26" s="65">
        <f t="shared" si="2"/>
        <v>-335485.2388867908</v>
      </c>
      <c r="C26" s="75">
        <f>-222003/12</f>
        <v>-18500.25</v>
      </c>
      <c r="D26" s="65">
        <f>'2. Revenue Requirement'!$H$27/12</f>
        <v>485.57164820012525</v>
      </c>
      <c r="E26" s="65">
        <f t="shared" si="1"/>
        <v>-353499.9172385907</v>
      </c>
    </row>
    <row r="27" spans="1:5" ht="15">
      <c r="A27" s="58">
        <v>39479</v>
      </c>
      <c r="B27" s="65">
        <f t="shared" si="2"/>
        <v>-353499.9172385907</v>
      </c>
      <c r="C27" s="75">
        <f aca="true" t="shared" si="4" ref="C27:C37">-222003/12</f>
        <v>-18500.25</v>
      </c>
      <c r="D27" s="65">
        <f>'2. Revenue Requirement'!$H$27/12</f>
        <v>485.57164820012525</v>
      </c>
      <c r="E27" s="65">
        <f t="shared" si="1"/>
        <v>-371514.5955903906</v>
      </c>
    </row>
    <row r="28" spans="1:5" ht="15">
      <c r="A28" s="58">
        <v>39508</v>
      </c>
      <c r="B28" s="65">
        <f t="shared" si="2"/>
        <v>-371514.5955903906</v>
      </c>
      <c r="C28" s="75">
        <f t="shared" si="4"/>
        <v>-18500.25</v>
      </c>
      <c r="D28" s="65">
        <f>'2. Revenue Requirement'!$H$27/12</f>
        <v>485.57164820012525</v>
      </c>
      <c r="E28" s="65">
        <f t="shared" si="1"/>
        <v>-389529.2739421905</v>
      </c>
    </row>
    <row r="29" spans="1:5" ht="15">
      <c r="A29" s="58">
        <v>39539</v>
      </c>
      <c r="B29" s="65">
        <f t="shared" si="2"/>
        <v>-389529.2739421905</v>
      </c>
      <c r="C29" s="75">
        <f t="shared" si="4"/>
        <v>-18500.25</v>
      </c>
      <c r="D29" s="65">
        <f>'2. Revenue Requirement'!$H$27/12</f>
        <v>485.57164820012525</v>
      </c>
      <c r="E29" s="65">
        <f t="shared" si="1"/>
        <v>-407543.9522939904</v>
      </c>
    </row>
    <row r="30" spans="1:5" ht="15">
      <c r="A30" s="58">
        <v>39569</v>
      </c>
      <c r="B30" s="65">
        <f t="shared" si="2"/>
        <v>-407543.9522939904</v>
      </c>
      <c r="C30" s="75">
        <f t="shared" si="4"/>
        <v>-18500.25</v>
      </c>
      <c r="D30" s="65">
        <f>'2. Revenue Requirement'!$H$27/12</f>
        <v>485.57164820012525</v>
      </c>
      <c r="E30" s="65">
        <f t="shared" si="1"/>
        <v>-425558.6306457903</v>
      </c>
    </row>
    <row r="31" spans="1:5" ht="15">
      <c r="A31" s="58">
        <v>39600</v>
      </c>
      <c r="B31" s="65">
        <f t="shared" si="2"/>
        <v>-425558.6306457903</v>
      </c>
      <c r="C31" s="75">
        <f t="shared" si="4"/>
        <v>-18500.25</v>
      </c>
      <c r="D31" s="65">
        <f>'2. Revenue Requirement'!$H$27/12</f>
        <v>485.57164820012525</v>
      </c>
      <c r="E31" s="65">
        <f t="shared" si="1"/>
        <v>-443573.3089975902</v>
      </c>
    </row>
    <row r="32" spans="1:5" ht="15">
      <c r="A32" s="58">
        <v>39630</v>
      </c>
      <c r="B32" s="65">
        <f t="shared" si="2"/>
        <v>-443573.3089975902</v>
      </c>
      <c r="C32" s="75">
        <f t="shared" si="4"/>
        <v>-18500.25</v>
      </c>
      <c r="D32" s="65">
        <f>'2. Revenue Requirement'!$H$27/12</f>
        <v>485.57164820012525</v>
      </c>
      <c r="E32" s="65">
        <f t="shared" si="1"/>
        <v>-461587.9873493901</v>
      </c>
    </row>
    <row r="33" spans="1:5" ht="15">
      <c r="A33" s="58">
        <v>39661</v>
      </c>
      <c r="B33" s="65">
        <f t="shared" si="2"/>
        <v>-461587.9873493901</v>
      </c>
      <c r="C33" s="75">
        <f t="shared" si="4"/>
        <v>-18500.25</v>
      </c>
      <c r="D33" s="65">
        <f>'2. Revenue Requirement'!$H$27/12</f>
        <v>485.57164820012525</v>
      </c>
      <c r="E33" s="65">
        <f t="shared" si="1"/>
        <v>-479602.66570119</v>
      </c>
    </row>
    <row r="34" spans="1:5" ht="15">
      <c r="A34" s="58">
        <v>39692</v>
      </c>
      <c r="B34" s="65">
        <f t="shared" si="2"/>
        <v>-479602.66570119</v>
      </c>
      <c r="C34" s="75">
        <f t="shared" si="4"/>
        <v>-18500.25</v>
      </c>
      <c r="D34" s="65">
        <f>'2. Revenue Requirement'!$H$27/12</f>
        <v>485.57164820012525</v>
      </c>
      <c r="E34" s="65">
        <f t="shared" si="1"/>
        <v>-497617.3440529899</v>
      </c>
    </row>
    <row r="35" spans="1:5" ht="15">
      <c r="A35" s="58">
        <v>39722</v>
      </c>
      <c r="B35" s="65">
        <f t="shared" si="2"/>
        <v>-497617.3440529899</v>
      </c>
      <c r="C35" s="75">
        <f t="shared" si="4"/>
        <v>-18500.25</v>
      </c>
      <c r="D35" s="65">
        <f>'2. Revenue Requirement'!$H$27/12</f>
        <v>485.57164820012525</v>
      </c>
      <c r="E35" s="65">
        <f t="shared" si="1"/>
        <v>-515632.0224047898</v>
      </c>
    </row>
    <row r="36" spans="1:5" ht="15">
      <c r="A36" s="58">
        <v>39753</v>
      </c>
      <c r="B36" s="65">
        <f t="shared" si="2"/>
        <v>-515632.0224047898</v>
      </c>
      <c r="C36" s="75">
        <f t="shared" si="4"/>
        <v>-18500.25</v>
      </c>
      <c r="D36" s="65">
        <f>'2. Revenue Requirement'!$H$27/12</f>
        <v>485.57164820012525</v>
      </c>
      <c r="E36" s="65">
        <f t="shared" si="1"/>
        <v>-533646.7007565896</v>
      </c>
    </row>
    <row r="37" spans="1:5" ht="15">
      <c r="A37" s="58">
        <v>39783</v>
      </c>
      <c r="B37" s="65">
        <f t="shared" si="2"/>
        <v>-533646.7007565896</v>
      </c>
      <c r="C37" s="75">
        <f t="shared" si="4"/>
        <v>-18500.25</v>
      </c>
      <c r="D37" s="65">
        <f>'2. Revenue Requirement'!$H$27/12</f>
        <v>485.57164820012525</v>
      </c>
      <c r="E37" s="65">
        <f t="shared" si="1"/>
        <v>-551661.3791083895</v>
      </c>
    </row>
    <row r="38" spans="1:5" ht="15">
      <c r="A38" s="58">
        <v>39814</v>
      </c>
      <c r="B38" s="65">
        <f t="shared" si="2"/>
        <v>-551661.3791083895</v>
      </c>
      <c r="C38" s="75">
        <f>-588589/12</f>
        <v>-49049.083333333336</v>
      </c>
      <c r="D38" s="65">
        <f>'2. Revenue Requirement'!$J$27/12</f>
        <v>14096.67499655685</v>
      </c>
      <c r="E38" s="65">
        <f t="shared" si="1"/>
        <v>-586613.787445166</v>
      </c>
    </row>
    <row r="39" spans="1:5" ht="15">
      <c r="A39" s="58">
        <v>39845</v>
      </c>
      <c r="B39" s="65">
        <f t="shared" si="2"/>
        <v>-586613.787445166</v>
      </c>
      <c r="C39" s="75">
        <f aca="true" t="shared" si="5" ref="C39:C49">-588589/12</f>
        <v>-49049.083333333336</v>
      </c>
      <c r="D39" s="65">
        <f>'2. Revenue Requirement'!$J$27/12</f>
        <v>14096.67499655685</v>
      </c>
      <c r="E39" s="65">
        <f t="shared" si="1"/>
        <v>-621566.1957819426</v>
      </c>
    </row>
    <row r="40" spans="1:5" ht="15">
      <c r="A40" s="58">
        <v>39873</v>
      </c>
      <c r="B40" s="65">
        <f t="shared" si="2"/>
        <v>-621566.1957819426</v>
      </c>
      <c r="C40" s="75">
        <f t="shared" si="5"/>
        <v>-49049.083333333336</v>
      </c>
      <c r="D40" s="65">
        <f>'2. Revenue Requirement'!$J$27/12</f>
        <v>14096.67499655685</v>
      </c>
      <c r="E40" s="65">
        <f t="shared" si="1"/>
        <v>-656518.6041187191</v>
      </c>
    </row>
    <row r="41" spans="1:5" ht="15">
      <c r="A41" s="58">
        <v>39904</v>
      </c>
      <c r="B41" s="65">
        <f t="shared" si="2"/>
        <v>-656518.6041187191</v>
      </c>
      <c r="C41" s="75">
        <f t="shared" si="5"/>
        <v>-49049.083333333336</v>
      </c>
      <c r="D41" s="65">
        <f>'2. Revenue Requirement'!$J$27/12</f>
        <v>14096.67499655685</v>
      </c>
      <c r="E41" s="65">
        <f t="shared" si="1"/>
        <v>-691471.0124554957</v>
      </c>
    </row>
    <row r="42" spans="1:5" ht="15">
      <c r="A42" s="58">
        <v>39934</v>
      </c>
      <c r="B42" s="65">
        <f t="shared" si="2"/>
        <v>-691471.0124554957</v>
      </c>
      <c r="C42" s="75">
        <f t="shared" si="5"/>
        <v>-49049.083333333336</v>
      </c>
      <c r="D42" s="65">
        <f>'2. Revenue Requirement'!$J$27/12</f>
        <v>14096.67499655685</v>
      </c>
      <c r="E42" s="65">
        <f t="shared" si="1"/>
        <v>-726423.4207922722</v>
      </c>
    </row>
    <row r="43" spans="1:5" ht="15">
      <c r="A43" s="58">
        <v>39965</v>
      </c>
      <c r="B43" s="65">
        <f t="shared" si="2"/>
        <v>-726423.4207922722</v>
      </c>
      <c r="C43" s="75">
        <f t="shared" si="5"/>
        <v>-49049.083333333336</v>
      </c>
      <c r="D43" s="65">
        <f>'2. Revenue Requirement'!$J$27/12</f>
        <v>14096.67499655685</v>
      </c>
      <c r="E43" s="65">
        <f t="shared" si="1"/>
        <v>-761375.8291290487</v>
      </c>
    </row>
    <row r="44" spans="1:5" ht="15">
      <c r="A44" s="58">
        <v>39995</v>
      </c>
      <c r="B44" s="65">
        <f t="shared" si="2"/>
        <v>-761375.8291290487</v>
      </c>
      <c r="C44" s="75">
        <f t="shared" si="5"/>
        <v>-49049.083333333336</v>
      </c>
      <c r="D44" s="65">
        <f>'2. Revenue Requirement'!$J$27/12</f>
        <v>14096.67499655685</v>
      </c>
      <c r="E44" s="65">
        <f t="shared" si="1"/>
        <v>-796328.2374658253</v>
      </c>
    </row>
    <row r="45" spans="1:5" ht="15">
      <c r="A45" s="58">
        <v>40026</v>
      </c>
      <c r="B45" s="65">
        <f t="shared" si="2"/>
        <v>-796328.2374658253</v>
      </c>
      <c r="C45" s="75">
        <f t="shared" si="5"/>
        <v>-49049.083333333336</v>
      </c>
      <c r="D45" s="65">
        <f>'2. Revenue Requirement'!$J$27/12</f>
        <v>14096.67499655685</v>
      </c>
      <c r="E45" s="65">
        <f t="shared" si="1"/>
        <v>-831280.6458026018</v>
      </c>
    </row>
    <row r="46" spans="1:5" ht="15">
      <c r="A46" s="58">
        <v>40057</v>
      </c>
      <c r="B46" s="65">
        <f t="shared" si="2"/>
        <v>-831280.6458026018</v>
      </c>
      <c r="C46" s="75">
        <f t="shared" si="5"/>
        <v>-49049.083333333336</v>
      </c>
      <c r="D46" s="65">
        <f>'2. Revenue Requirement'!$J$27/12</f>
        <v>14096.67499655685</v>
      </c>
      <c r="E46" s="65">
        <f t="shared" si="1"/>
        <v>-866233.0541393784</v>
      </c>
    </row>
    <row r="47" spans="1:5" ht="15">
      <c r="A47" s="58">
        <v>40087</v>
      </c>
      <c r="B47" s="65">
        <f t="shared" si="2"/>
        <v>-866233.0541393784</v>
      </c>
      <c r="C47" s="75">
        <f t="shared" si="5"/>
        <v>-49049.083333333336</v>
      </c>
      <c r="D47" s="65">
        <f>'2. Revenue Requirement'!$J$27/12</f>
        <v>14096.67499655685</v>
      </c>
      <c r="E47" s="65">
        <f t="shared" si="1"/>
        <v>-901185.4624761549</v>
      </c>
    </row>
    <row r="48" spans="1:5" ht="15">
      <c r="A48" s="58">
        <v>40118</v>
      </c>
      <c r="B48" s="65">
        <f t="shared" si="2"/>
        <v>-901185.4624761549</v>
      </c>
      <c r="C48" s="75">
        <f t="shared" si="5"/>
        <v>-49049.083333333336</v>
      </c>
      <c r="D48" s="65">
        <f>'2. Revenue Requirement'!$J$27/12</f>
        <v>14096.67499655685</v>
      </c>
      <c r="E48" s="65">
        <f t="shared" si="1"/>
        <v>-936137.8708129314</v>
      </c>
    </row>
    <row r="49" spans="1:5" ht="15">
      <c r="A49" s="58">
        <v>40148</v>
      </c>
      <c r="B49" s="65">
        <f t="shared" si="2"/>
        <v>-936137.8708129314</v>
      </c>
      <c r="C49" s="75">
        <f t="shared" si="5"/>
        <v>-49049.083333333336</v>
      </c>
      <c r="D49" s="65">
        <f>'2. Revenue Requirement'!$J$27/12</f>
        <v>14096.67499655685</v>
      </c>
      <c r="E49" s="65">
        <f t="shared" si="1"/>
        <v>-971090.279149708</v>
      </c>
    </row>
    <row r="50" spans="1:5" ht="15">
      <c r="A50" s="58">
        <v>40179</v>
      </c>
      <c r="B50" s="65">
        <f t="shared" si="2"/>
        <v>-971090.279149708</v>
      </c>
      <c r="C50" s="75">
        <f>-277843/4</f>
        <v>-69460.75</v>
      </c>
      <c r="D50" s="75">
        <f>'2. Revenue Requirement'!$L$27/12</f>
        <v>105983.69429059303</v>
      </c>
      <c r="E50" s="65">
        <f t="shared" si="1"/>
        <v>-934567.334859115</v>
      </c>
    </row>
    <row r="51" spans="1:5" ht="15">
      <c r="A51" s="58">
        <v>40210</v>
      </c>
      <c r="B51" s="65">
        <f t="shared" si="2"/>
        <v>-934567.334859115</v>
      </c>
      <c r="C51" s="75">
        <f>-277843/4</f>
        <v>-69460.75</v>
      </c>
      <c r="D51" s="75">
        <f>'2. Revenue Requirement'!$L$27/12</f>
        <v>105983.69429059303</v>
      </c>
      <c r="E51" s="65">
        <f t="shared" si="1"/>
        <v>-898044.3905685219</v>
      </c>
    </row>
    <row r="52" spans="1:5" ht="15">
      <c r="A52" s="58">
        <v>40238</v>
      </c>
      <c r="B52" s="65">
        <f t="shared" si="2"/>
        <v>-898044.3905685219</v>
      </c>
      <c r="C52" s="75">
        <f>-277843/4</f>
        <v>-69460.75</v>
      </c>
      <c r="D52" s="75">
        <f>'2. Revenue Requirement'!$L$27/12</f>
        <v>105983.69429059303</v>
      </c>
      <c r="E52" s="65">
        <f t="shared" si="1"/>
        <v>-861521.4462779289</v>
      </c>
    </row>
    <row r="53" spans="1:5" ht="15">
      <c r="A53" s="58">
        <v>40269</v>
      </c>
      <c r="B53" s="65">
        <f t="shared" si="2"/>
        <v>-861521.4462779289</v>
      </c>
      <c r="C53" s="75">
        <f>-277843/4</f>
        <v>-69460.75</v>
      </c>
      <c r="D53" s="75">
        <f>'2. Revenue Requirement'!$L$27/12</f>
        <v>105983.69429059303</v>
      </c>
      <c r="E53" s="65">
        <f t="shared" si="1"/>
        <v>-824998.5019873359</v>
      </c>
    </row>
    <row r="54" spans="1:5" ht="15">
      <c r="A54" s="58">
        <v>40299</v>
      </c>
      <c r="B54" s="65">
        <f t="shared" si="2"/>
        <v>-824998.5019873359</v>
      </c>
      <c r="C54" s="75">
        <f>-919738/8</f>
        <v>-114967.25</v>
      </c>
      <c r="D54" s="75">
        <f>'2. Revenue Requirement'!$L$27/12</f>
        <v>105983.69429059303</v>
      </c>
      <c r="E54" s="65">
        <f t="shared" si="1"/>
        <v>-833982.0576967428</v>
      </c>
    </row>
    <row r="55" spans="1:5" ht="15">
      <c r="A55" s="58">
        <v>40330</v>
      </c>
      <c r="B55" s="65">
        <f t="shared" si="2"/>
        <v>-833982.0576967428</v>
      </c>
      <c r="C55" s="75">
        <f aca="true" t="shared" si="6" ref="C55:C61">-919738/8</f>
        <v>-114967.25</v>
      </c>
      <c r="D55" s="75">
        <f>'2. Revenue Requirement'!$L$27/12</f>
        <v>105983.69429059303</v>
      </c>
      <c r="E55" s="65">
        <f t="shared" si="1"/>
        <v>-842965.6134061498</v>
      </c>
    </row>
    <row r="56" spans="1:5" ht="15">
      <c r="A56" s="58">
        <v>40360</v>
      </c>
      <c r="B56" s="65">
        <f t="shared" si="2"/>
        <v>-842965.6134061498</v>
      </c>
      <c r="C56" s="75">
        <f t="shared" si="6"/>
        <v>-114967.25</v>
      </c>
      <c r="D56" s="75">
        <f>'2. Revenue Requirement'!$L$27/12</f>
        <v>105983.69429059303</v>
      </c>
      <c r="E56" s="65">
        <f t="shared" si="1"/>
        <v>-851949.1691155568</v>
      </c>
    </row>
    <row r="57" spans="1:5" ht="15">
      <c r="A57" s="58">
        <v>40391</v>
      </c>
      <c r="B57" s="65">
        <f t="shared" si="2"/>
        <v>-851949.1691155568</v>
      </c>
      <c r="C57" s="75">
        <f t="shared" si="6"/>
        <v>-114967.25</v>
      </c>
      <c r="D57" s="75">
        <f>'2. Revenue Requirement'!$L$27/12</f>
        <v>105983.69429059303</v>
      </c>
      <c r="E57" s="65">
        <f t="shared" si="1"/>
        <v>-860932.7248249637</v>
      </c>
    </row>
    <row r="58" spans="1:5" ht="15">
      <c r="A58" s="58">
        <v>40422</v>
      </c>
      <c r="B58" s="65">
        <f t="shared" si="2"/>
        <v>-860932.7248249637</v>
      </c>
      <c r="C58" s="75">
        <f t="shared" si="6"/>
        <v>-114967.25</v>
      </c>
      <c r="D58" s="75">
        <f>'2. Revenue Requirement'!$L$27/12</f>
        <v>105983.69429059303</v>
      </c>
      <c r="E58" s="65">
        <f t="shared" si="1"/>
        <v>-869916.2805343707</v>
      </c>
    </row>
    <row r="59" spans="1:5" ht="15">
      <c r="A59" s="58">
        <v>40452</v>
      </c>
      <c r="B59" s="65">
        <f t="shared" si="2"/>
        <v>-869916.2805343707</v>
      </c>
      <c r="C59" s="75">
        <f t="shared" si="6"/>
        <v>-114967.25</v>
      </c>
      <c r="D59" s="75">
        <f>'2. Revenue Requirement'!$L$27/12</f>
        <v>105983.69429059303</v>
      </c>
      <c r="E59" s="65">
        <f t="shared" si="1"/>
        <v>-878899.8362437777</v>
      </c>
    </row>
    <row r="60" spans="1:5" ht="15">
      <c r="A60" s="58">
        <v>40483</v>
      </c>
      <c r="B60" s="65">
        <f t="shared" si="2"/>
        <v>-878899.8362437777</v>
      </c>
      <c r="C60" s="75">
        <f t="shared" si="6"/>
        <v>-114967.25</v>
      </c>
      <c r="D60" s="75">
        <f>'2. Revenue Requirement'!$L$27/12</f>
        <v>105983.69429059303</v>
      </c>
      <c r="E60" s="65">
        <f t="shared" si="1"/>
        <v>-887883.3919531846</v>
      </c>
    </row>
    <row r="61" spans="1:5" ht="15">
      <c r="A61" s="58">
        <v>40513</v>
      </c>
      <c r="B61" s="65">
        <f t="shared" si="2"/>
        <v>-887883.3919531846</v>
      </c>
      <c r="C61" s="75">
        <f t="shared" si="6"/>
        <v>-114967.25</v>
      </c>
      <c r="D61" s="75">
        <f>'2. Revenue Requirement'!$L$27/12</f>
        <v>105983.69429059303</v>
      </c>
      <c r="E61" s="65">
        <f t="shared" si="1"/>
        <v>-896866.9476625916</v>
      </c>
    </row>
    <row r="62" spans="1:5" ht="15">
      <c r="A62" s="58">
        <v>40544</v>
      </c>
      <c r="B62" s="65">
        <f t="shared" si="2"/>
        <v>-896866.9476625916</v>
      </c>
      <c r="C62" s="75">
        <f>-454578/4</f>
        <v>-113644.5</v>
      </c>
      <c r="D62" s="75">
        <f>+'2. Revenue Requirement'!$N$27/12</f>
        <v>166315.74023673285</v>
      </c>
      <c r="E62" s="65">
        <f>B62+C62+D62</f>
        <v>-844195.7074258587</v>
      </c>
    </row>
    <row r="63" spans="1:5" ht="15">
      <c r="A63" s="58">
        <v>40575</v>
      </c>
      <c r="B63" s="65">
        <f t="shared" si="2"/>
        <v>-844195.7074258587</v>
      </c>
      <c r="C63" s="75">
        <f>-454578/4</f>
        <v>-113644.5</v>
      </c>
      <c r="D63" s="75">
        <f>+'2. Revenue Requirement'!$N$27/12</f>
        <v>166315.74023673285</v>
      </c>
      <c r="E63" s="65">
        <f>B63+C63+D63</f>
        <v>-791524.4671891258</v>
      </c>
    </row>
    <row r="64" spans="1:5" ht="15">
      <c r="A64" s="58">
        <v>40603</v>
      </c>
      <c r="B64" s="65">
        <f t="shared" si="2"/>
        <v>-791524.4671891258</v>
      </c>
      <c r="C64" s="75">
        <f>-454578/4</f>
        <v>-113644.5</v>
      </c>
      <c r="D64" s="75">
        <f>+'2. Revenue Requirement'!$N$27/12</f>
        <v>166315.74023673285</v>
      </c>
      <c r="E64" s="65">
        <f t="shared" si="1"/>
        <v>-738853.226952393</v>
      </c>
    </row>
    <row r="65" spans="1:5" ht="15">
      <c r="A65" s="58">
        <v>40634</v>
      </c>
      <c r="B65" s="65">
        <f t="shared" si="2"/>
        <v>-738853.226952393</v>
      </c>
      <c r="C65" s="75">
        <f>-454578/4</f>
        <v>-113644.5</v>
      </c>
      <c r="D65" s="75">
        <f>+'2. Revenue Requirement'!$N$27/12</f>
        <v>166315.74023673285</v>
      </c>
      <c r="E65" s="65">
        <f t="shared" si="1"/>
        <v>-686181.9867156601</v>
      </c>
    </row>
    <row r="66" spans="1:5" ht="15">
      <c r="A66" s="58">
        <v>40664</v>
      </c>
      <c r="B66" s="65">
        <f t="shared" si="2"/>
        <v>-686181.9867156601</v>
      </c>
      <c r="C66" s="75">
        <v>0</v>
      </c>
      <c r="D66" s="75">
        <f>+'2. Revenue Requirement'!$N$27/12</f>
        <v>166315.74023673285</v>
      </c>
      <c r="E66" s="65">
        <f t="shared" si="1"/>
        <v>-519866.2464789272</v>
      </c>
    </row>
    <row r="67" spans="1:5" ht="15">
      <c r="A67" s="58">
        <v>40695</v>
      </c>
      <c r="B67" s="65">
        <f t="shared" si="2"/>
        <v>-519866.2464789272</v>
      </c>
      <c r="C67" s="75">
        <v>0</v>
      </c>
      <c r="D67" s="75">
        <f>+'2. Revenue Requirement'!$N$27/12</f>
        <v>166315.74023673285</v>
      </c>
      <c r="E67" s="65">
        <f t="shared" si="1"/>
        <v>-353550.50624219433</v>
      </c>
    </row>
    <row r="68" spans="1:5" ht="15">
      <c r="A68" s="58">
        <v>40725</v>
      </c>
      <c r="B68" s="65">
        <f t="shared" si="2"/>
        <v>-353550.50624219433</v>
      </c>
      <c r="C68" s="75">
        <v>0</v>
      </c>
      <c r="D68" s="75">
        <f>+'2. Revenue Requirement'!$N$27/12</f>
        <v>166315.74023673285</v>
      </c>
      <c r="E68" s="65">
        <f t="shared" si="1"/>
        <v>-187234.76600546148</v>
      </c>
    </row>
    <row r="69" spans="1:5" ht="15">
      <c r="A69" s="58">
        <v>40756</v>
      </c>
      <c r="B69" s="65">
        <f t="shared" si="2"/>
        <v>-187234.76600546148</v>
      </c>
      <c r="C69" s="75">
        <v>0</v>
      </c>
      <c r="D69" s="75">
        <f>+'2. Revenue Requirement'!$N$27/12</f>
        <v>166315.74023673285</v>
      </c>
      <c r="E69" s="65">
        <f t="shared" si="1"/>
        <v>-20919.025768728636</v>
      </c>
    </row>
    <row r="70" spans="1:5" ht="15">
      <c r="A70" s="58">
        <v>40787</v>
      </c>
      <c r="B70" s="65">
        <f t="shared" si="2"/>
        <v>-20919.025768728636</v>
      </c>
      <c r="C70" s="75">
        <v>0</v>
      </c>
      <c r="D70" s="75">
        <f>+'2. Revenue Requirement'!$N$27/12</f>
        <v>166315.74023673285</v>
      </c>
      <c r="E70" s="65">
        <f t="shared" si="1"/>
        <v>145396.7144680042</v>
      </c>
    </row>
    <row r="71" spans="1:5" ht="15">
      <c r="A71" s="58">
        <f>+A70+31</f>
        <v>40818</v>
      </c>
      <c r="B71" s="65">
        <f>E70</f>
        <v>145396.7144680042</v>
      </c>
      <c r="C71" s="75">
        <v>0</v>
      </c>
      <c r="D71" s="75">
        <f>+'2. Revenue Requirement'!$N$27/12</f>
        <v>166315.74023673285</v>
      </c>
      <c r="E71" s="65">
        <f>B71+C71+D71</f>
        <v>311712.45470473706</v>
      </c>
    </row>
    <row r="72" spans="1:5" ht="15.75" thickBot="1">
      <c r="A72" s="58" t="s">
        <v>84</v>
      </c>
      <c r="B72" s="65"/>
      <c r="C72" s="76">
        <f>SUM(C6:C71)</f>
        <v>-2801421</v>
      </c>
      <c r="D72" s="76">
        <f>SUM(D6:D71)</f>
        <v>3113133.4547047364</v>
      </c>
      <c r="E72" s="65"/>
    </row>
    <row r="73" spans="2:5" ht="15">
      <c r="B73" s="64"/>
      <c r="C73" s="64"/>
      <c r="D73" s="64"/>
      <c r="E73" s="64"/>
    </row>
    <row r="74" spans="1:6" ht="15">
      <c r="A74" s="61">
        <v>2006</v>
      </c>
      <c r="B74" s="64"/>
      <c r="C74" s="65">
        <f>SUM(C6:C13)</f>
        <v>-122611</v>
      </c>
      <c r="D74" s="65">
        <f>SUM(D6:D13)</f>
        <v>959.5731638914632</v>
      </c>
      <c r="E74" s="64"/>
      <c r="F74" s="61"/>
    </row>
    <row r="75" spans="1:6" ht="15">
      <c r="A75" s="61">
        <v>2007</v>
      </c>
      <c r="B75" s="64"/>
      <c r="C75" s="65">
        <f>SUM(C14:C25)</f>
        <v>-216058.99999999997</v>
      </c>
      <c r="D75" s="65">
        <f>SUM(D14:D25)</f>
        <v>2225.1879493176793</v>
      </c>
      <c r="E75" s="64"/>
      <c r="F75" s="61"/>
    </row>
    <row r="76" spans="1:5" ht="15">
      <c r="A76" s="61">
        <v>2008</v>
      </c>
      <c r="B76" s="64"/>
      <c r="C76" s="64">
        <f>SUM(C26:C37)</f>
        <v>-222003</v>
      </c>
      <c r="D76" s="64">
        <f>SUM(D26:D37)</f>
        <v>5826.859778401503</v>
      </c>
      <c r="E76" s="64"/>
    </row>
    <row r="77" spans="1:5" ht="15">
      <c r="A77" s="61">
        <v>2009</v>
      </c>
      <c r="B77" s="64"/>
      <c r="C77" s="64">
        <f>SUM(C38:C49)</f>
        <v>-588589</v>
      </c>
      <c r="D77" s="64">
        <f>SUM(D38:D49)</f>
        <v>169160.0999586822</v>
      </c>
      <c r="E77" s="64"/>
    </row>
    <row r="78" spans="1:5" ht="15">
      <c r="A78" s="61">
        <v>2010</v>
      </c>
      <c r="B78" s="64"/>
      <c r="C78" s="64">
        <f>SUM(C50:C61)</f>
        <v>-1197581</v>
      </c>
      <c r="D78" s="64">
        <f>SUM(D50:D61)</f>
        <v>1271804.3314871164</v>
      </c>
      <c r="E78" s="87"/>
    </row>
    <row r="79" spans="1:5" ht="15">
      <c r="A79" s="61">
        <v>2011</v>
      </c>
      <c r="B79" s="64"/>
      <c r="C79" s="64">
        <f>SUM(C62:C71)</f>
        <v>-454578</v>
      </c>
      <c r="D79" s="64">
        <f>SUM(D62:D71)</f>
        <v>1663157.4023673285</v>
      </c>
      <c r="E79" s="64"/>
    </row>
    <row r="80" spans="2:5" ht="15.75" thickBot="1">
      <c r="B80" s="64"/>
      <c r="C80" s="77">
        <f>SUM(C74:C79)</f>
        <v>-2801421</v>
      </c>
      <c r="D80" s="77">
        <f>SUM(D74:D79)</f>
        <v>3113133.4547047378</v>
      </c>
      <c r="E80" s="64"/>
    </row>
  </sheetData>
  <printOptions/>
  <pageMargins left="0.75" right="0.75" top="0.32" bottom="0.22" header="0.46" footer="0.12"/>
  <pageSetup fitToHeight="1" fitToWidth="1" horizontalDpi="600" verticalDpi="600" orientation="portrait" scale="64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tabSelected="1" workbookViewId="0" topLeftCell="A36">
      <selection activeCell="G74" sqref="G74"/>
    </sheetView>
  </sheetViews>
  <sheetFormatPr defaultColWidth="8.88671875" defaultRowHeight="15"/>
  <cols>
    <col min="1" max="1" width="10.5546875" style="0" customWidth="1"/>
    <col min="2" max="2" width="11.3359375" style="0" customWidth="1"/>
    <col min="3" max="3" width="6.5546875" style="0" customWidth="1"/>
    <col min="4" max="6" width="11.3359375" style="0" customWidth="1"/>
  </cols>
  <sheetData>
    <row r="1" ht="15">
      <c r="A1" t="s">
        <v>59</v>
      </c>
    </row>
    <row r="2" spans="1:8" ht="63">
      <c r="A2" s="74" t="s">
        <v>54</v>
      </c>
      <c r="B2" s="74" t="s">
        <v>60</v>
      </c>
      <c r="C2" s="74" t="s">
        <v>61</v>
      </c>
      <c r="D2" s="74" t="s">
        <v>62</v>
      </c>
      <c r="E2" s="74" t="s">
        <v>63</v>
      </c>
      <c r="F2" s="74" t="s">
        <v>64</v>
      </c>
      <c r="G2" s="57" t="s">
        <v>58</v>
      </c>
      <c r="H2" s="57"/>
    </row>
    <row r="3" spans="1:7" ht="15">
      <c r="A3" s="58">
        <v>38838</v>
      </c>
      <c r="B3" s="65">
        <f>+'5. Prinicpal'!B6</f>
        <v>0</v>
      </c>
      <c r="C3" s="59">
        <v>31</v>
      </c>
      <c r="D3" s="60">
        <v>0.0414</v>
      </c>
      <c r="E3" s="65">
        <f>B3*D3/365*C3</f>
        <v>0</v>
      </c>
      <c r="F3" s="65">
        <f>E3</f>
        <v>0</v>
      </c>
      <c r="G3" t="s">
        <v>58</v>
      </c>
    </row>
    <row r="4" spans="1:7" ht="15">
      <c r="A4" s="58">
        <v>38869</v>
      </c>
      <c r="B4" s="65">
        <f>+'5. Prinicpal'!B7</f>
        <v>-15206.428354513568</v>
      </c>
      <c r="C4" s="59">
        <v>30</v>
      </c>
      <c r="D4" s="60">
        <v>0.0414</v>
      </c>
      <c r="E4" s="65">
        <f>B4*D4/365*C4</f>
        <v>-51.743517852892744</v>
      </c>
      <c r="F4" s="65">
        <f>E4+F3</f>
        <v>-51.743517852892744</v>
      </c>
      <c r="G4" t="s">
        <v>58</v>
      </c>
    </row>
    <row r="5" spans="1:7" ht="15">
      <c r="A5" s="58">
        <v>38899</v>
      </c>
      <c r="B5" s="65">
        <f>+'5. Prinicpal'!B8</f>
        <v>-30412.856709027135</v>
      </c>
      <c r="C5" s="59">
        <v>31</v>
      </c>
      <c r="D5" s="60">
        <v>0.0459</v>
      </c>
      <c r="E5" s="65">
        <f aca="true" t="shared" si="0" ref="E5:E22">B5*D5/365*C5</f>
        <v>-118.56014742814989</v>
      </c>
      <c r="F5" s="65">
        <f aca="true" t="shared" si="1" ref="F5:F38">E5+F4</f>
        <v>-170.30366528104264</v>
      </c>
      <c r="G5" t="s">
        <v>58</v>
      </c>
    </row>
    <row r="6" spans="1:7" ht="15">
      <c r="A6" s="58">
        <v>38930</v>
      </c>
      <c r="B6" s="65">
        <f>+'5. Prinicpal'!B9</f>
        <v>-45619.28506354071</v>
      </c>
      <c r="C6" s="59">
        <v>31</v>
      </c>
      <c r="D6" s="60">
        <v>0.0459</v>
      </c>
      <c r="E6" s="65">
        <f t="shared" si="0"/>
        <v>-177.84022114222486</v>
      </c>
      <c r="F6" s="65">
        <f t="shared" si="1"/>
        <v>-348.14388642326753</v>
      </c>
      <c r="G6" t="s">
        <v>58</v>
      </c>
    </row>
    <row r="7" spans="1:7" ht="15">
      <c r="A7" s="58">
        <v>38961</v>
      </c>
      <c r="B7" s="65">
        <f>+'5. Prinicpal'!B10</f>
        <v>-60825.71341805428</v>
      </c>
      <c r="C7" s="59">
        <v>30</v>
      </c>
      <c r="D7" s="60">
        <v>0.0459</v>
      </c>
      <c r="E7" s="65">
        <f t="shared" si="0"/>
        <v>-229.4712530867418</v>
      </c>
      <c r="F7" s="65">
        <f t="shared" si="1"/>
        <v>-577.6151395100094</v>
      </c>
      <c r="G7" t="s">
        <v>58</v>
      </c>
    </row>
    <row r="8" spans="1:7" ht="15">
      <c r="A8" s="58">
        <v>38991</v>
      </c>
      <c r="B8" s="65">
        <f>+'5. Prinicpal'!B11</f>
        <v>-76032.14177256785</v>
      </c>
      <c r="C8" s="59">
        <v>31</v>
      </c>
      <c r="D8" s="60">
        <v>0.0459</v>
      </c>
      <c r="E8" s="65">
        <f t="shared" si="0"/>
        <v>-296.4003685703748</v>
      </c>
      <c r="F8" s="65">
        <f t="shared" si="1"/>
        <v>-874.0155080803842</v>
      </c>
      <c r="G8" t="s">
        <v>58</v>
      </c>
    </row>
    <row r="9" spans="1:7" ht="15">
      <c r="A9" s="58">
        <v>39022</v>
      </c>
      <c r="B9" s="65">
        <f>+'5. Prinicpal'!B12</f>
        <v>-91238.57012708142</v>
      </c>
      <c r="C9" s="59">
        <v>30</v>
      </c>
      <c r="D9" s="60">
        <v>0.0459</v>
      </c>
      <c r="E9" s="65">
        <f t="shared" si="0"/>
        <v>-344.20687963011267</v>
      </c>
      <c r="F9" s="65">
        <f t="shared" si="1"/>
        <v>-1218.2223877104968</v>
      </c>
      <c r="G9" t="s">
        <v>58</v>
      </c>
    </row>
    <row r="10" spans="1:7" ht="15">
      <c r="A10" s="58">
        <v>39052</v>
      </c>
      <c r="B10" s="65">
        <f>+'5. Prinicpal'!B13</f>
        <v>-106444.99848159499</v>
      </c>
      <c r="C10" s="59">
        <v>31</v>
      </c>
      <c r="D10" s="60">
        <v>0.0459</v>
      </c>
      <c r="E10" s="65">
        <f t="shared" si="0"/>
        <v>-414.96051599852467</v>
      </c>
      <c r="F10" s="65">
        <f t="shared" si="1"/>
        <v>-1633.1829037090215</v>
      </c>
      <c r="G10" t="s">
        <v>58</v>
      </c>
    </row>
    <row r="11" spans="1:7" ht="15">
      <c r="A11" s="58">
        <v>39083</v>
      </c>
      <c r="B11" s="65">
        <f>+'5. Prinicpal'!B14</f>
        <v>-121651.42683610856</v>
      </c>
      <c r="C11" s="59">
        <v>31</v>
      </c>
      <c r="D11" s="60">
        <v>0.0459</v>
      </c>
      <c r="E11" s="65">
        <f t="shared" si="0"/>
        <v>-474.2405897125997</v>
      </c>
      <c r="F11" s="65">
        <f t="shared" si="1"/>
        <v>-2107.423493421621</v>
      </c>
      <c r="G11" t="s">
        <v>58</v>
      </c>
    </row>
    <row r="12" spans="1:7" ht="15">
      <c r="A12" s="58">
        <v>39114</v>
      </c>
      <c r="B12" s="65">
        <f>+'5. Prinicpal'!B15</f>
        <v>-139470.9111736654</v>
      </c>
      <c r="C12" s="59">
        <v>28</v>
      </c>
      <c r="D12" s="60">
        <v>0.0459</v>
      </c>
      <c r="E12" s="65">
        <f t="shared" si="0"/>
        <v>-491.0904521654651</v>
      </c>
      <c r="F12" s="65">
        <f t="shared" si="1"/>
        <v>-2598.5139455870863</v>
      </c>
      <c r="G12" t="s">
        <v>58</v>
      </c>
    </row>
    <row r="13" spans="1:7" ht="15">
      <c r="A13" s="58">
        <v>39142</v>
      </c>
      <c r="B13" s="65">
        <f>+'5. Prinicpal'!B16</f>
        <v>-157290.39551122225</v>
      </c>
      <c r="C13" s="59">
        <v>31</v>
      </c>
      <c r="D13" s="60">
        <v>0.0459</v>
      </c>
      <c r="E13" s="65">
        <f t="shared" si="0"/>
        <v>-613.1739829395018</v>
      </c>
      <c r="F13" s="65">
        <f t="shared" si="1"/>
        <v>-3211.687928526588</v>
      </c>
      <c r="G13" t="s">
        <v>58</v>
      </c>
    </row>
    <row r="14" spans="1:7" ht="15">
      <c r="A14" s="58">
        <v>39173</v>
      </c>
      <c r="B14" s="65">
        <f>+'5. Prinicpal'!B17</f>
        <v>-175109.8798487791</v>
      </c>
      <c r="C14" s="59">
        <v>30</v>
      </c>
      <c r="D14" s="60">
        <v>0.0459</v>
      </c>
      <c r="E14" s="65">
        <f t="shared" si="0"/>
        <v>-660.6200124705995</v>
      </c>
      <c r="F14" s="65">
        <f t="shared" si="1"/>
        <v>-3872.307940997188</v>
      </c>
      <c r="G14" t="s">
        <v>58</v>
      </c>
    </row>
    <row r="15" spans="1:7" ht="15">
      <c r="A15" s="58">
        <v>39203</v>
      </c>
      <c r="B15" s="65">
        <f>+'5. Prinicpal'!B18</f>
        <v>-192929.36418633594</v>
      </c>
      <c r="C15" s="59">
        <v>31</v>
      </c>
      <c r="D15" s="60">
        <v>0.0459</v>
      </c>
      <c r="E15" s="65">
        <f t="shared" si="0"/>
        <v>-752.1073761664039</v>
      </c>
      <c r="F15" s="65">
        <f t="shared" si="1"/>
        <v>-4624.415317163592</v>
      </c>
      <c r="G15" t="s">
        <v>58</v>
      </c>
    </row>
    <row r="16" spans="1:7" ht="15">
      <c r="A16" s="58">
        <v>39234</v>
      </c>
      <c r="B16" s="65">
        <f>+'5. Prinicpal'!B19</f>
        <v>-210748.84852389278</v>
      </c>
      <c r="C16" s="59">
        <v>30</v>
      </c>
      <c r="D16" s="60">
        <v>0.0459</v>
      </c>
      <c r="E16" s="65">
        <f t="shared" si="0"/>
        <v>-795.0716833353434</v>
      </c>
      <c r="F16" s="65">
        <f t="shared" si="1"/>
        <v>-5419.487000498935</v>
      </c>
      <c r="G16" t="s">
        <v>58</v>
      </c>
    </row>
    <row r="17" spans="1:7" ht="15">
      <c r="A17" s="58">
        <v>39264</v>
      </c>
      <c r="B17" s="65">
        <f>+'5. Prinicpal'!B20</f>
        <v>-228568.33286144963</v>
      </c>
      <c r="C17" s="59">
        <v>31</v>
      </c>
      <c r="D17" s="60">
        <v>0.0459</v>
      </c>
      <c r="E17" s="65">
        <f t="shared" si="0"/>
        <v>-891.040769393306</v>
      </c>
      <c r="F17" s="65">
        <f t="shared" si="1"/>
        <v>-6310.527769892241</v>
      </c>
      <c r="G17" t="s">
        <v>58</v>
      </c>
    </row>
    <row r="18" spans="1:7" ht="15">
      <c r="A18" s="58">
        <v>39295</v>
      </c>
      <c r="B18" s="65">
        <f>+'5. Prinicpal'!B21</f>
        <v>-246387.81719900647</v>
      </c>
      <c r="C18" s="59">
        <v>31</v>
      </c>
      <c r="D18" s="60">
        <v>0.0459</v>
      </c>
      <c r="E18" s="65">
        <f t="shared" si="0"/>
        <v>-960.5074660067571</v>
      </c>
      <c r="F18" s="65">
        <f t="shared" si="1"/>
        <v>-7271.0352358989985</v>
      </c>
      <c r="G18" t="s">
        <v>58</v>
      </c>
    </row>
    <row r="19" spans="1:7" ht="15">
      <c r="A19" s="58">
        <v>39326</v>
      </c>
      <c r="B19" s="65">
        <f>+'5. Prinicpal'!B22</f>
        <v>-264207.3015365633</v>
      </c>
      <c r="C19" s="59">
        <v>30</v>
      </c>
      <c r="D19" s="60">
        <v>0.0459</v>
      </c>
      <c r="E19" s="65">
        <f t="shared" si="0"/>
        <v>-996.7491896324595</v>
      </c>
      <c r="F19" s="65">
        <f t="shared" si="1"/>
        <v>-8267.784425531458</v>
      </c>
      <c r="G19" t="s">
        <v>58</v>
      </c>
    </row>
    <row r="20" spans="1:7" ht="15">
      <c r="A20" s="58">
        <v>39356</v>
      </c>
      <c r="B20" s="65">
        <f>+'5. Prinicpal'!B23</f>
        <v>-282026.7858741202</v>
      </c>
      <c r="C20" s="59">
        <v>31</v>
      </c>
      <c r="D20" s="60">
        <v>0.0514</v>
      </c>
      <c r="E20" s="65">
        <f t="shared" si="0"/>
        <v>-1231.1821386625293</v>
      </c>
      <c r="F20" s="65">
        <f t="shared" si="1"/>
        <v>-9498.966564193986</v>
      </c>
      <c r="G20" t="s">
        <v>58</v>
      </c>
    </row>
    <row r="21" spans="1:7" ht="15">
      <c r="A21" s="58">
        <v>39387</v>
      </c>
      <c r="B21" s="65">
        <f>+'5. Prinicpal'!B24</f>
        <v>-299846.27021167707</v>
      </c>
      <c r="C21" s="59">
        <v>30</v>
      </c>
      <c r="D21" s="60">
        <v>0.0514</v>
      </c>
      <c r="E21" s="65">
        <f t="shared" si="0"/>
        <v>-1266.747804565496</v>
      </c>
      <c r="F21" s="65">
        <f t="shared" si="1"/>
        <v>-10765.714368759482</v>
      </c>
      <c r="G21" t="s">
        <v>58</v>
      </c>
    </row>
    <row r="22" spans="1:7" ht="15">
      <c r="A22" s="58">
        <v>39417</v>
      </c>
      <c r="B22" s="65">
        <f>+'5. Prinicpal'!B25</f>
        <v>-317665.75454923394</v>
      </c>
      <c r="C22" s="59">
        <v>31</v>
      </c>
      <c r="D22" s="60">
        <v>0.0514</v>
      </c>
      <c r="E22" s="65">
        <f t="shared" si="0"/>
        <v>-1386.7633241061628</v>
      </c>
      <c r="F22" s="65">
        <f t="shared" si="1"/>
        <v>-12152.477692865645</v>
      </c>
      <c r="G22" s="59" t="s">
        <v>58</v>
      </c>
    </row>
    <row r="23" spans="1:6" ht="15">
      <c r="A23" s="58">
        <v>39448</v>
      </c>
      <c r="B23" s="65">
        <f>+'5. Prinicpal'!B26</f>
        <v>-335485.2388867908</v>
      </c>
      <c r="C23" s="59">
        <v>31</v>
      </c>
      <c r="D23" s="60">
        <v>0.0514</v>
      </c>
      <c r="E23" s="65">
        <f>B23*D23/366*C23</f>
        <v>-1460.5524033940233</v>
      </c>
      <c r="F23" s="65">
        <f t="shared" si="1"/>
        <v>-13613.030096259668</v>
      </c>
    </row>
    <row r="24" spans="1:6" ht="15">
      <c r="A24" s="58">
        <v>39479</v>
      </c>
      <c r="B24" s="65">
        <f>+'5. Prinicpal'!B27</f>
        <v>-353499.9172385907</v>
      </c>
      <c r="C24" s="59">
        <v>29</v>
      </c>
      <c r="D24" s="60">
        <v>0.0514</v>
      </c>
      <c r="E24" s="65">
        <f aca="true" t="shared" si="2" ref="E24:E34">B24*D24/366*C24</f>
        <v>-1439.6911929941075</v>
      </c>
      <c r="F24" s="65">
        <f t="shared" si="1"/>
        <v>-15052.721289253775</v>
      </c>
    </row>
    <row r="25" spans="1:6" ht="15">
      <c r="A25" s="58">
        <v>39508</v>
      </c>
      <c r="B25" s="65">
        <f>+'5. Prinicpal'!B28</f>
        <v>-371514.5955903906</v>
      </c>
      <c r="C25" s="59">
        <v>31</v>
      </c>
      <c r="D25" s="60">
        <v>0.0514</v>
      </c>
      <c r="E25" s="65">
        <f t="shared" si="2"/>
        <v>-1617.408078179586</v>
      </c>
      <c r="F25" s="65">
        <f t="shared" si="1"/>
        <v>-16670.12936743336</v>
      </c>
    </row>
    <row r="26" spans="1:6" ht="15">
      <c r="A26" s="58">
        <v>39539</v>
      </c>
      <c r="B26" s="65">
        <f>+'5. Prinicpal'!B29</f>
        <v>-389529.2739421905</v>
      </c>
      <c r="C26" s="59">
        <v>30</v>
      </c>
      <c r="D26" s="60">
        <v>0.0408</v>
      </c>
      <c r="E26" s="65">
        <f t="shared" si="2"/>
        <v>-1302.6880636755225</v>
      </c>
      <c r="F26" s="65">
        <f t="shared" si="1"/>
        <v>-17972.817431108884</v>
      </c>
    </row>
    <row r="27" spans="1:6" ht="15">
      <c r="A27" s="58">
        <v>39569</v>
      </c>
      <c r="B27" s="65">
        <f>+'5. Prinicpal'!B30</f>
        <v>-407543.9522939904</v>
      </c>
      <c r="C27" s="59">
        <v>31</v>
      </c>
      <c r="D27" s="60">
        <v>0.0408</v>
      </c>
      <c r="E27" s="65">
        <f t="shared" si="2"/>
        <v>-1408.3650023536586</v>
      </c>
      <c r="F27" s="65">
        <f t="shared" si="1"/>
        <v>-19381.18243346254</v>
      </c>
    </row>
    <row r="28" spans="1:6" ht="15">
      <c r="A28" s="58">
        <v>39600</v>
      </c>
      <c r="B28" s="65">
        <f>+'5. Prinicpal'!B31</f>
        <v>-425558.6306457903</v>
      </c>
      <c r="C28" s="59">
        <v>30</v>
      </c>
      <c r="D28" s="60">
        <v>0.0408</v>
      </c>
      <c r="E28" s="65">
        <f t="shared" si="2"/>
        <v>-1423.1796828154302</v>
      </c>
      <c r="F28" s="65">
        <f t="shared" si="1"/>
        <v>-20804.36211627797</v>
      </c>
    </row>
    <row r="29" spans="1:6" ht="15">
      <c r="A29" s="58">
        <v>39630</v>
      </c>
      <c r="B29" s="65">
        <f>+'5. Prinicpal'!B32</f>
        <v>-443573.3089975902</v>
      </c>
      <c r="C29" s="59">
        <v>31</v>
      </c>
      <c r="D29" s="60">
        <v>0.0335</v>
      </c>
      <c r="E29" s="65">
        <f t="shared" si="2"/>
        <v>-1258.60896555737</v>
      </c>
      <c r="F29" s="65">
        <f t="shared" si="1"/>
        <v>-22062.97108183534</v>
      </c>
    </row>
    <row r="30" spans="1:6" ht="15">
      <c r="A30" s="58">
        <v>39661</v>
      </c>
      <c r="B30" s="65">
        <f>+'5. Prinicpal'!B33</f>
        <v>-461587.9873493901</v>
      </c>
      <c r="C30" s="59">
        <v>31</v>
      </c>
      <c r="D30" s="60">
        <v>0.0335</v>
      </c>
      <c r="E30" s="65">
        <f t="shared" si="2"/>
        <v>-1309.7243848697858</v>
      </c>
      <c r="F30" s="65">
        <f t="shared" si="1"/>
        <v>-23372.69546670513</v>
      </c>
    </row>
    <row r="31" spans="1:6" ht="15">
      <c r="A31" s="58">
        <v>39692</v>
      </c>
      <c r="B31" s="65">
        <f>+'5. Prinicpal'!B34</f>
        <v>-479602.66570119</v>
      </c>
      <c r="C31" s="59">
        <v>30</v>
      </c>
      <c r="D31" s="60">
        <v>0.0335</v>
      </c>
      <c r="E31" s="65">
        <f t="shared" si="2"/>
        <v>-1316.941745982776</v>
      </c>
      <c r="F31" s="65">
        <f t="shared" si="1"/>
        <v>-24689.637212687903</v>
      </c>
    </row>
    <row r="32" spans="1:6" ht="15">
      <c r="A32" s="58">
        <v>39722</v>
      </c>
      <c r="B32" s="65">
        <f>+'5. Prinicpal'!B35</f>
        <v>-497617.3440529899</v>
      </c>
      <c r="C32" s="59">
        <v>31</v>
      </c>
      <c r="D32" s="60">
        <v>0.0335</v>
      </c>
      <c r="E32" s="65">
        <f t="shared" si="2"/>
        <v>-1411.9552234946177</v>
      </c>
      <c r="F32" s="65">
        <f t="shared" si="1"/>
        <v>-26101.59243618252</v>
      </c>
    </row>
    <row r="33" spans="1:6" ht="15">
      <c r="A33" s="58">
        <v>39753</v>
      </c>
      <c r="B33" s="65">
        <f>+'5. Prinicpal'!B36</f>
        <v>-515632.0224047898</v>
      </c>
      <c r="C33" s="59">
        <v>30</v>
      </c>
      <c r="D33" s="60">
        <v>0.0335</v>
      </c>
      <c r="E33" s="65">
        <f t="shared" si="2"/>
        <v>-1415.87481561971</v>
      </c>
      <c r="F33" s="65">
        <f t="shared" si="1"/>
        <v>-27517.46725180223</v>
      </c>
    </row>
    <row r="34" spans="1:6" ht="15">
      <c r="A34" s="58">
        <v>39783</v>
      </c>
      <c r="B34" s="65">
        <f>+'5. Prinicpal'!B37</f>
        <v>-533646.7007565896</v>
      </c>
      <c r="C34" s="59">
        <v>31</v>
      </c>
      <c r="D34" s="60">
        <v>0.0335</v>
      </c>
      <c r="E34" s="65">
        <f t="shared" si="2"/>
        <v>-1514.1860621194492</v>
      </c>
      <c r="F34" s="65">
        <f t="shared" si="1"/>
        <v>-29031.65331392168</v>
      </c>
    </row>
    <row r="35" spans="1:6" ht="15">
      <c r="A35" s="58">
        <v>39814</v>
      </c>
      <c r="B35" s="65">
        <f>+'5. Prinicpal'!B38</f>
        <v>-551661.3791083895</v>
      </c>
      <c r="C35" s="59">
        <v>31</v>
      </c>
      <c r="D35" s="60">
        <v>0.0245</v>
      </c>
      <c r="E35" s="65">
        <f>B35*D35/365*C35</f>
        <v>-1147.909088857046</v>
      </c>
      <c r="F35" s="65">
        <f t="shared" si="1"/>
        <v>-30179.562402778727</v>
      </c>
    </row>
    <row r="36" spans="1:6" ht="15">
      <c r="A36" s="58">
        <v>39845</v>
      </c>
      <c r="B36" s="65">
        <f>+'5. Prinicpal'!B39</f>
        <v>-586613.787445166</v>
      </c>
      <c r="C36" s="59">
        <v>28</v>
      </c>
      <c r="D36" s="60">
        <v>0.0245</v>
      </c>
      <c r="E36" s="65">
        <f>B36*D36/365*C36</f>
        <v>-1102.5124881846134</v>
      </c>
      <c r="F36" s="65">
        <f t="shared" si="1"/>
        <v>-31282.07489096334</v>
      </c>
    </row>
    <row r="37" spans="1:6" ht="15">
      <c r="A37" s="58">
        <v>39873</v>
      </c>
      <c r="B37" s="65">
        <f>+'5. Prinicpal'!B40</f>
        <v>-621566.1957819426</v>
      </c>
      <c r="C37" s="59">
        <v>31</v>
      </c>
      <c r="D37" s="60">
        <v>0.0245</v>
      </c>
      <c r="E37" s="65">
        <f>B37*D37/365*C37</f>
        <v>-1293.3685635517409</v>
      </c>
      <c r="F37" s="65">
        <f t="shared" si="1"/>
        <v>-32575.44345451508</v>
      </c>
    </row>
    <row r="38" spans="1:6" ht="15">
      <c r="A38" s="58">
        <v>39904</v>
      </c>
      <c r="B38" s="65">
        <f>+'5. Prinicpal'!B41</f>
        <v>-656518.6041187191</v>
      </c>
      <c r="C38" s="59">
        <v>30</v>
      </c>
      <c r="D38" s="60">
        <v>0.01</v>
      </c>
      <c r="E38" s="65">
        <f>B38*D38/365*C38</f>
        <v>-539.604332152372</v>
      </c>
      <c r="F38" s="65">
        <f t="shared" si="1"/>
        <v>-33115.04778666745</v>
      </c>
    </row>
    <row r="39" spans="1:6" ht="15">
      <c r="A39" s="58">
        <v>39934</v>
      </c>
      <c r="B39" s="65">
        <f>+'5. Prinicpal'!B42</f>
        <v>-691471.0124554957</v>
      </c>
      <c r="C39" s="59">
        <v>31</v>
      </c>
      <c r="D39" s="60">
        <v>0.01</v>
      </c>
      <c r="E39" s="65">
        <f aca="true" t="shared" si="3" ref="E39:E68">B39*D39/365*C39</f>
        <v>-587.2767503046675</v>
      </c>
      <c r="F39" s="65">
        <f aca="true" t="shared" si="4" ref="F39:F68">E39+F38</f>
        <v>-33702.32453697212</v>
      </c>
    </row>
    <row r="40" spans="1:6" ht="15">
      <c r="A40" s="58">
        <v>39965</v>
      </c>
      <c r="B40" s="65">
        <f>+'5. Prinicpal'!B43</f>
        <v>-726423.4207922722</v>
      </c>
      <c r="C40" s="59">
        <v>30</v>
      </c>
      <c r="D40" s="60">
        <v>0.01</v>
      </c>
      <c r="E40" s="65">
        <f t="shared" si="3"/>
        <v>-597.060345856662</v>
      </c>
      <c r="F40" s="65">
        <f t="shared" si="4"/>
        <v>-34299.38488282878</v>
      </c>
    </row>
    <row r="41" spans="1:6" ht="15">
      <c r="A41" s="58">
        <v>39995</v>
      </c>
      <c r="B41" s="65">
        <f>+'5. Prinicpal'!B44</f>
        <v>-761375.8291290487</v>
      </c>
      <c r="C41" s="59">
        <v>31</v>
      </c>
      <c r="D41" s="60">
        <v>0.0055</v>
      </c>
      <c r="E41" s="65">
        <f t="shared" si="3"/>
        <v>-355.6563804561721</v>
      </c>
      <c r="F41" s="65">
        <f t="shared" si="4"/>
        <v>-34655.041263284955</v>
      </c>
    </row>
    <row r="42" spans="1:6" ht="15">
      <c r="A42" s="58">
        <v>40026</v>
      </c>
      <c r="B42" s="65">
        <f>+'5. Prinicpal'!B45</f>
        <v>-796328.2374658253</v>
      </c>
      <c r="C42" s="59">
        <v>31</v>
      </c>
      <c r="D42" s="60">
        <v>0.0055</v>
      </c>
      <c r="E42" s="65">
        <f t="shared" si="3"/>
        <v>-371.9834643504745</v>
      </c>
      <c r="F42" s="65">
        <f t="shared" si="4"/>
        <v>-35027.02472763543</v>
      </c>
    </row>
    <row r="43" spans="1:6" ht="15">
      <c r="A43" s="58">
        <v>40057</v>
      </c>
      <c r="B43" s="65">
        <f>+'5. Prinicpal'!B46</f>
        <v>-831280.6458026018</v>
      </c>
      <c r="C43" s="59">
        <v>30</v>
      </c>
      <c r="D43" s="60">
        <v>0.0055</v>
      </c>
      <c r="E43" s="65">
        <f t="shared" si="3"/>
        <v>-375.7844015272035</v>
      </c>
      <c r="F43" s="65">
        <f t="shared" si="4"/>
        <v>-35402.80912916263</v>
      </c>
    </row>
    <row r="44" spans="1:6" ht="15">
      <c r="A44" s="58">
        <v>40087</v>
      </c>
      <c r="B44" s="65">
        <f>+'5. Prinicpal'!B47</f>
        <v>-866233.0541393784</v>
      </c>
      <c r="C44" s="59">
        <v>31</v>
      </c>
      <c r="D44" s="60">
        <v>0.0055</v>
      </c>
      <c r="E44" s="65">
        <f t="shared" si="3"/>
        <v>-404.63763213907947</v>
      </c>
      <c r="F44" s="65">
        <f t="shared" si="4"/>
        <v>-35807.44676130171</v>
      </c>
    </row>
    <row r="45" spans="1:6" ht="15">
      <c r="A45" s="58">
        <v>40118</v>
      </c>
      <c r="B45" s="65">
        <f>+'5. Prinicpal'!B48</f>
        <v>-901185.4624761549</v>
      </c>
      <c r="C45" s="59">
        <v>30</v>
      </c>
      <c r="D45" s="60">
        <v>0.0055</v>
      </c>
      <c r="E45" s="65">
        <f t="shared" si="3"/>
        <v>-407.3852090645631</v>
      </c>
      <c r="F45" s="65">
        <f t="shared" si="4"/>
        <v>-36214.83197036627</v>
      </c>
    </row>
    <row r="46" spans="1:6" ht="15">
      <c r="A46" s="58">
        <v>40148</v>
      </c>
      <c r="B46" s="65">
        <f>+'5. Prinicpal'!B49</f>
        <v>-936137.8708129314</v>
      </c>
      <c r="C46" s="59">
        <v>31</v>
      </c>
      <c r="D46" s="60">
        <v>0.0055</v>
      </c>
      <c r="E46" s="65">
        <f t="shared" si="3"/>
        <v>-437.29179992768434</v>
      </c>
      <c r="F46" s="65">
        <f t="shared" si="4"/>
        <v>-36652.123770293954</v>
      </c>
    </row>
    <row r="47" spans="1:6" ht="15">
      <c r="A47" s="58">
        <v>40179</v>
      </c>
      <c r="B47" s="65">
        <f>+'5. Prinicpal'!B50</f>
        <v>-971090.279149708</v>
      </c>
      <c r="C47" s="59">
        <v>31</v>
      </c>
      <c r="D47" s="60">
        <v>0.0055</v>
      </c>
      <c r="E47" s="65">
        <f t="shared" si="3"/>
        <v>-453.61888382198686</v>
      </c>
      <c r="F47" s="65">
        <f t="shared" si="4"/>
        <v>-37105.742654115944</v>
      </c>
    </row>
    <row r="48" spans="1:6" ht="15">
      <c r="A48" s="58">
        <v>40210</v>
      </c>
      <c r="B48" s="65">
        <f>+'5. Prinicpal'!B51</f>
        <v>-934567.334859115</v>
      </c>
      <c r="C48" s="59">
        <v>28</v>
      </c>
      <c r="D48" s="60">
        <v>0.0055</v>
      </c>
      <c r="E48" s="65">
        <f t="shared" si="3"/>
        <v>-394.3106015569964</v>
      </c>
      <c r="F48" s="65">
        <f t="shared" si="4"/>
        <v>-37500.05325567294</v>
      </c>
    </row>
    <row r="49" spans="1:6" ht="15">
      <c r="A49" s="58">
        <v>40238</v>
      </c>
      <c r="B49" s="65">
        <f>+'5. Prinicpal'!B52</f>
        <v>-898044.3905685219</v>
      </c>
      <c r="C49" s="59">
        <v>31</v>
      </c>
      <c r="D49" s="60">
        <v>0.0055</v>
      </c>
      <c r="E49" s="65">
        <f t="shared" si="3"/>
        <v>-419.4974481970767</v>
      </c>
      <c r="F49" s="65">
        <f t="shared" si="4"/>
        <v>-37919.550703870016</v>
      </c>
    </row>
    <row r="50" spans="1:6" ht="15">
      <c r="A50" s="58">
        <v>40269</v>
      </c>
      <c r="B50" s="65">
        <f>+'5. Prinicpal'!B53</f>
        <v>-861521.4462779289</v>
      </c>
      <c r="C50" s="59">
        <v>30</v>
      </c>
      <c r="D50" s="60">
        <v>0.0055</v>
      </c>
      <c r="E50" s="65">
        <f t="shared" si="3"/>
        <v>-389.4549003722144</v>
      </c>
      <c r="F50" s="65">
        <f t="shared" si="4"/>
        <v>-38309.00560424223</v>
      </c>
    </row>
    <row r="51" spans="1:6" ht="15">
      <c r="A51" s="58">
        <v>40299</v>
      </c>
      <c r="B51" s="65">
        <f>+'5. Prinicpal'!B54</f>
        <v>-824998.5019873359</v>
      </c>
      <c r="C51" s="59">
        <v>31</v>
      </c>
      <c r="D51" s="60">
        <v>0.0055</v>
      </c>
      <c r="E51" s="65">
        <f t="shared" si="3"/>
        <v>-385.3760125721665</v>
      </c>
      <c r="F51" s="65">
        <f t="shared" si="4"/>
        <v>-38694.3816168144</v>
      </c>
    </row>
    <row r="52" spans="1:6" ht="15">
      <c r="A52" s="58">
        <v>40330</v>
      </c>
      <c r="B52" s="65">
        <f>+'5. Prinicpal'!B55</f>
        <v>-833982.0576967428</v>
      </c>
      <c r="C52" s="59">
        <v>30</v>
      </c>
      <c r="D52" s="60">
        <v>0.0055</v>
      </c>
      <c r="E52" s="65">
        <f t="shared" si="3"/>
        <v>-377.00558772592484</v>
      </c>
      <c r="F52" s="65">
        <f t="shared" si="4"/>
        <v>-39071.38720454032</v>
      </c>
    </row>
    <row r="53" spans="1:6" ht="15">
      <c r="A53" s="58">
        <v>40360</v>
      </c>
      <c r="B53" s="65">
        <f>+'5. Prinicpal'!B56</f>
        <v>-842965.6134061498</v>
      </c>
      <c r="C53" s="59">
        <v>31</v>
      </c>
      <c r="D53" s="60">
        <v>0.0089</v>
      </c>
      <c r="E53" s="65">
        <f t="shared" si="3"/>
        <v>-637.1896239417993</v>
      </c>
      <c r="F53" s="65">
        <f t="shared" si="4"/>
        <v>-39708.57682848212</v>
      </c>
    </row>
    <row r="54" spans="1:6" ht="15">
      <c r="A54" s="58">
        <v>40391</v>
      </c>
      <c r="B54" s="65">
        <f>+'5. Prinicpal'!B57</f>
        <v>-851949.1691155568</v>
      </c>
      <c r="C54" s="59">
        <v>31</v>
      </c>
      <c r="D54" s="60">
        <f>+D53</f>
        <v>0.0089</v>
      </c>
      <c r="E54" s="65">
        <f t="shared" si="3"/>
        <v>-643.9802075588551</v>
      </c>
      <c r="F54" s="65">
        <f t="shared" si="4"/>
        <v>-40352.55703604097</v>
      </c>
    </row>
    <row r="55" spans="1:6" ht="15">
      <c r="A55" s="58">
        <v>40422</v>
      </c>
      <c r="B55" s="65">
        <f>+'5. Prinicpal'!B58</f>
        <v>-860932.7248249637</v>
      </c>
      <c r="C55" s="59">
        <v>30</v>
      </c>
      <c r="D55" s="60">
        <f aca="true" t="shared" si="5" ref="D55:D68">+D54</f>
        <v>0.0089</v>
      </c>
      <c r="E55" s="65">
        <f t="shared" si="3"/>
        <v>-629.778185008946</v>
      </c>
      <c r="F55" s="65">
        <f t="shared" si="4"/>
        <v>-40982.335221049914</v>
      </c>
    </row>
    <row r="56" spans="1:6" ht="15">
      <c r="A56" s="58">
        <v>40452</v>
      </c>
      <c r="B56" s="65">
        <f>+'5. Prinicpal'!B59</f>
        <v>-869916.2805343707</v>
      </c>
      <c r="C56" s="59">
        <v>31</v>
      </c>
      <c r="D56" s="60">
        <v>0.012</v>
      </c>
      <c r="E56" s="65">
        <f t="shared" si="3"/>
        <v>-886.5996064624271</v>
      </c>
      <c r="F56" s="65">
        <f t="shared" si="4"/>
        <v>-41868.93482751234</v>
      </c>
    </row>
    <row r="57" spans="1:6" ht="15">
      <c r="A57" s="58">
        <v>40483</v>
      </c>
      <c r="B57" s="65">
        <f>+'5. Prinicpal'!B60</f>
        <v>-878899.8362437777</v>
      </c>
      <c r="C57" s="59">
        <v>30</v>
      </c>
      <c r="D57" s="60">
        <f t="shared" si="5"/>
        <v>0.012</v>
      </c>
      <c r="E57" s="65">
        <f t="shared" si="3"/>
        <v>-866.8601124596163</v>
      </c>
      <c r="F57" s="65">
        <f t="shared" si="4"/>
        <v>-42735.79493997196</v>
      </c>
    </row>
    <row r="58" spans="1:6" ht="15">
      <c r="A58" s="58">
        <v>40513</v>
      </c>
      <c r="B58" s="65">
        <f>+'5. Prinicpal'!B61</f>
        <v>-887883.3919531846</v>
      </c>
      <c r="C58" s="59">
        <v>31</v>
      </c>
      <c r="D58" s="60">
        <f t="shared" si="5"/>
        <v>0.012</v>
      </c>
      <c r="E58" s="65">
        <f t="shared" si="3"/>
        <v>-904.91129262078</v>
      </c>
      <c r="F58" s="65">
        <f t="shared" si="4"/>
        <v>-43640.70623259274</v>
      </c>
    </row>
    <row r="59" spans="1:6" ht="15">
      <c r="A59" s="58">
        <v>40544</v>
      </c>
      <c r="B59" s="65">
        <f>+'5. Prinicpal'!B62</f>
        <v>-896866.9476625916</v>
      </c>
      <c r="C59" s="59">
        <v>31</v>
      </c>
      <c r="D59" s="60">
        <v>0.0147</v>
      </c>
      <c r="E59" s="65">
        <f t="shared" si="3"/>
        <v>-1119.7322412324465</v>
      </c>
      <c r="F59" s="65">
        <f t="shared" si="4"/>
        <v>-44760.43847382518</v>
      </c>
    </row>
    <row r="60" spans="1:6" ht="15">
      <c r="A60" s="58">
        <v>40575</v>
      </c>
      <c r="B60" s="65">
        <f>+'5. Prinicpal'!B63</f>
        <v>-844195.7074258587</v>
      </c>
      <c r="C60" s="59">
        <v>28</v>
      </c>
      <c r="D60" s="60">
        <f t="shared" si="5"/>
        <v>0.0147</v>
      </c>
      <c r="E60" s="65">
        <f t="shared" si="3"/>
        <v>-951.9752141821464</v>
      </c>
      <c r="F60" s="65">
        <f t="shared" si="4"/>
        <v>-45712.41368800733</v>
      </c>
    </row>
    <row r="61" spans="1:6" ht="15">
      <c r="A61" s="58">
        <v>40603</v>
      </c>
      <c r="B61" s="65">
        <f>+'5. Prinicpal'!B64</f>
        <v>-791524.4671891258</v>
      </c>
      <c r="C61" s="59">
        <v>31</v>
      </c>
      <c r="D61" s="60">
        <f t="shared" si="5"/>
        <v>0.0147</v>
      </c>
      <c r="E61" s="65">
        <f t="shared" si="3"/>
        <v>-988.2128758851634</v>
      </c>
      <c r="F61" s="65">
        <f t="shared" si="4"/>
        <v>-46700.62656389249</v>
      </c>
    </row>
    <row r="62" spans="1:6" ht="15">
      <c r="A62" s="58">
        <v>40634</v>
      </c>
      <c r="B62" s="65">
        <f>+'5. Prinicpal'!B65</f>
        <v>-738853.226952393</v>
      </c>
      <c r="C62" s="59">
        <v>30</v>
      </c>
      <c r="D62" s="60">
        <f t="shared" si="5"/>
        <v>0.0147</v>
      </c>
      <c r="E62" s="65">
        <f t="shared" si="3"/>
        <v>-892.6966385917954</v>
      </c>
      <c r="F62" s="65">
        <f t="shared" si="4"/>
        <v>-47593.32320248429</v>
      </c>
    </row>
    <row r="63" spans="1:6" ht="15">
      <c r="A63" s="58">
        <v>40664</v>
      </c>
      <c r="B63" s="65">
        <f>+'5. Prinicpal'!B66</f>
        <v>-686181.9867156601</v>
      </c>
      <c r="C63" s="59">
        <v>31</v>
      </c>
      <c r="D63" s="60">
        <f t="shared" si="5"/>
        <v>0.0147</v>
      </c>
      <c r="E63" s="65">
        <f t="shared" si="3"/>
        <v>-856.6935105378802</v>
      </c>
      <c r="F63" s="65">
        <f t="shared" si="4"/>
        <v>-48450.01671302217</v>
      </c>
    </row>
    <row r="64" spans="1:6" ht="15">
      <c r="A64" s="58">
        <v>40695</v>
      </c>
      <c r="B64" s="65">
        <f>+'5. Prinicpal'!B67</f>
        <v>-519866.2464789272</v>
      </c>
      <c r="C64" s="59">
        <v>30</v>
      </c>
      <c r="D64" s="60">
        <f t="shared" si="5"/>
        <v>0.0147</v>
      </c>
      <c r="E64" s="65">
        <f t="shared" si="3"/>
        <v>-628.1123690334435</v>
      </c>
      <c r="F64" s="65">
        <f t="shared" si="4"/>
        <v>-49078.12908205561</v>
      </c>
    </row>
    <row r="65" spans="1:6" ht="15">
      <c r="A65" s="58">
        <v>40725</v>
      </c>
      <c r="B65" s="65">
        <f>+'5. Prinicpal'!B68</f>
        <v>-353550.50624219433</v>
      </c>
      <c r="C65" s="59">
        <v>31</v>
      </c>
      <c r="D65" s="60">
        <f t="shared" si="5"/>
        <v>0.0147</v>
      </c>
      <c r="E65" s="65">
        <f t="shared" si="3"/>
        <v>-441.40538546456975</v>
      </c>
      <c r="F65" s="65">
        <f t="shared" si="4"/>
        <v>-49519.53446752018</v>
      </c>
    </row>
    <row r="66" spans="1:6" ht="15">
      <c r="A66" s="58">
        <v>40756</v>
      </c>
      <c r="B66" s="65">
        <f>+'5. Prinicpal'!B69</f>
        <v>-187234.76600546148</v>
      </c>
      <c r="C66" s="59">
        <v>31</v>
      </c>
      <c r="D66" s="60">
        <f t="shared" si="5"/>
        <v>0.0147</v>
      </c>
      <c r="E66" s="65">
        <f t="shared" si="3"/>
        <v>-233.76132292791448</v>
      </c>
      <c r="F66" s="65">
        <f t="shared" si="4"/>
        <v>-49753.29579044809</v>
      </c>
    </row>
    <row r="67" spans="1:6" ht="15">
      <c r="A67" s="58">
        <v>40787</v>
      </c>
      <c r="B67" s="65">
        <f>+'5. Prinicpal'!B70</f>
        <v>-20919.025768728636</v>
      </c>
      <c r="C67" s="59">
        <v>30</v>
      </c>
      <c r="D67" s="60">
        <f t="shared" si="5"/>
        <v>0.0147</v>
      </c>
      <c r="E67" s="65">
        <f t="shared" si="3"/>
        <v>-25.274768120573505</v>
      </c>
      <c r="F67" s="65">
        <f t="shared" si="4"/>
        <v>-49778.57055856867</v>
      </c>
    </row>
    <row r="68" spans="1:6" ht="15">
      <c r="A68" s="58">
        <v>40817</v>
      </c>
      <c r="B68" s="65">
        <f>+'5. Prinicpal'!B71</f>
        <v>145396.7144680042</v>
      </c>
      <c r="C68" s="59">
        <v>31</v>
      </c>
      <c r="D68" s="60">
        <f t="shared" si="5"/>
        <v>0.0147</v>
      </c>
      <c r="E68" s="65">
        <f t="shared" si="3"/>
        <v>181.52680214539592</v>
      </c>
      <c r="F68" s="65">
        <f t="shared" si="4"/>
        <v>-49597.04375642327</v>
      </c>
    </row>
    <row r="69" spans="5:6" ht="15">
      <c r="E69" s="64"/>
      <c r="F69" s="64"/>
    </row>
    <row r="70" spans="5:6" ht="15">
      <c r="E70" s="64"/>
      <c r="F70" s="64"/>
    </row>
    <row r="71" spans="5:6" ht="15">
      <c r="E71" s="64"/>
      <c r="F71" s="64"/>
    </row>
    <row r="72" spans="5:6" ht="15">
      <c r="E72" s="64"/>
      <c r="F72" s="64"/>
    </row>
    <row r="73" spans="5:6" ht="15">
      <c r="E73" s="64"/>
      <c r="F73" s="64"/>
    </row>
    <row r="74" spans="5:6" ht="15">
      <c r="E74" s="64"/>
      <c r="F74" s="64"/>
    </row>
    <row r="75" spans="5:6" ht="15">
      <c r="E75" s="64"/>
      <c r="F75" s="64"/>
    </row>
    <row r="76" spans="5:6" ht="15">
      <c r="E76" s="64"/>
      <c r="F76" s="64"/>
    </row>
    <row r="77" spans="5:6" ht="15">
      <c r="E77" s="64"/>
      <c r="F77" s="64"/>
    </row>
    <row r="78" spans="5:6" ht="15">
      <c r="E78" s="64"/>
      <c r="F78" s="64"/>
    </row>
    <row r="79" spans="5:6" ht="15">
      <c r="E79" s="64"/>
      <c r="F79" s="64"/>
    </row>
    <row r="80" spans="5:6" ht="15">
      <c r="E80" s="64"/>
      <c r="F80" s="64"/>
    </row>
    <row r="81" spans="5:6" ht="15">
      <c r="E81" s="64"/>
      <c r="F81" s="64"/>
    </row>
    <row r="82" spans="5:6" ht="15">
      <c r="E82" s="64"/>
      <c r="F82" s="64"/>
    </row>
    <row r="83" spans="5:6" ht="15">
      <c r="E83" s="64"/>
      <c r="F83" s="64"/>
    </row>
    <row r="84" spans="5:6" ht="15">
      <c r="E84" s="64"/>
      <c r="F84" s="64"/>
    </row>
    <row r="85" spans="5:6" ht="15">
      <c r="E85" s="64"/>
      <c r="F85" s="64"/>
    </row>
    <row r="86" spans="5:6" ht="15">
      <c r="E86" s="64"/>
      <c r="F86" s="64"/>
    </row>
    <row r="87" spans="5:6" ht="15">
      <c r="E87" s="64"/>
      <c r="F87" s="64"/>
    </row>
    <row r="88" spans="5:6" ht="15">
      <c r="E88" s="64"/>
      <c r="F88" s="64"/>
    </row>
    <row r="89" spans="5:6" ht="15">
      <c r="E89" s="64"/>
      <c r="F89" s="64"/>
    </row>
    <row r="90" spans="5:6" ht="15">
      <c r="E90" s="64"/>
      <c r="F90" s="64"/>
    </row>
    <row r="91" spans="5:6" ht="15">
      <c r="E91" s="64"/>
      <c r="F91" s="64"/>
    </row>
    <row r="92" spans="5:6" ht="15">
      <c r="E92" s="64"/>
      <c r="F92" s="64"/>
    </row>
    <row r="93" spans="5:6" ht="15">
      <c r="E93" s="64"/>
      <c r="F93" s="64"/>
    </row>
    <row r="94" spans="5:6" ht="15">
      <c r="E94" s="64"/>
      <c r="F94" s="64"/>
    </row>
    <row r="95" spans="5:6" ht="15">
      <c r="E95" s="64"/>
      <c r="F95" s="64"/>
    </row>
    <row r="96" spans="5:6" ht="15">
      <c r="E96" s="64"/>
      <c r="F96" s="64"/>
    </row>
    <row r="97" spans="5:6" ht="15">
      <c r="E97" s="64"/>
      <c r="F97" s="64"/>
    </row>
    <row r="98" spans="5:6" ht="15">
      <c r="E98" s="64"/>
      <c r="F98" s="64"/>
    </row>
    <row r="99" spans="5:6" ht="15">
      <c r="E99" s="64"/>
      <c r="F99" s="64"/>
    </row>
    <row r="100" spans="5:6" ht="15">
      <c r="E100" s="64"/>
      <c r="F100" s="64"/>
    </row>
    <row r="101" spans="5:6" ht="15">
      <c r="E101" s="64"/>
      <c r="F101" s="64"/>
    </row>
    <row r="102" spans="5:6" ht="15">
      <c r="E102" s="64"/>
      <c r="F102" s="64"/>
    </row>
    <row r="103" spans="5:6" ht="15">
      <c r="E103" s="64"/>
      <c r="F103" s="64"/>
    </row>
    <row r="104" spans="5:6" ht="15">
      <c r="E104" s="64"/>
      <c r="F104" s="64"/>
    </row>
    <row r="105" spans="5:6" ht="15">
      <c r="E105" s="64"/>
      <c r="F105" s="64"/>
    </row>
    <row r="106" spans="5:6" ht="15">
      <c r="E106" s="64"/>
      <c r="F106" s="64"/>
    </row>
    <row r="107" spans="5:6" ht="15">
      <c r="E107" s="64"/>
      <c r="F107" s="64"/>
    </row>
    <row r="108" spans="5:6" ht="15">
      <c r="E108" s="64"/>
      <c r="F108" s="64"/>
    </row>
    <row r="109" spans="5:6" ht="15">
      <c r="E109" s="64"/>
      <c r="F109" s="64"/>
    </row>
    <row r="110" spans="5:6" ht="15">
      <c r="E110" s="64"/>
      <c r="F110" s="64"/>
    </row>
    <row r="111" spans="5:6" ht="15">
      <c r="E111" s="64"/>
      <c r="F111" s="64"/>
    </row>
    <row r="112" spans="5:6" ht="15">
      <c r="E112" s="64"/>
      <c r="F112" s="64"/>
    </row>
    <row r="113" spans="5:6" ht="15">
      <c r="E113" s="64"/>
      <c r="F113" s="64"/>
    </row>
  </sheetData>
  <printOptions/>
  <pageMargins left="0.75" right="0.75" top="0.58" bottom="0.33" header="0.5" footer="0.17"/>
  <pageSetup fitToHeight="1" fitToWidth="1" horizontalDpi="600" verticalDpi="600" orientation="portrait" scale="64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BenumMa</dc:creator>
  <cp:keywords/>
  <dc:description/>
  <cp:lastModifiedBy>vogtsu</cp:lastModifiedBy>
  <cp:lastPrinted>2011-06-22T20:10:00Z</cp:lastPrinted>
  <dcterms:created xsi:type="dcterms:W3CDTF">2009-03-31T14:51:00Z</dcterms:created>
  <dcterms:modified xsi:type="dcterms:W3CDTF">2011-11-24T19:24:43Z</dcterms:modified>
  <cp:category/>
  <cp:version/>
  <cp:contentType/>
  <cp:contentStatus/>
</cp:coreProperties>
</file>