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813" activeTab="5"/>
  </bookViews>
  <sheets>
    <sheet name="1. Recovery of Smart Meter Cost" sheetId="1" r:id="rId1"/>
    <sheet name="2. Revenue Requirement" sheetId="2" r:id="rId2"/>
    <sheet name="3. PILs" sheetId="3" r:id="rId3"/>
    <sheet name="4. Avg Nt Fix Ass &amp;UCC" sheetId="4" r:id="rId4"/>
    <sheet name="5. Recovery Principal" sheetId="5" r:id="rId5"/>
    <sheet name="6. Recovery Interest" sheetId="6" r:id="rId6"/>
    <sheet name="Table 1" sheetId="7" state="hidden" r:id="rId7"/>
    <sheet name="Table 2" sheetId="8" state="hidden" r:id="rId8"/>
  </sheets>
  <definedNames>
    <definedName name="_xlnm.Print_Area" localSheetId="6">'Table 1'!$A$1:$E$43</definedName>
  </definedNames>
  <calcPr fullCalcOnLoad="1"/>
</workbook>
</file>

<file path=xl/sharedStrings.xml><?xml version="1.0" encoding="utf-8"?>
<sst xmlns="http://schemas.openxmlformats.org/spreadsheetml/2006/main" count="221" uniqueCount="104">
  <si>
    <t>OM&amp;A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</si>
  <si>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</si>
  <si>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</si>
  <si>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</si>
  <si>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</si>
  <si>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</si>
  <si>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</si>
  <si>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</si>
  <si>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</si>
  <si>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</si>
  <si>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</si>
  <si>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</si>
  <si>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</si>
  <si>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</si>
  <si>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</si>
  <si>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</si>
  <si>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</si>
  <si>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</si>
  <si>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</si>
  <si>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</si>
  <si>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</si>
  <si>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</si>
  <si>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</si>
  <si>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</si>
  <si>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</si>
  <si>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</si>
  <si>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</si>
  <si>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</si>
  <si>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</si>
  <si>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</si>
  <si>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</si>
  <si>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</si>
  <si>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</si>
  <si>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</si>
  <si>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</si>
  <si>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</si>
  <si>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</si>
  <si>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</si>
  <si>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</si>
  <si>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</si>
  <si>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</si>
  <si>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Forecasted</t>
  </si>
  <si>
    <t>CCA Rate Class</t>
  </si>
  <si>
    <t xml:space="preserve">CCA Rate </t>
  </si>
  <si>
    <t>Net Fixed Assets</t>
  </si>
  <si>
    <t>Capital Investment</t>
  </si>
  <si>
    <t>UCC</t>
  </si>
  <si>
    <t>Amortization Year One</t>
  </si>
  <si>
    <t>Amortization Thereafter</t>
  </si>
  <si>
    <t>Incremental Revenue Requirement Calculation</t>
  </si>
  <si>
    <t>Tax Rate</t>
  </si>
  <si>
    <t xml:space="preserve">Table Staff 16-1: Account 1555 Smart Meter Capital and Offset Account – Principal </t>
  </si>
  <si>
    <t xml:space="preserve">Month </t>
  </si>
  <si>
    <t xml:space="preserve">Opening Balance </t>
  </si>
  <si>
    <t xml:space="preserve">SM Adder </t>
  </si>
  <si>
    <t xml:space="preserve">Costs excluding Stranded meters </t>
  </si>
  <si>
    <t xml:space="preserve">Closing Balance (excluding Stranded) </t>
  </si>
  <si>
    <t xml:space="preserve"> </t>
  </si>
  <si>
    <t xml:space="preserve">Table Staff 16-2: Account 1555 – Interest </t>
  </si>
  <si>
    <t>Opening Balance (excluding Stranded)</t>
  </si>
  <si>
    <t xml:space="preserve">Days </t>
  </si>
  <si>
    <t xml:space="preserve">Rate </t>
  </si>
  <si>
    <t xml:space="preserve">Interest </t>
  </si>
  <si>
    <t xml:space="preserve">To Date </t>
  </si>
  <si>
    <t>15 years</t>
  </si>
  <si>
    <t>3 years</t>
  </si>
  <si>
    <t>Revenue Requirement Total</t>
  </si>
  <si>
    <t>Smart Meter Rate Adder</t>
  </si>
  <si>
    <t>Carrying Cost</t>
  </si>
  <si>
    <t>Smart Meter True-up</t>
  </si>
  <si>
    <t>Smart Meters</t>
  </si>
  <si>
    <t>Fixed Assets</t>
  </si>
  <si>
    <t>Computer Software</t>
  </si>
  <si>
    <t>Accumulated Depreciation</t>
  </si>
  <si>
    <t>Rate Base</t>
  </si>
  <si>
    <t>Actual</t>
  </si>
  <si>
    <t>Net Fixed Assets - meters</t>
  </si>
  <si>
    <t>Net Fixed Assets - software</t>
  </si>
  <si>
    <t>Totals</t>
  </si>
  <si>
    <t>Amorization Expense</t>
  </si>
  <si>
    <t>Total CCA</t>
  </si>
  <si>
    <t>Notes</t>
  </si>
  <si>
    <t>Total</t>
  </si>
  <si>
    <t>Addition to Net Fixed Assets</t>
  </si>
  <si>
    <r>
      <t>Amortization</t>
    </r>
    <r>
      <rPr>
        <i/>
        <sz val="8"/>
        <rFont val="Arial"/>
        <family val="0"/>
      </rPr>
      <t xml:space="preserve"> </t>
    </r>
  </si>
  <si>
    <t>Working Capital Allowance</t>
  </si>
  <si>
    <t>Revenue Requirement 2010</t>
  </si>
  <si>
    <t>2010</t>
  </si>
  <si>
    <t>2011</t>
  </si>
  <si>
    <t>2011 Amortization Expense</t>
  </si>
  <si>
    <t>Revenue Requirement 2011</t>
  </si>
  <si>
    <t>Meters installed cost details:</t>
  </si>
  <si>
    <t>Residential</t>
  </si>
  <si>
    <t>2011 Adjusted</t>
  </si>
  <si>
    <r>
      <t xml:space="preserve">2011 Addition to Rate Base </t>
    </r>
    <r>
      <rPr>
        <i/>
        <sz val="12"/>
        <rFont val="Arial"/>
        <family val="2"/>
      </rPr>
      <t>(Smart Meters installed in 2010 and  up to April 30, 2011)</t>
    </r>
  </si>
  <si>
    <t>By year</t>
  </si>
  <si>
    <t>Interest on a Revenue Requirement less Smart Meter Adder Basis</t>
  </si>
  <si>
    <t>Principal on a Revenue Requirement less Smart Meter Adder Basis</t>
  </si>
  <si>
    <t xml:space="preserve">Closing Balance  </t>
  </si>
  <si>
    <t>Note: Principal balance excludes stranded meter costs</t>
  </si>
  <si>
    <t xml:space="preserve">PowerStream Inc. - South  GS&lt;50kW     </t>
  </si>
  <si>
    <t>Smart Meter Cost Recovery Model</t>
  </si>
  <si>
    <t>Recovery of Costs to November 30, 2011</t>
  </si>
  <si>
    <t>Rate Rider to Recover Smart Meter Costs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</si>
</sst>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[$-409]dddd\,\ mmmm\ dd\,\ yyyy"/>
    <numFmt numFmtId="186" formatCode="[$-409]mmmmm\-yy;@"/>
    <numFmt numFmtId="187" formatCode="[$-409]mmm\-yy;@"/>
    <numFmt numFmtId="188" formatCode="mmm\-yyyy"/>
    <numFmt numFmtId="189" formatCode="&quot;$&quot;#,##0.0_);\(&quot;$&quot;#,##0.0\)"/>
    <numFmt numFmtId="190" formatCode="_(* #,##0.0_);_(* \(#,##0.0\);_(* &quot;-&quot;??_);_(@_)"/>
    <numFmt numFmtId="191" formatCode="_(* #,##0_);_(* \(#,##0\);_(* &quot;-&quot;??_);_(@_)"/>
    <numFmt numFmtId="192" formatCode="mmm\ yyyy"/>
    <numFmt numFmtId="193" formatCode="_(* #,##0.000_);_(* \(#,##0.000\);_(* &quot;-&quot;??_);_(@_)"/>
    <numFmt numFmtId="194" formatCode="_(* #,##0.0000_);_(* \(#,##0.0000\);_(* &quot;-&quot;??_);_(@_)"/>
  </numFmts>
  <fonts count="30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i/>
      <sz val="10"/>
      <color indexed="23"/>
      <name val="Arial"/>
      <family val="2"/>
    </font>
    <font>
      <u val="single"/>
      <sz val="7.5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12"/>
      <name val="Arial"/>
      <family val="0"/>
    </font>
    <font>
      <i/>
      <sz val="12"/>
      <name val="Arial"/>
      <family val="2"/>
    </font>
    <font>
      <i/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0" fontId="0" fillId="0" borderId="0" xfId="44" applyAlignment="1">
      <alignment/>
    </xf>
    <xf numFmtId="173" fontId="0" fillId="0" borderId="0" xfId="44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9" fontId="0" fillId="0" borderId="0" xfId="0" applyNumberFormat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58" applyFill="1" applyProtection="1">
      <alignment/>
      <protection/>
    </xf>
    <xf numFmtId="0" fontId="23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8" fillId="0" borderId="0" xfId="58" applyFill="1">
      <alignment/>
      <protection/>
    </xf>
    <xf numFmtId="0" fontId="8" fillId="0" borderId="0" xfId="58" applyFont="1" applyFill="1" applyProtection="1">
      <alignment/>
      <protection/>
    </xf>
    <xf numFmtId="173" fontId="0" fillId="0" borderId="0" xfId="44" applyNumberFormat="1" applyFill="1" applyAlignment="1">
      <alignment/>
    </xf>
    <xf numFmtId="173" fontId="8" fillId="0" borderId="0" xfId="44" applyNumberFormat="1" applyFill="1" applyAlignment="1" applyProtection="1">
      <alignment/>
      <protection/>
    </xf>
    <xf numFmtId="173" fontId="8" fillId="0" borderId="0" xfId="44" applyNumberFormat="1" applyFill="1" applyAlignment="1" applyProtection="1">
      <alignment horizontal="center"/>
      <protection/>
    </xf>
    <xf numFmtId="173" fontId="8" fillId="0" borderId="11" xfId="44" applyNumberFormat="1" applyFill="1" applyBorder="1" applyAlignment="1" applyProtection="1">
      <alignment/>
      <protection/>
    </xf>
    <xf numFmtId="173" fontId="25" fillId="4" borderId="0" xfId="44" applyNumberFormat="1" applyFont="1" applyFill="1" applyBorder="1" applyAlignment="1" applyProtection="1">
      <alignment/>
      <protection/>
    </xf>
    <xf numFmtId="173" fontId="8" fillId="0" borderId="0" xfId="44" applyNumberFormat="1" applyFill="1" applyBorder="1" applyAlignment="1" applyProtection="1">
      <alignment/>
      <protection/>
    </xf>
    <xf numFmtId="173" fontId="8" fillId="0" borderId="10" xfId="44" applyNumberFormat="1" applyFill="1" applyBorder="1" applyAlignment="1" applyProtection="1">
      <alignment/>
      <protection/>
    </xf>
    <xf numFmtId="0" fontId="8" fillId="0" borderId="0" xfId="44" applyNumberFormat="1" applyFill="1" applyAlignment="1" applyProtection="1">
      <alignment horizontal="center"/>
      <protection/>
    </xf>
    <xf numFmtId="0" fontId="8" fillId="4" borderId="0" xfId="44" applyNumberFormat="1" applyFill="1" applyAlignment="1" applyProtection="1">
      <alignment horizontal="center"/>
      <protection/>
    </xf>
    <xf numFmtId="9" fontId="8" fillId="4" borderId="0" xfId="61" applyFill="1" applyAlignment="1" applyProtection="1">
      <alignment horizontal="center"/>
      <protection/>
    </xf>
    <xf numFmtId="173" fontId="8" fillId="24" borderId="0" xfId="44" applyNumberForma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0" fontId="8" fillId="0" borderId="0" xfId="57" applyFont="1" applyFill="1" applyProtection="1">
      <alignment/>
      <protection/>
    </xf>
    <xf numFmtId="10" fontId="0" fillId="4" borderId="0" xfId="61" applyNumberFormat="1" applyFont="1" applyFill="1" applyAlignment="1">
      <alignment horizontal="center"/>
    </xf>
    <xf numFmtId="10" fontId="0" fillId="4" borderId="0" xfId="61" applyNumberFormat="1" applyFill="1" applyAlignment="1">
      <alignment horizontal="center"/>
    </xf>
    <xf numFmtId="9" fontId="8" fillId="4" borderId="0" xfId="61" applyFont="1" applyFill="1" applyAlignment="1" applyProtection="1">
      <alignment horizontal="center"/>
      <protection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61" applyNumberFormat="1" applyAlignment="1">
      <alignment/>
    </xf>
    <xf numFmtId="0" fontId="0" fillId="0" borderId="0" xfId="0" applyNumberFormat="1" applyAlignment="1">
      <alignment/>
    </xf>
    <xf numFmtId="175" fontId="0" fillId="0" borderId="0" xfId="61" applyNumberFormat="1" applyAlignment="1">
      <alignment/>
    </xf>
    <xf numFmtId="175" fontId="0" fillId="0" borderId="0" xfId="61" applyNumberFormat="1" applyFont="1" applyAlignment="1">
      <alignment/>
    </xf>
    <xf numFmtId="173" fontId="0" fillId="0" borderId="10" xfId="44" applyNumberFormat="1" applyBorder="1" applyAlignment="1">
      <alignment/>
    </xf>
    <xf numFmtId="173" fontId="0" fillId="0" borderId="0" xfId="44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173" fontId="0" fillId="0" borderId="0" xfId="44" applyNumberFormat="1" applyAlignment="1">
      <alignment/>
    </xf>
    <xf numFmtId="173" fontId="8" fillId="0" borderId="0" xfId="44" applyNumberFormat="1" applyFont="1" applyFill="1" applyAlignment="1" applyProtection="1">
      <alignment horizontal="center"/>
      <protection/>
    </xf>
    <xf numFmtId="9" fontId="0" fillId="0" borderId="0" xfId="0" applyNumberFormat="1" applyFill="1" applyAlignment="1">
      <alignment horizontal="center"/>
    </xf>
    <xf numFmtId="9" fontId="0" fillId="0" borderId="0" xfId="61" applyFont="1" applyFill="1" applyBorder="1" applyAlignment="1">
      <alignment horizontal="center"/>
    </xf>
    <xf numFmtId="9" fontId="0" fillId="0" borderId="0" xfId="61" applyFill="1" applyAlignment="1">
      <alignment horizontal="center"/>
    </xf>
    <xf numFmtId="0" fontId="1" fillId="0" borderId="0" xfId="58" applyFont="1" applyFill="1" applyProtection="1">
      <alignment/>
      <protection/>
    </xf>
    <xf numFmtId="173" fontId="8" fillId="0" borderId="0" xfId="44" applyNumberFormat="1" applyFont="1" applyFill="1" applyAlignment="1">
      <alignment/>
    </xf>
    <xf numFmtId="0" fontId="0" fillId="0" borderId="0" xfId="0" applyAlignment="1" quotePrefix="1">
      <alignment/>
    </xf>
    <xf numFmtId="5" fontId="0" fillId="0" borderId="0" xfId="44" applyNumberFormat="1" applyAlignment="1">
      <alignment/>
    </xf>
    <xf numFmtId="5" fontId="0" fillId="0" borderId="11" xfId="44" applyNumberFormat="1" applyBorder="1" applyAlignment="1">
      <alignment/>
    </xf>
    <xf numFmtId="5" fontId="1" fillId="0" borderId="13" xfId="44" applyNumberFormat="1" applyFont="1" applyBorder="1" applyAlignment="1">
      <alignment/>
    </xf>
    <xf numFmtId="5" fontId="0" fillId="0" borderId="0" xfId="0" applyNumberFormat="1" applyAlignment="1">
      <alignment/>
    </xf>
    <xf numFmtId="0" fontId="27" fillId="0" borderId="0" xfId="0" applyFont="1" applyAlignment="1">
      <alignment/>
    </xf>
    <xf numFmtId="0" fontId="8" fillId="0" borderId="12" xfId="57" applyFont="1" applyFill="1" applyBorder="1" applyAlignment="1" applyProtection="1">
      <alignment horizontal="center"/>
      <protection/>
    </xf>
    <xf numFmtId="5" fontId="1" fillId="0" borderId="0" xfId="44" applyNumberFormat="1" applyFont="1" applyBorder="1" applyAlignment="1">
      <alignment/>
    </xf>
    <xf numFmtId="5" fontId="1" fillId="0" borderId="11" xfId="44" applyNumberFormat="1" applyFont="1" applyBorder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57" applyFont="1" applyFill="1">
      <alignment/>
      <protection/>
    </xf>
    <xf numFmtId="0" fontId="8" fillId="0" borderId="0" xfId="57" applyFont="1" applyFill="1" applyAlignment="1" applyProtection="1">
      <alignment horizontal="center"/>
      <protection/>
    </xf>
    <xf numFmtId="0" fontId="24" fillId="0" borderId="0" xfId="57" applyFont="1" applyFill="1" applyProtection="1">
      <alignment/>
      <protection/>
    </xf>
    <xf numFmtId="173" fontId="8" fillId="0" borderId="0" xfId="44" applyNumberFormat="1" applyFont="1" applyFill="1" applyAlignment="1" applyProtection="1">
      <alignment/>
      <protection/>
    </xf>
    <xf numFmtId="173" fontId="8" fillId="0" borderId="11" xfId="44" applyNumberFormat="1" applyFont="1" applyFill="1" applyBorder="1" applyAlignment="1" applyProtection="1">
      <alignment/>
      <protection/>
    </xf>
    <xf numFmtId="10" fontId="8" fillId="0" borderId="0" xfId="57" applyNumberFormat="1" applyFont="1" applyFill="1" applyAlignment="1" applyProtection="1">
      <alignment horizontal="center"/>
      <protection/>
    </xf>
    <xf numFmtId="173" fontId="8" fillId="0" borderId="12" xfId="44" applyNumberFormat="1" applyFont="1" applyFill="1" applyBorder="1" applyAlignment="1" applyProtection="1">
      <alignment/>
      <protection/>
    </xf>
    <xf numFmtId="170" fontId="8" fillId="4" borderId="0" xfId="44" applyFont="1" applyFill="1" applyAlignment="1" applyProtection="1">
      <alignment/>
      <protection/>
    </xf>
    <xf numFmtId="176" fontId="8" fillId="0" borderId="0" xfId="61" applyNumberFormat="1" applyFont="1" applyFill="1" applyAlignment="1" applyProtection="1">
      <alignment/>
      <protection/>
    </xf>
    <xf numFmtId="0" fontId="1" fillId="0" borderId="0" xfId="57" applyFont="1" applyFill="1" applyAlignment="1" applyProtection="1">
      <alignment horizontal="left"/>
      <protection/>
    </xf>
    <xf numFmtId="0" fontId="8" fillId="0" borderId="12" xfId="57" applyFont="1" applyFill="1" applyBorder="1" applyAlignment="1" applyProtection="1">
      <alignment horizontal="center" wrapText="1"/>
      <protection/>
    </xf>
    <xf numFmtId="173" fontId="24" fillId="0" borderId="11" xfId="44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57" applyFont="1" applyFill="1" applyProtection="1">
      <alignment/>
      <protection/>
    </xf>
    <xf numFmtId="0" fontId="26" fillId="0" borderId="0" xfId="0" applyFont="1" applyAlignment="1">
      <alignment/>
    </xf>
    <xf numFmtId="187" fontId="0" fillId="0" borderId="14" xfId="0" applyNumberFormat="1" applyBorder="1" applyAlignment="1">
      <alignment horizontal="right" wrapText="1"/>
    </xf>
    <xf numFmtId="17" fontId="0" fillId="0" borderId="14" xfId="0" applyNumberFormat="1" applyBorder="1" applyAlignment="1">
      <alignment/>
    </xf>
    <xf numFmtId="187" fontId="0" fillId="0" borderId="15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17" fontId="0" fillId="0" borderId="17" xfId="0" applyNumberFormat="1" applyBorder="1" applyAlignment="1">
      <alignment/>
    </xf>
    <xf numFmtId="5" fontId="0" fillId="0" borderId="15" xfId="44" applyNumberFormat="1" applyBorder="1" applyAlignment="1">
      <alignment horizontal="right" wrapText="1"/>
    </xf>
    <xf numFmtId="5" fontId="0" fillId="25" borderId="14" xfId="44" applyNumberFormat="1" applyFill="1" applyBorder="1" applyAlignment="1">
      <alignment/>
    </xf>
    <xf numFmtId="5" fontId="0" fillId="0" borderId="14" xfId="44" applyNumberFormat="1" applyBorder="1" applyAlignment="1">
      <alignment horizontal="right" wrapText="1"/>
    </xf>
    <xf numFmtId="5" fontId="0" fillId="0" borderId="14" xfId="44" applyNumberFormat="1" applyBorder="1" applyAlignment="1">
      <alignment/>
    </xf>
    <xf numFmtId="5" fontId="0" fillId="0" borderId="17" xfId="44" applyNumberFormat="1" applyBorder="1" applyAlignment="1">
      <alignment/>
    </xf>
    <xf numFmtId="5" fontId="0" fillId="0" borderId="17" xfId="44" applyNumberFormat="1" applyFill="1" applyBorder="1" applyAlignment="1">
      <alignment/>
    </xf>
    <xf numFmtId="5" fontId="0" fillId="0" borderId="0" xfId="42" applyNumberFormat="1" applyAlignment="1">
      <alignment/>
    </xf>
    <xf numFmtId="5" fontId="0" fillId="0" borderId="0" xfId="42" applyNumberFormat="1" applyFill="1" applyAlignment="1">
      <alignment/>
    </xf>
    <xf numFmtId="5" fontId="0" fillId="0" borderId="0" xfId="42" applyNumberFormat="1" applyAlignment="1">
      <alignment/>
    </xf>
    <xf numFmtId="5" fontId="0" fillId="0" borderId="0" xfId="44" applyNumberFormat="1" applyBorder="1" applyAlignment="1">
      <alignment/>
    </xf>
    <xf numFmtId="17" fontId="0" fillId="0" borderId="18" xfId="0" applyNumberFormat="1" applyBorder="1" applyAlignment="1">
      <alignment/>
    </xf>
    <xf numFmtId="5" fontId="0" fillId="0" borderId="18" xfId="44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84" fontId="0" fillId="4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Font="1" applyFill="1" applyAlignment="1">
      <alignment/>
    </xf>
    <xf numFmtId="0" fontId="1" fillId="0" borderId="14" xfId="0" applyFont="1" applyBorder="1" applyAlignment="1">
      <alignment horizontal="right" wrapText="1"/>
    </xf>
    <xf numFmtId="17" fontId="0" fillId="0" borderId="15" xfId="0" applyNumberFormat="1" applyBorder="1" applyAlignment="1" quotePrefix="1">
      <alignment horizontal="right"/>
    </xf>
    <xf numFmtId="5" fontId="0" fillId="0" borderId="15" xfId="42" applyNumberFormat="1" applyBorder="1" applyAlignment="1">
      <alignment/>
    </xf>
    <xf numFmtId="5" fontId="0" fillId="0" borderId="15" xfId="44" applyNumberFormat="1" applyBorder="1" applyAlignment="1">
      <alignment/>
    </xf>
    <xf numFmtId="17" fontId="1" fillId="0" borderId="16" xfId="0" applyNumberFormat="1" applyFont="1" applyBorder="1" applyAlignment="1">
      <alignment/>
    </xf>
    <xf numFmtId="0" fontId="0" fillId="0" borderId="18" xfId="0" applyNumberFormat="1" applyBorder="1" applyAlignment="1" quotePrefix="1">
      <alignment horizontal="right"/>
    </xf>
    <xf numFmtId="5" fontId="0" fillId="0" borderId="18" xfId="42" applyNumberFormat="1" applyBorder="1" applyAlignment="1">
      <alignment/>
    </xf>
    <xf numFmtId="17" fontId="1" fillId="0" borderId="17" xfId="0" applyNumberFormat="1" applyFont="1" applyFill="1" applyBorder="1" applyAlignment="1">
      <alignment/>
    </xf>
    <xf numFmtId="5" fontId="1" fillId="0" borderId="19" xfId="42" applyNumberFormat="1" applyFont="1" applyBorder="1" applyAlignment="1">
      <alignment/>
    </xf>
    <xf numFmtId="0" fontId="0" fillId="0" borderId="14" xfId="0" applyBorder="1" applyAlignment="1">
      <alignment horizontal="right" wrapText="1"/>
    </xf>
    <xf numFmtId="181" fontId="0" fillId="0" borderId="14" xfId="61" applyNumberFormat="1" applyFill="1" applyBorder="1" applyAlignment="1">
      <alignment/>
    </xf>
    <xf numFmtId="3" fontId="0" fillId="0" borderId="14" xfId="0" applyNumberFormat="1" applyBorder="1" applyAlignment="1">
      <alignment/>
    </xf>
    <xf numFmtId="173" fontId="0" fillId="0" borderId="14" xfId="44" applyNumberFormat="1" applyBorder="1" applyAlignment="1">
      <alignment/>
    </xf>
    <xf numFmtId="173" fontId="0" fillId="0" borderId="14" xfId="0" applyNumberFormat="1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173" fontId="0" fillId="0" borderId="14" xfId="44" applyNumberFormat="1" applyBorder="1" applyAlignment="1">
      <alignment/>
    </xf>
    <xf numFmtId="173" fontId="1" fillId="0" borderId="14" xfId="44" applyNumberFormat="1" applyFont="1" applyBorder="1" applyAlignment="1">
      <alignment/>
    </xf>
    <xf numFmtId="173" fontId="0" fillId="0" borderId="14" xfId="44" applyNumberFormat="1" applyBorder="1" applyAlignment="1">
      <alignment horizontal="right" wrapText="1"/>
    </xf>
    <xf numFmtId="173" fontId="0" fillId="0" borderId="14" xfId="44" applyNumberFormat="1" applyBorder="1" applyAlignment="1">
      <alignment horizontal="left" wrapText="1"/>
    </xf>
    <xf numFmtId="173" fontId="1" fillId="0" borderId="14" xfId="0" applyNumberFormat="1" applyFont="1" applyBorder="1" applyAlignment="1">
      <alignment/>
    </xf>
    <xf numFmtId="173" fontId="0" fillId="0" borderId="15" xfId="44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181" fontId="0" fillId="0" borderId="15" xfId="61" applyNumberFormat="1" applyFill="1" applyBorder="1" applyAlignment="1">
      <alignment/>
    </xf>
    <xf numFmtId="173" fontId="0" fillId="0" borderId="15" xfId="44" applyNumberFormat="1" applyBorder="1" applyAlignment="1">
      <alignment/>
    </xf>
    <xf numFmtId="173" fontId="0" fillId="0" borderId="15" xfId="44" applyNumberForma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24" fillId="0" borderId="20" xfId="57" applyFont="1" applyFill="1" applyBorder="1" applyAlignment="1" applyProtection="1">
      <alignment horizontal="center"/>
      <protection/>
    </xf>
    <xf numFmtId="0" fontId="24" fillId="0" borderId="21" xfId="57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3"/>
  <sheetViews>
    <sheetView workbookViewId="0" topLeftCell="A1">
      <selection activeCell="B6" sqref="B6"/>
    </sheetView>
  </sheetViews>
  <sheetFormatPr defaultColWidth="8.88671875" defaultRowHeight="15"/>
  <cols>
    <col min="1" max="1" width="3.77734375" style="0" customWidth="1"/>
    <col min="2" max="2" width="36.21484375" style="0" bestFit="1" customWidth="1"/>
    <col min="3" max="3" width="11.4453125" style="0" bestFit="1" customWidth="1"/>
  </cols>
  <sheetData>
    <row r="2" ht="18">
      <c r="B2" s="78" t="s">
        <v>100</v>
      </c>
    </row>
    <row r="3" spans="2:3" ht="15.75">
      <c r="B3" s="40" t="s">
        <v>101</v>
      </c>
      <c r="C3" s="102"/>
    </row>
    <row r="4" ht="15.75">
      <c r="B4" s="40" t="s">
        <v>102</v>
      </c>
    </row>
    <row r="6" spans="2:3" ht="15.75">
      <c r="B6" s="40" t="s">
        <v>103</v>
      </c>
      <c r="C6" s="2"/>
    </row>
    <row r="7" spans="2:3" ht="15">
      <c r="B7" t="s">
        <v>86</v>
      </c>
      <c r="C7" s="50">
        <f>'2. Revenue Requirement'!D27</f>
        <v>727156.6454410995</v>
      </c>
    </row>
    <row r="8" spans="2:3" ht="15">
      <c r="B8" t="s">
        <v>90</v>
      </c>
      <c r="C8" s="93">
        <f>+'5. Recovery Principal'!E44</f>
        <v>1075661.4659128506</v>
      </c>
    </row>
    <row r="9" spans="2:3" ht="15.75">
      <c r="B9" s="40" t="s">
        <v>66</v>
      </c>
      <c r="C9" s="56">
        <f>SUM(C7:C8)</f>
        <v>1802818.11135395</v>
      </c>
    </row>
    <row r="10" spans="2:3" ht="23.25" customHeight="1">
      <c r="B10" t="s">
        <v>67</v>
      </c>
      <c r="C10" s="50">
        <f>'5. Recovery Principal'!D45</f>
        <v>-487012.49999999994</v>
      </c>
    </row>
    <row r="11" spans="2:3" ht="15">
      <c r="B11" t="s">
        <v>68</v>
      </c>
      <c r="C11" s="50">
        <f>+'6. Recovery Interest'!F28</f>
        <v>10886.830011024786</v>
      </c>
    </row>
    <row r="12" spans="2:3" ht="15.75">
      <c r="B12" s="40" t="s">
        <v>69</v>
      </c>
      <c r="C12" s="57">
        <f>SUM(C9:C11)</f>
        <v>1326692.441364975</v>
      </c>
    </row>
    <row r="13" ht="15">
      <c r="C13" s="50"/>
    </row>
    <row r="14" ht="15">
      <c r="C14" s="50"/>
    </row>
    <row r="15" ht="15">
      <c r="C15" s="50"/>
    </row>
    <row r="16" ht="15">
      <c r="C16" s="50"/>
    </row>
    <row r="17" spans="2:3" ht="15.75">
      <c r="B17" s="40" t="s">
        <v>94</v>
      </c>
      <c r="C17" s="50"/>
    </row>
    <row r="18" spans="2:3" ht="15">
      <c r="B18" s="54" t="s">
        <v>71</v>
      </c>
      <c r="C18" s="50"/>
    </row>
    <row r="19" spans="2:3" ht="15">
      <c r="B19" t="s">
        <v>70</v>
      </c>
      <c r="C19" s="50">
        <f>+'4. Avg Nt Fix Ass &amp;UCC'!F11</f>
        <v>9075513</v>
      </c>
    </row>
    <row r="20" spans="2:3" ht="15">
      <c r="B20" t="s">
        <v>72</v>
      </c>
      <c r="C20" s="50">
        <f>+'4. Avg Nt Fix Ass &amp;UCC'!F28</f>
        <v>54083</v>
      </c>
    </row>
    <row r="21" ht="15">
      <c r="C21" s="51">
        <f>SUM(C19:C20)</f>
        <v>9129596</v>
      </c>
    </row>
    <row r="22" spans="2:3" ht="15">
      <c r="B22" t="s">
        <v>73</v>
      </c>
      <c r="C22" s="50"/>
    </row>
    <row r="23" spans="2:3" ht="15">
      <c r="B23" t="s">
        <v>70</v>
      </c>
      <c r="C23" s="50">
        <f>-'4. Avg Nt Fix Ass &amp;UCC'!F16</f>
        <v>-590175.3666666667</v>
      </c>
    </row>
    <row r="24" spans="2:3" ht="15">
      <c r="B24" t="s">
        <v>72</v>
      </c>
      <c r="C24" s="50">
        <f>-'4. Avg Nt Fix Ass &amp;UCC'!F33</f>
        <v>-25238.833333333336</v>
      </c>
    </row>
    <row r="25" ht="15">
      <c r="C25" s="51">
        <f>SUM(C23:C24)</f>
        <v>-615414.2000000001</v>
      </c>
    </row>
    <row r="26" ht="15">
      <c r="C26" s="50"/>
    </row>
    <row r="27" spans="2:3" ht="16.5" thickBot="1">
      <c r="B27" s="40" t="s">
        <v>83</v>
      </c>
      <c r="C27" s="52">
        <f>+C21+C25</f>
        <v>8514181.8</v>
      </c>
    </row>
    <row r="28" ht="15.75" thickTop="1">
      <c r="C28" s="50"/>
    </row>
    <row r="29" spans="2:3" ht="15">
      <c r="B29" s="54" t="s">
        <v>89</v>
      </c>
      <c r="C29" s="50"/>
    </row>
    <row r="30" spans="2:3" ht="15">
      <c r="B30" t="s">
        <v>70</v>
      </c>
      <c r="C30" s="50">
        <f>+'4. Avg Nt Fix Ass &amp;UCC'!F14+'4. Avg Nt Fix Ass &amp;UCC'!F15</f>
        <v>446346.23333333334</v>
      </c>
    </row>
    <row r="31" spans="2:3" ht="15">
      <c r="B31" t="s">
        <v>72</v>
      </c>
      <c r="C31" s="50">
        <f>+'4. Avg Nt Fix Ass &amp;UCC'!F31+'4. Avg Nt Fix Ass &amp;UCC'!F32</f>
        <v>17126.333333333332</v>
      </c>
    </row>
    <row r="32" ht="15">
      <c r="C32" s="51">
        <f>SUM(C30:C31)</f>
        <v>463472.56666666665</v>
      </c>
    </row>
    <row r="33" ht="15">
      <c r="C33" s="53"/>
    </row>
  </sheetData>
  <printOptions/>
  <pageMargins left="0.75" right="0.75" top="0.86" bottom="0.38" header="0.5" footer="0.17"/>
  <pageSetup fitToHeight="1" fitToWidth="1" horizontalDpi="600" verticalDpi="600" orientation="portrait" scale="96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workbookViewId="0" topLeftCell="A1">
      <selection activeCell="F23" sqref="F23"/>
    </sheetView>
  </sheetViews>
  <sheetFormatPr defaultColWidth="8.88671875" defaultRowHeight="15"/>
  <cols>
    <col min="1" max="1" width="2.6640625" style="0" customWidth="1"/>
    <col min="2" max="2" width="21.77734375" style="0" customWidth="1"/>
    <col min="3" max="3" width="10.99609375" style="0" bestFit="1" customWidth="1"/>
    <col min="4" max="4" width="12.10546875" style="0" customWidth="1"/>
    <col min="5" max="5" width="10.99609375" style="0" bestFit="1" customWidth="1"/>
    <col min="6" max="8" width="12.10546875" style="0" customWidth="1"/>
    <col min="9" max="9" width="5.5546875" style="0" bestFit="1" customWidth="1"/>
  </cols>
  <sheetData>
    <row r="1" ht="15.75">
      <c r="B1" s="40"/>
    </row>
    <row r="2" ht="15.75">
      <c r="B2" s="40" t="str">
        <f>'1. Recovery of Smart Meter Cost'!$B$2</f>
        <v>PowerStream Inc. - South  GS&lt;50kW     </v>
      </c>
    </row>
    <row r="3" ht="15.75">
      <c r="B3" s="40" t="str">
        <f>'1. Recovery of Smart Meter Cost'!$B$3</f>
        <v>Smart Meter Cost Recovery Model</v>
      </c>
    </row>
    <row r="4" ht="15.75">
      <c r="B4" s="40"/>
    </row>
    <row r="5" ht="15.75">
      <c r="B5" s="59" t="s">
        <v>49</v>
      </c>
    </row>
    <row r="6" ht="15.75" thickBot="1"/>
    <row r="7" spans="3:9" ht="16.5" thickBot="1">
      <c r="C7" s="133">
        <v>2010</v>
      </c>
      <c r="D7" s="134"/>
      <c r="E7" s="133">
        <v>2011</v>
      </c>
      <c r="F7" s="134"/>
      <c r="G7" s="133" t="s">
        <v>93</v>
      </c>
      <c r="H7" s="134"/>
      <c r="I7" s="40" t="s">
        <v>81</v>
      </c>
    </row>
    <row r="8" spans="2:9" ht="15">
      <c r="B8" t="s">
        <v>44</v>
      </c>
      <c r="C8" s="5"/>
      <c r="D8" s="2">
        <f>'4. Avg Nt Fix Ass &amp;UCC'!E20+'4. Avg Nt Fix Ass &amp;UCC'!E37</f>
        <v>2105803.6833333336</v>
      </c>
      <c r="E8" s="5"/>
      <c r="F8" s="2">
        <f>'4. Avg Nt Fix Ass &amp;UCC'!F20+'4. Avg Nt Fix Ass &amp;UCC'!F37</f>
        <v>6362894.583333333</v>
      </c>
      <c r="G8" s="5"/>
      <c r="H8" s="2">
        <f>+F8</f>
        <v>6362894.583333333</v>
      </c>
      <c r="I8" s="49"/>
    </row>
    <row r="9" spans="2:7" ht="15">
      <c r="B9" t="s">
        <v>0</v>
      </c>
      <c r="C9" s="26">
        <f>D23</f>
        <v>390607</v>
      </c>
      <c r="E9" s="26">
        <f>F23</f>
        <v>194562</v>
      </c>
      <c r="G9" s="26">
        <f>H23</f>
        <v>475</v>
      </c>
    </row>
    <row r="10" spans="2:8" ht="15">
      <c r="B10" t="s">
        <v>85</v>
      </c>
      <c r="C10" s="5">
        <v>0.15</v>
      </c>
      <c r="D10" s="7">
        <f>C9*C10</f>
        <v>58591.049999999996</v>
      </c>
      <c r="E10" s="5">
        <v>0.15</v>
      </c>
      <c r="F10" s="7">
        <f>E9*E10</f>
        <v>29184.3</v>
      </c>
      <c r="G10" s="5">
        <v>0.15</v>
      </c>
      <c r="H10" s="7">
        <f>G9*G10</f>
        <v>71.25</v>
      </c>
    </row>
    <row r="11" spans="2:8" ht="15">
      <c r="B11" t="s">
        <v>74</v>
      </c>
      <c r="D11" s="3">
        <f>SUM(D8:D10)</f>
        <v>2164394.7333333334</v>
      </c>
      <c r="F11" s="3">
        <f>SUM(F8:F10)</f>
        <v>6392078.883333333</v>
      </c>
      <c r="H11" s="3">
        <f>SUM(H8:H10)</f>
        <v>6362965.833333333</v>
      </c>
    </row>
    <row r="14" spans="2:8" ht="15">
      <c r="B14" t="s">
        <v>2</v>
      </c>
      <c r="C14" s="44">
        <v>0.04</v>
      </c>
      <c r="D14" s="3">
        <f>D11*C14</f>
        <v>86575.78933333333</v>
      </c>
      <c r="E14" s="44">
        <f>C14</f>
        <v>0.04</v>
      </c>
      <c r="F14" s="3">
        <f>F11*E14</f>
        <v>255683.15533333333</v>
      </c>
      <c r="G14" s="44">
        <f>E14</f>
        <v>0.04</v>
      </c>
      <c r="H14" s="3">
        <f>H11*G14</f>
        <v>254518.63333333333</v>
      </c>
    </row>
    <row r="15" spans="2:8" ht="15">
      <c r="B15" t="s">
        <v>3</v>
      </c>
      <c r="C15" s="45">
        <v>0.56</v>
      </c>
      <c r="D15" s="3">
        <f>D11*C15</f>
        <v>1212061.0506666668</v>
      </c>
      <c r="E15" s="45">
        <f>C15</f>
        <v>0.56</v>
      </c>
      <c r="F15" s="3">
        <f>F11*E15</f>
        <v>3579564.174666667</v>
      </c>
      <c r="G15" s="45">
        <f>E15</f>
        <v>0.56</v>
      </c>
      <c r="H15" s="3">
        <f>H11*G15</f>
        <v>3563260.8666666667</v>
      </c>
    </row>
    <row r="16" spans="2:8" ht="15">
      <c r="B16" t="s">
        <v>1</v>
      </c>
      <c r="C16" s="46">
        <v>0.4</v>
      </c>
      <c r="D16" s="3">
        <f>D11*C16</f>
        <v>865757.8933333334</v>
      </c>
      <c r="E16" s="46">
        <f>C16</f>
        <v>0.4</v>
      </c>
      <c r="F16" s="3">
        <f>F11*E16</f>
        <v>2556831.553333333</v>
      </c>
      <c r="G16" s="46">
        <f>E16</f>
        <v>0.4</v>
      </c>
      <c r="H16" s="3">
        <f>H11*G16</f>
        <v>2545186.3333333335</v>
      </c>
    </row>
    <row r="17" spans="4:8" ht="15">
      <c r="D17" s="1"/>
      <c r="F17" s="1"/>
      <c r="G17" s="1"/>
      <c r="H17" s="1"/>
    </row>
    <row r="18" spans="2:8" ht="15">
      <c r="B18" t="s">
        <v>4</v>
      </c>
      <c r="C18" s="28">
        <v>0.0207</v>
      </c>
      <c r="D18" s="3">
        <f>D14*C18</f>
        <v>1792.1188392</v>
      </c>
      <c r="E18" s="28">
        <v>0.0243</v>
      </c>
      <c r="F18" s="3">
        <f>F14*E18</f>
        <v>6213.100674599999</v>
      </c>
      <c r="G18" s="28">
        <v>0.0243</v>
      </c>
      <c r="H18" s="3">
        <f>H14*G18</f>
        <v>6184.80279</v>
      </c>
    </row>
    <row r="19" spans="2:8" ht="15">
      <c r="B19" t="s">
        <v>5</v>
      </c>
      <c r="C19" s="28">
        <v>0.0589</v>
      </c>
      <c r="D19" s="3">
        <f>D15*C19</f>
        <v>71390.39588426668</v>
      </c>
      <c r="E19" s="28">
        <v>0.0548</v>
      </c>
      <c r="F19" s="3">
        <f>F15*E19</f>
        <v>196160.11677173336</v>
      </c>
      <c r="G19" s="28">
        <v>0.0548</v>
      </c>
      <c r="H19" s="3">
        <f>H15*G19</f>
        <v>195266.69549333333</v>
      </c>
    </row>
    <row r="20" spans="2:8" ht="15">
      <c r="B20" t="s">
        <v>6</v>
      </c>
      <c r="C20" s="29">
        <v>0.0985</v>
      </c>
      <c r="D20" s="3">
        <f>D16*C20</f>
        <v>85277.15249333334</v>
      </c>
      <c r="E20" s="29">
        <v>0.0966</v>
      </c>
      <c r="F20" s="3">
        <f>F16*E20</f>
        <v>246989.928052</v>
      </c>
      <c r="G20" s="29">
        <v>0.0966</v>
      </c>
      <c r="H20" s="3">
        <f>H16*G20</f>
        <v>245864.99980000002</v>
      </c>
    </row>
    <row r="21" spans="4:8" ht="15">
      <c r="D21" s="6">
        <f>SUM(D18:D20)</f>
        <v>158459.66721680004</v>
      </c>
      <c r="F21" s="6">
        <f>SUM(F18:F20)</f>
        <v>449363.1454983334</v>
      </c>
      <c r="G21" s="97"/>
      <c r="H21" s="6">
        <f>SUM(H18:H20)</f>
        <v>447316.49808333337</v>
      </c>
    </row>
    <row r="23" spans="2:8" ht="15">
      <c r="B23" t="s">
        <v>0</v>
      </c>
      <c r="D23" s="99">
        <v>390607</v>
      </c>
      <c r="E23" s="100"/>
      <c r="F23" s="99">
        <v>194562</v>
      </c>
      <c r="G23" s="103"/>
      <c r="H23" s="101">
        <v>475</v>
      </c>
    </row>
    <row r="24" spans="2:8" ht="15">
      <c r="B24" t="s">
        <v>9</v>
      </c>
      <c r="D24" s="8">
        <f>SUM('4. Avg Nt Fix Ass &amp;UCC'!E14:E15)+SUM('4. Avg Nt Fix Ass &amp;UCC'!E31:E32)</f>
        <v>151941.63333333333</v>
      </c>
      <c r="F24" s="8">
        <f>SUM('4. Avg Nt Fix Ass &amp;UCC'!F14:F15)+SUM('4. Avg Nt Fix Ass &amp;UCC'!F31:F32)</f>
        <v>463472.56666666665</v>
      </c>
      <c r="G24" s="8"/>
      <c r="H24" s="8">
        <f>+F24</f>
        <v>463472.56666666665</v>
      </c>
    </row>
    <row r="25" spans="2:8" ht="15">
      <c r="B25" t="s">
        <v>7</v>
      </c>
      <c r="D25" s="2">
        <f>'3. PILs'!C35</f>
        <v>26148.3448909662</v>
      </c>
      <c r="F25" s="2">
        <f>'3. PILs'!D35</f>
        <v>66051.15973992803</v>
      </c>
      <c r="G25" s="2"/>
      <c r="H25" s="2">
        <f>+F25</f>
        <v>66051.15973992803</v>
      </c>
    </row>
    <row r="27" spans="2:8" ht="15.75" thickBot="1">
      <c r="B27" t="s">
        <v>8</v>
      </c>
      <c r="D27" s="4">
        <f>SUM(D21:D25)</f>
        <v>727156.6454410995</v>
      </c>
      <c r="F27" s="96">
        <f>SUM(F21:F25)</f>
        <v>1173448.871904928</v>
      </c>
      <c r="G27" s="98"/>
      <c r="H27" s="96">
        <f>SUM(H21:H25)</f>
        <v>977315.224489928</v>
      </c>
    </row>
  </sheetData>
  <mergeCells count="3">
    <mergeCell ref="E7:F7"/>
    <mergeCell ref="C7:D7"/>
    <mergeCell ref="G7:H7"/>
  </mergeCells>
  <printOptions/>
  <pageMargins left="0.41" right="0.4" top="0.68" bottom="0.52" header="0.5" footer="0.27"/>
  <pageSetup fitToHeight="1" fitToWidth="1" horizontalDpi="600" verticalDpi="600" orientation="landscape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B1">
      <selection activeCell="E1" sqref="E1:E16384"/>
    </sheetView>
  </sheetViews>
  <sheetFormatPr defaultColWidth="8.88671875" defaultRowHeight="15"/>
  <cols>
    <col min="1" max="1" width="8.88671875" style="76" customWidth="1"/>
    <col min="2" max="2" width="25.4453125" style="76" bestFit="1" customWidth="1"/>
    <col min="3" max="4" width="13.21484375" style="76" bestFit="1" customWidth="1"/>
    <col min="5" max="16384" width="8.88671875" style="76" customWidth="1"/>
  </cols>
  <sheetData>
    <row r="1" spans="1:2" s="62" customFormat="1" ht="15.75">
      <c r="A1" s="60"/>
      <c r="B1" s="61"/>
    </row>
    <row r="2" s="62" customFormat="1" ht="15.75">
      <c r="B2" s="63" t="str">
        <f>'1. Recovery of Smart Meter Cost'!B2</f>
        <v>PowerStream Inc. - South  GS&lt;50kW     </v>
      </c>
    </row>
    <row r="3" ht="15.75">
      <c r="B3" s="63" t="str">
        <f>'1. Recovery of Smart Meter Cost'!B3</f>
        <v>Smart Meter Cost Recovery Model</v>
      </c>
    </row>
    <row r="4" s="62" customFormat="1" ht="15">
      <c r="A4" s="27"/>
    </row>
    <row r="5" spans="1:2" s="62" customFormat="1" ht="18">
      <c r="A5" s="27"/>
      <c r="B5" s="77" t="s">
        <v>10</v>
      </c>
    </row>
    <row r="6" spans="1:4" s="62" customFormat="1" ht="15">
      <c r="A6" s="27"/>
      <c r="B6" s="27"/>
      <c r="C6" s="65">
        <v>2010</v>
      </c>
      <c r="D6" s="65">
        <v>2011</v>
      </c>
    </row>
    <row r="7" spans="1:4" s="62" customFormat="1" ht="15">
      <c r="A7" s="27"/>
      <c r="B7" s="66" t="s">
        <v>11</v>
      </c>
      <c r="C7" s="55" t="s">
        <v>41</v>
      </c>
      <c r="D7" s="55" t="s">
        <v>41</v>
      </c>
    </row>
    <row r="8" spans="1:4" s="62" customFormat="1" ht="15">
      <c r="A8" s="27"/>
      <c r="B8" s="27" t="s">
        <v>12</v>
      </c>
      <c r="C8" s="67">
        <f>'2. Revenue Requirement'!D20</f>
        <v>85277.15249333334</v>
      </c>
      <c r="D8" s="67">
        <f>+'2. Revenue Requirement'!F20</f>
        <v>246989.928052</v>
      </c>
    </row>
    <row r="9" spans="1:4" s="62" customFormat="1" ht="15">
      <c r="A9" s="27"/>
      <c r="B9" s="27" t="s">
        <v>84</v>
      </c>
      <c r="C9" s="67">
        <f>'2. Revenue Requirement'!D24</f>
        <v>151941.63333333333</v>
      </c>
      <c r="D9" s="67">
        <f>+'2. Revenue Requirement'!F24</f>
        <v>463472.56666666665</v>
      </c>
    </row>
    <row r="10" spans="1:4" s="62" customFormat="1" ht="15">
      <c r="A10" s="27"/>
      <c r="B10" s="27" t="s">
        <v>39</v>
      </c>
      <c r="C10" s="67">
        <f>-'4. Avg Nt Fix Ass &amp;UCC'!E59-'4. Avg Nt Fix Ass &amp;UCC'!E76</f>
        <v>-185980.585</v>
      </c>
      <c r="D10" s="67">
        <f>-'4. Avg Nt Fix Ass &amp;UCC'!F59-'4. Avg Nt Fix Ass &amp;UCC'!F76</f>
        <v>-542704.2394499999</v>
      </c>
    </row>
    <row r="11" spans="1:4" s="62" customFormat="1" ht="15">
      <c r="A11" s="27"/>
      <c r="B11" s="27" t="s">
        <v>13</v>
      </c>
      <c r="C11" s="68">
        <f>SUM(C8:C10)</f>
        <v>51238.200826666696</v>
      </c>
      <c r="D11" s="68">
        <f>SUM(D8:D10)</f>
        <v>167758.25526866678</v>
      </c>
    </row>
    <row r="12" spans="1:4" s="62" customFormat="1" ht="15">
      <c r="A12" s="27"/>
      <c r="B12" s="27" t="s">
        <v>50</v>
      </c>
      <c r="C12" s="69">
        <v>0.31</v>
      </c>
      <c r="D12" s="69">
        <v>0.2825</v>
      </c>
    </row>
    <row r="13" spans="1:4" s="62" customFormat="1" ht="15">
      <c r="A13" s="27"/>
      <c r="B13" s="27" t="s">
        <v>14</v>
      </c>
      <c r="C13" s="68">
        <f>C11*C12</f>
        <v>15883.842256266676</v>
      </c>
      <c r="D13" s="68">
        <f>D11*D12</f>
        <v>47391.70711339836</v>
      </c>
    </row>
    <row r="14" spans="1:4" s="62" customFormat="1" ht="15">
      <c r="A14" s="27"/>
      <c r="B14" s="27"/>
      <c r="C14" s="64"/>
      <c r="D14" s="64"/>
    </row>
    <row r="15" spans="1:4" s="62" customFormat="1" ht="15">
      <c r="A15" s="27"/>
      <c r="B15" s="66" t="s">
        <v>15</v>
      </c>
      <c r="C15" s="64"/>
      <c r="D15" s="64"/>
    </row>
    <row r="16" spans="1:4" s="62" customFormat="1" ht="15">
      <c r="A16" s="27"/>
      <c r="B16" s="14" t="s">
        <v>31</v>
      </c>
      <c r="C16" s="70">
        <f>'4. Avg Nt Fix Ass &amp;UCC'!E19</f>
        <v>4171044.8666666667</v>
      </c>
      <c r="D16" s="70">
        <f>'4. Avg Nt Fix Ass &amp;UCC'!F19</f>
        <v>8485337.633333333</v>
      </c>
    </row>
    <row r="17" spans="1:4" s="62" customFormat="1" ht="15">
      <c r="A17" s="27"/>
      <c r="B17" s="27" t="s">
        <v>16</v>
      </c>
      <c r="C17" s="71">
        <v>0</v>
      </c>
      <c r="D17" s="71">
        <v>0</v>
      </c>
    </row>
    <row r="18" spans="1:4" s="62" customFormat="1" ht="15">
      <c r="A18" s="27"/>
      <c r="B18" s="27" t="s">
        <v>17</v>
      </c>
      <c r="C18" s="68">
        <f>C16-C17</f>
        <v>4171044.8666666667</v>
      </c>
      <c r="D18" s="68">
        <f>D16-D17</f>
        <v>8485337.633333333</v>
      </c>
    </row>
    <row r="19" spans="1:4" s="62" customFormat="1" ht="15">
      <c r="A19" s="27"/>
      <c r="B19" s="27" t="s">
        <v>18</v>
      </c>
      <c r="C19" s="72">
        <f>0.15%/2</f>
        <v>0.00075</v>
      </c>
      <c r="D19" s="72">
        <v>0</v>
      </c>
    </row>
    <row r="20" spans="1:4" s="62" customFormat="1" ht="15">
      <c r="A20" s="27"/>
      <c r="B20" s="27" t="s">
        <v>19</v>
      </c>
      <c r="C20" s="68">
        <f>C18*C19</f>
        <v>3128.2836500000003</v>
      </c>
      <c r="D20" s="68">
        <f>D18*D19</f>
        <v>0</v>
      </c>
    </row>
    <row r="21" spans="1:4" s="62" customFormat="1" ht="15">
      <c r="A21" s="27"/>
      <c r="B21" s="27"/>
      <c r="C21" s="64"/>
      <c r="D21" s="64"/>
    </row>
    <row r="22" spans="1:4" s="62" customFormat="1" ht="15">
      <c r="A22" s="27"/>
      <c r="B22" s="27"/>
      <c r="C22" s="64"/>
      <c r="D22" s="64"/>
    </row>
    <row r="23" spans="1:4" s="62" customFormat="1" ht="15.75">
      <c r="A23" s="27"/>
      <c r="B23" s="73" t="s">
        <v>20</v>
      </c>
      <c r="C23" s="64"/>
      <c r="D23" s="64"/>
    </row>
    <row r="24" spans="1:4" s="62" customFormat="1" ht="15">
      <c r="A24" s="27"/>
      <c r="B24" s="27"/>
      <c r="C24" s="55" t="s">
        <v>21</v>
      </c>
      <c r="D24" s="55" t="s">
        <v>21</v>
      </c>
    </row>
    <row r="25" spans="1:4" s="62" customFormat="1" ht="15">
      <c r="A25" s="27"/>
      <c r="B25" s="27" t="s">
        <v>22</v>
      </c>
      <c r="C25" s="67">
        <f>C13</f>
        <v>15883.842256266676</v>
      </c>
      <c r="D25" s="67">
        <f>D13</f>
        <v>47391.70711339836</v>
      </c>
    </row>
    <row r="26" spans="1:4" s="62" customFormat="1" ht="15">
      <c r="A26" s="27"/>
      <c r="B26" s="27" t="s">
        <v>23</v>
      </c>
      <c r="C26" s="67">
        <f>C20</f>
        <v>3128.2836500000003</v>
      </c>
      <c r="D26" s="67">
        <f>D20</f>
        <v>0</v>
      </c>
    </row>
    <row r="27" spans="1:4" s="62" customFormat="1" ht="15">
      <c r="A27" s="27"/>
      <c r="B27" s="27" t="s">
        <v>24</v>
      </c>
      <c r="C27" s="68">
        <f>SUM(C25:C26)</f>
        <v>19012.125906266676</v>
      </c>
      <c r="D27" s="68">
        <f>SUM(D25:D26)</f>
        <v>47391.70711339836</v>
      </c>
    </row>
    <row r="28" spans="1:4" s="62" customFormat="1" ht="15">
      <c r="A28" s="64"/>
      <c r="B28" s="64"/>
      <c r="C28" s="64"/>
      <c r="D28" s="64"/>
    </row>
    <row r="29" spans="1:4" s="62" customFormat="1" ht="15">
      <c r="A29" s="64"/>
      <c r="B29" s="64"/>
      <c r="C29" s="65" t="s">
        <v>20</v>
      </c>
      <c r="D29" s="65" t="s">
        <v>20</v>
      </c>
    </row>
    <row r="30" spans="1:4" s="62" customFormat="1" ht="15">
      <c r="A30" s="64"/>
      <c r="B30" s="64"/>
      <c r="C30" s="69">
        <v>0.31</v>
      </c>
      <c r="D30" s="69">
        <v>0.2825</v>
      </c>
    </row>
    <row r="31" spans="1:4" s="62" customFormat="1" ht="15">
      <c r="A31" s="64"/>
      <c r="B31" s="64"/>
      <c r="C31" s="64"/>
      <c r="D31" s="64"/>
    </row>
    <row r="32" spans="1:4" s="62" customFormat="1" ht="15">
      <c r="A32" s="64"/>
      <c r="B32" s="64"/>
      <c r="C32" s="74" t="s">
        <v>25</v>
      </c>
      <c r="D32" s="74" t="s">
        <v>25</v>
      </c>
    </row>
    <row r="33" spans="1:4" s="62" customFormat="1" ht="15">
      <c r="A33" s="64"/>
      <c r="B33" s="27" t="s">
        <v>22</v>
      </c>
      <c r="C33" s="67">
        <f>C25/(1-C12)</f>
        <v>23020.0612409662</v>
      </c>
      <c r="D33" s="67">
        <f>D25/(1-D12)</f>
        <v>66051.15973992803</v>
      </c>
    </row>
    <row r="34" spans="1:4" s="62" customFormat="1" ht="15">
      <c r="A34" s="64"/>
      <c r="B34" s="27" t="s">
        <v>23</v>
      </c>
      <c r="C34" s="67">
        <f>C20</f>
        <v>3128.2836500000003</v>
      </c>
      <c r="D34" s="67">
        <f>D20</f>
        <v>0</v>
      </c>
    </row>
    <row r="35" spans="1:4" ht="15">
      <c r="A35" s="64"/>
      <c r="B35" s="27" t="s">
        <v>24</v>
      </c>
      <c r="C35" s="75">
        <f>SUM(C33:C34)</f>
        <v>26148.3448909662</v>
      </c>
      <c r="D35" s="75">
        <f>SUM(D33:D34)</f>
        <v>66051.15973992803</v>
      </c>
    </row>
  </sheetData>
  <sheetProtection formatColumns="0" selectLockedCells="1"/>
  <printOptions/>
  <pageMargins left="0.55" right="0.49" top="0.37" bottom="0.47" header="0.5" footer="0.16"/>
  <pageSetup fitToHeight="1" fitToWidth="1" horizontalDpi="600" verticalDpi="600" orientation="landscape" r:id="rId1"/>
  <headerFooter alignWithMargins="0">
    <oddFooter>&amp;R&amp;9&amp;A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83"/>
  <sheetViews>
    <sheetView workbookViewId="0" topLeftCell="A1">
      <selection activeCell="F10" sqref="F10"/>
    </sheetView>
  </sheetViews>
  <sheetFormatPr defaultColWidth="8.88671875" defaultRowHeight="15"/>
  <cols>
    <col min="1" max="1" width="8.88671875" style="9" customWidth="1"/>
    <col min="2" max="2" width="40.10546875" style="9" customWidth="1"/>
    <col min="3" max="3" width="6.4453125" style="9" bestFit="1" customWidth="1"/>
    <col min="4" max="4" width="10.5546875" style="15" bestFit="1" customWidth="1"/>
    <col min="5" max="5" width="10.6640625" style="9" bestFit="1" customWidth="1"/>
    <col min="6" max="6" width="10.5546875" style="9" bestFit="1" customWidth="1"/>
    <col min="7" max="16384" width="8.88671875" style="9" customWidth="1"/>
  </cols>
  <sheetData>
    <row r="1" ht="7.5" customHeight="1"/>
    <row r="2" ht="18">
      <c r="B2" s="58" t="str">
        <f>'1. Recovery of Smart Meter Cost'!B2</f>
        <v>PowerStream Inc. - South  GS&lt;50kW     </v>
      </c>
    </row>
    <row r="3" ht="18">
      <c r="B3" s="58" t="str">
        <f>'1. Recovery of Smart Meter Cost'!B3</f>
        <v>Smart Meter Cost Recovery Model</v>
      </c>
    </row>
    <row r="4" spans="1:6" ht="10.5" customHeight="1">
      <c r="A4" s="10"/>
      <c r="B4" s="10"/>
      <c r="C4" s="10"/>
      <c r="D4" s="16"/>
      <c r="E4" s="10"/>
      <c r="F4" s="10"/>
    </row>
    <row r="5" spans="1:6" ht="26.25">
      <c r="A5" s="10"/>
      <c r="B5" s="12" t="s">
        <v>32</v>
      </c>
      <c r="C5" s="11"/>
      <c r="D5" s="16"/>
      <c r="E5" s="10"/>
      <c r="F5" s="10"/>
    </row>
    <row r="6" spans="1:6" ht="15">
      <c r="A6" s="10"/>
      <c r="B6" s="10"/>
      <c r="C6" s="10"/>
      <c r="D6" s="22">
        <v>2009</v>
      </c>
      <c r="E6" s="22">
        <v>2010</v>
      </c>
      <c r="F6" s="22">
        <v>2011</v>
      </c>
    </row>
    <row r="7" spans="1:6" ht="18">
      <c r="A7" s="10"/>
      <c r="B7" s="47" t="s">
        <v>76</v>
      </c>
      <c r="C7" s="12"/>
      <c r="D7" s="43" t="s">
        <v>75</v>
      </c>
      <c r="E7" s="43" t="s">
        <v>75</v>
      </c>
      <c r="F7" s="43" t="s">
        <v>75</v>
      </c>
    </row>
    <row r="8" spans="1:6" ht="15">
      <c r="A8" s="10"/>
      <c r="B8" s="10"/>
      <c r="C8" s="10"/>
      <c r="D8" s="16"/>
      <c r="E8" s="16"/>
      <c r="F8" s="16"/>
    </row>
    <row r="9" spans="1:6" ht="15">
      <c r="A9" s="10"/>
      <c r="B9" s="10" t="s">
        <v>26</v>
      </c>
      <c r="C9" s="10"/>
      <c r="D9" s="18">
        <v>0</v>
      </c>
      <c r="E9" s="18">
        <f>D11</f>
        <v>0</v>
      </c>
      <c r="F9" s="18">
        <f>E11</f>
        <v>4314874</v>
      </c>
    </row>
    <row r="10" spans="1:6" ht="15">
      <c r="A10" s="10"/>
      <c r="B10" s="14" t="s">
        <v>45</v>
      </c>
      <c r="C10" s="14"/>
      <c r="D10" s="19"/>
      <c r="E10" s="19">
        <f>4363549-E27</f>
        <v>4314874</v>
      </c>
      <c r="F10" s="19">
        <f>4766047-F27</f>
        <v>4760639</v>
      </c>
    </row>
    <row r="11" spans="1:6" ht="15">
      <c r="A11" s="10"/>
      <c r="B11" s="10" t="s">
        <v>27</v>
      </c>
      <c r="C11" s="10"/>
      <c r="D11" s="18">
        <f>SUM(D9:D10)</f>
        <v>0</v>
      </c>
      <c r="E11" s="18">
        <f>SUM(E9:E10)</f>
        <v>4314874</v>
      </c>
      <c r="F11" s="18">
        <f>SUM(F9:F10)</f>
        <v>9075513</v>
      </c>
    </row>
    <row r="12" spans="1:6" ht="15">
      <c r="A12" s="10"/>
      <c r="B12" s="10"/>
      <c r="C12" s="10"/>
      <c r="D12" s="16"/>
      <c r="E12" s="16"/>
      <c r="F12" s="16"/>
    </row>
    <row r="13" spans="1:6" ht="15">
      <c r="A13" s="10"/>
      <c r="B13" s="10" t="s">
        <v>28</v>
      </c>
      <c r="C13" s="10"/>
      <c r="D13" s="18">
        <v>0</v>
      </c>
      <c r="E13" s="18">
        <f>D16</f>
        <v>0</v>
      </c>
      <c r="F13" s="18">
        <f>E16</f>
        <v>143829.13333333333</v>
      </c>
    </row>
    <row r="14" spans="1:6" ht="15">
      <c r="A14" s="10"/>
      <c r="B14" s="14" t="s">
        <v>47</v>
      </c>
      <c r="C14" s="30" t="s">
        <v>64</v>
      </c>
      <c r="D14" s="16">
        <f>D10/15/2</f>
        <v>0</v>
      </c>
      <c r="E14" s="16">
        <f>E10/15/2</f>
        <v>143829.13333333333</v>
      </c>
      <c r="F14" s="16">
        <f>F10/15/2</f>
        <v>158687.96666666667</v>
      </c>
    </row>
    <row r="15" spans="1:6" ht="15">
      <c r="A15" s="10"/>
      <c r="B15" s="14" t="s">
        <v>48</v>
      </c>
      <c r="C15"/>
      <c r="D15" s="16">
        <f>D9/15</f>
        <v>0</v>
      </c>
      <c r="E15" s="16">
        <f>+E9/15</f>
        <v>0</v>
      </c>
      <c r="F15" s="16">
        <f>+F9/15</f>
        <v>287658.26666666666</v>
      </c>
    </row>
    <row r="16" spans="1:6" ht="15">
      <c r="A16" s="10"/>
      <c r="B16" s="10" t="s">
        <v>29</v>
      </c>
      <c r="C16" s="10"/>
      <c r="D16" s="18">
        <f>SUM(D13:D15)</f>
        <v>0</v>
      </c>
      <c r="E16" s="18">
        <f>SUM(E13:E15)</f>
        <v>143829.13333333333</v>
      </c>
      <c r="F16" s="18">
        <f>SUM(F13:F15)</f>
        <v>590175.3666666667</v>
      </c>
    </row>
    <row r="17" spans="1:6" ht="15">
      <c r="A17" s="10"/>
      <c r="B17" s="10"/>
      <c r="C17" s="10"/>
      <c r="D17" s="16"/>
      <c r="E17" s="16"/>
      <c r="F17" s="16"/>
    </row>
    <row r="18" spans="1:6" ht="15">
      <c r="A18" s="10"/>
      <c r="B18" s="10" t="s">
        <v>30</v>
      </c>
      <c r="C18" s="10"/>
      <c r="D18" s="16">
        <v>0</v>
      </c>
      <c r="E18" s="16">
        <f>E9-E13</f>
        <v>0</v>
      </c>
      <c r="F18" s="16">
        <f>F9-F13</f>
        <v>4171044.8666666667</v>
      </c>
    </row>
    <row r="19" spans="1:6" ht="15">
      <c r="A19" s="10"/>
      <c r="B19" s="10" t="s">
        <v>31</v>
      </c>
      <c r="C19" s="10"/>
      <c r="D19" s="18">
        <f>D11-D16</f>
        <v>0</v>
      </c>
      <c r="E19" s="18">
        <f>E11-E16</f>
        <v>4171044.8666666667</v>
      </c>
      <c r="F19" s="18">
        <f>F11-F16</f>
        <v>8485337.633333333</v>
      </c>
    </row>
    <row r="20" spans="1:6" ht="15.75" thickBot="1">
      <c r="A20" s="10"/>
      <c r="B20" s="10" t="s">
        <v>32</v>
      </c>
      <c r="C20" s="10"/>
      <c r="D20" s="21">
        <f>SUM(D18:D19)/2</f>
        <v>0</v>
      </c>
      <c r="E20" s="21">
        <f>SUM(E18:E19)/2</f>
        <v>2085522.4333333333</v>
      </c>
      <c r="F20" s="21">
        <f>SUM(F18:F19)/2</f>
        <v>6328191.25</v>
      </c>
    </row>
    <row r="21" spans="1:6" ht="15">
      <c r="A21" s="10"/>
      <c r="B21" s="10"/>
      <c r="C21" s="10"/>
      <c r="D21" s="20"/>
      <c r="E21" s="13"/>
      <c r="F21" s="13"/>
    </row>
    <row r="22" spans="1:6" ht="4.5" customHeight="1">
      <c r="A22" s="10"/>
      <c r="B22" s="10"/>
      <c r="C22" s="10"/>
      <c r="D22" s="17"/>
      <c r="E22" s="10"/>
      <c r="F22" s="10"/>
    </row>
    <row r="23" spans="1:6" ht="15">
      <c r="A23" s="10"/>
      <c r="B23" s="10"/>
      <c r="C23" s="10"/>
      <c r="D23" s="22">
        <v>2009</v>
      </c>
      <c r="E23" s="22">
        <v>2010</v>
      </c>
      <c r="F23" s="22">
        <v>2011</v>
      </c>
    </row>
    <row r="24" spans="1:6" ht="18">
      <c r="A24" s="10"/>
      <c r="B24" s="47" t="s">
        <v>77</v>
      </c>
      <c r="C24" s="12"/>
      <c r="D24" s="43" t="s">
        <v>75</v>
      </c>
      <c r="E24" s="43" t="s">
        <v>75</v>
      </c>
      <c r="F24" s="43" t="s">
        <v>75</v>
      </c>
    </row>
    <row r="25" spans="1:6" ht="15">
      <c r="A25" s="10"/>
      <c r="B25" s="10"/>
      <c r="C25" s="10"/>
      <c r="D25" s="16"/>
      <c r="E25" s="16"/>
      <c r="F25" s="16"/>
    </row>
    <row r="26" spans="1:6" ht="15">
      <c r="A26" s="10"/>
      <c r="B26" s="10" t="s">
        <v>26</v>
      </c>
      <c r="C26" s="10"/>
      <c r="D26" s="18">
        <v>0</v>
      </c>
      <c r="E26" s="18">
        <f>D28</f>
        <v>0</v>
      </c>
      <c r="F26" s="18">
        <f>E28</f>
        <v>48675</v>
      </c>
    </row>
    <row r="27" spans="1:6" ht="15">
      <c r="A27" s="10"/>
      <c r="B27" s="14" t="s">
        <v>45</v>
      </c>
      <c r="C27" s="14"/>
      <c r="D27" s="19"/>
      <c r="E27" s="19">
        <v>48675</v>
      </c>
      <c r="F27" s="19">
        <v>5408</v>
      </c>
    </row>
    <row r="28" spans="1:6" ht="15">
      <c r="A28" s="10"/>
      <c r="B28" s="10" t="s">
        <v>27</v>
      </c>
      <c r="C28" s="10"/>
      <c r="D28" s="18">
        <f>SUM(D26:D27)</f>
        <v>0</v>
      </c>
      <c r="E28" s="18">
        <f>SUM(E26:E27)</f>
        <v>48675</v>
      </c>
      <c r="F28" s="18">
        <f>SUM(F26:F27)</f>
        <v>54083</v>
      </c>
    </row>
    <row r="29" spans="1:6" ht="15">
      <c r="A29" s="10"/>
      <c r="B29" s="10"/>
      <c r="C29" s="10"/>
      <c r="D29" s="16"/>
      <c r="E29" s="16"/>
      <c r="F29" s="16"/>
    </row>
    <row r="30" spans="1:6" ht="15">
      <c r="A30" s="10"/>
      <c r="B30" s="10" t="s">
        <v>28</v>
      </c>
      <c r="C30" s="10"/>
      <c r="D30" s="18">
        <v>0</v>
      </c>
      <c r="E30" s="18">
        <f>D33</f>
        <v>0</v>
      </c>
      <c r="F30" s="18">
        <f>E33</f>
        <v>8112.5</v>
      </c>
    </row>
    <row r="31" spans="1:6" ht="15">
      <c r="A31" s="10"/>
      <c r="B31" s="14" t="s">
        <v>47</v>
      </c>
      <c r="C31" s="30" t="s">
        <v>65</v>
      </c>
      <c r="D31" s="16">
        <f>D27/3/2</f>
        <v>0</v>
      </c>
      <c r="E31" s="16">
        <f>E27/3/2</f>
        <v>8112.5</v>
      </c>
      <c r="F31" s="16">
        <f>F27/3/2</f>
        <v>901.3333333333334</v>
      </c>
    </row>
    <row r="32" spans="1:6" ht="15">
      <c r="A32" s="10"/>
      <c r="B32" s="14" t="s">
        <v>48</v>
      </c>
      <c r="C32"/>
      <c r="D32" s="16">
        <f>D26/3</f>
        <v>0</v>
      </c>
      <c r="E32" s="16">
        <f>E26/3</f>
        <v>0</v>
      </c>
      <c r="F32" s="16">
        <f>F26/3</f>
        <v>16225</v>
      </c>
    </row>
    <row r="33" spans="1:6" ht="15">
      <c r="A33" s="10"/>
      <c r="B33" s="10" t="s">
        <v>29</v>
      </c>
      <c r="C33" s="10"/>
      <c r="D33" s="18">
        <f>SUM(D30:D32)</f>
        <v>0</v>
      </c>
      <c r="E33" s="18">
        <f>SUM(E30:E32)</f>
        <v>8112.5</v>
      </c>
      <c r="F33" s="18">
        <f>SUM(F30:F32)</f>
        <v>25238.833333333336</v>
      </c>
    </row>
    <row r="34" spans="1:6" ht="15">
      <c r="A34" s="10"/>
      <c r="B34" s="10"/>
      <c r="C34" s="10"/>
      <c r="D34" s="16"/>
      <c r="E34" s="16"/>
      <c r="F34" s="16"/>
    </row>
    <row r="35" spans="1:6" ht="15">
      <c r="A35" s="10"/>
      <c r="B35" s="10" t="s">
        <v>30</v>
      </c>
      <c r="C35" s="10"/>
      <c r="D35" s="16">
        <v>0</v>
      </c>
      <c r="E35" s="16">
        <f>E26-E30</f>
        <v>0</v>
      </c>
      <c r="F35" s="16">
        <f>F26-F30</f>
        <v>40562.5</v>
      </c>
    </row>
    <row r="36" spans="1:6" ht="15">
      <c r="A36" s="10"/>
      <c r="B36" s="10" t="s">
        <v>31</v>
      </c>
      <c r="C36" s="10"/>
      <c r="D36" s="18">
        <f>D28-D33</f>
        <v>0</v>
      </c>
      <c r="E36" s="18">
        <f>E28-E33</f>
        <v>40562.5</v>
      </c>
      <c r="F36" s="18">
        <f>F28-F33</f>
        <v>28844.166666666664</v>
      </c>
    </row>
    <row r="37" spans="1:6" ht="15.75" thickBot="1">
      <c r="A37" s="10"/>
      <c r="B37" s="10" t="s">
        <v>32</v>
      </c>
      <c r="C37" s="10"/>
      <c r="D37" s="21">
        <f>SUM(D35:D36)/2</f>
        <v>0</v>
      </c>
      <c r="E37" s="21">
        <f>SUM(E35:E36)/2</f>
        <v>20281.25</v>
      </c>
      <c r="F37" s="21">
        <f>SUM(F35:F36)/2</f>
        <v>34703.33333333333</v>
      </c>
    </row>
    <row r="38" spans="1:6" ht="15">
      <c r="A38" s="10"/>
      <c r="B38" s="10"/>
      <c r="C38" s="10"/>
      <c r="D38" s="16"/>
      <c r="E38" s="10"/>
      <c r="F38" s="10"/>
    </row>
    <row r="39" spans="1:6" ht="15.75">
      <c r="A39" s="10"/>
      <c r="B39" s="47" t="s">
        <v>78</v>
      </c>
      <c r="C39" s="10"/>
      <c r="D39" s="16"/>
      <c r="E39" s="10"/>
      <c r="F39" s="10"/>
    </row>
    <row r="40" spans="1:6" ht="15">
      <c r="A40" s="10"/>
      <c r="B40" s="10" t="s">
        <v>27</v>
      </c>
      <c r="C40" s="10"/>
      <c r="D40" s="16">
        <f>+D11+D28</f>
        <v>0</v>
      </c>
      <c r="E40" s="16">
        <f>+E11+E28</f>
        <v>4363549</v>
      </c>
      <c r="F40" s="16">
        <f>+F11+F28</f>
        <v>9129596</v>
      </c>
    </row>
    <row r="41" spans="1:6" ht="15">
      <c r="A41" s="10"/>
      <c r="B41" s="10" t="s">
        <v>32</v>
      </c>
      <c r="C41" s="10"/>
      <c r="D41" s="16">
        <f>+D20+D37</f>
        <v>0</v>
      </c>
      <c r="E41" s="16">
        <f>+E20+E37</f>
        <v>2105803.6833333336</v>
      </c>
      <c r="F41" s="16">
        <f>+F20+F37</f>
        <v>6362894.583333333</v>
      </c>
    </row>
    <row r="42" spans="1:6" ht="15">
      <c r="A42" s="10"/>
      <c r="B42" s="14" t="s">
        <v>79</v>
      </c>
      <c r="C42" s="10"/>
      <c r="D42" s="16">
        <f>+D14+D15+D31+D32</f>
        <v>0</v>
      </c>
      <c r="E42" s="16">
        <f>+E14+E15+E31+E32</f>
        <v>151941.63333333333</v>
      </c>
      <c r="F42" s="16">
        <f>+F14+F15+F31+F32</f>
        <v>463472.56666666665</v>
      </c>
    </row>
    <row r="43" spans="1:6" ht="15">
      <c r="A43" s="10"/>
      <c r="B43" s="10"/>
      <c r="C43" s="10"/>
      <c r="D43" s="16"/>
      <c r="E43" s="10"/>
      <c r="F43" s="10"/>
    </row>
    <row r="44" spans="1:6" ht="15">
      <c r="A44" s="10"/>
      <c r="B44" s="10"/>
      <c r="C44" s="10"/>
      <c r="D44" s="16"/>
      <c r="E44" s="10"/>
      <c r="F44" s="10"/>
    </row>
    <row r="45" spans="1:6" ht="18">
      <c r="A45" s="10"/>
      <c r="B45" s="12" t="str">
        <f>+B2</f>
        <v>PowerStream Inc. - South  GS&lt;50kW     </v>
      </c>
      <c r="C45" s="10"/>
      <c r="D45" s="16"/>
      <c r="E45" s="10"/>
      <c r="F45" s="10"/>
    </row>
    <row r="46" spans="1:6" ht="18">
      <c r="A46" s="10"/>
      <c r="B46" s="12" t="str">
        <f>+B3</f>
        <v>Smart Meter Cost Recovery Model</v>
      </c>
      <c r="C46" s="10"/>
      <c r="D46" s="16"/>
      <c r="E46" s="10"/>
      <c r="F46" s="10"/>
    </row>
    <row r="47" spans="1:6" ht="26.25">
      <c r="A47" s="10"/>
      <c r="B47" s="12" t="s">
        <v>33</v>
      </c>
      <c r="C47" s="11"/>
      <c r="D47" s="16"/>
      <c r="E47" s="10"/>
      <c r="F47" s="10"/>
    </row>
    <row r="48" spans="1:6" ht="15">
      <c r="A48" s="10"/>
      <c r="B48" s="10"/>
      <c r="C48" s="10"/>
      <c r="D48" s="16"/>
      <c r="E48" s="10"/>
      <c r="F48" s="10"/>
    </row>
    <row r="49" spans="1:6" ht="18">
      <c r="A49" s="10"/>
      <c r="B49" s="12" t="s">
        <v>46</v>
      </c>
      <c r="C49" s="12"/>
      <c r="D49" s="22">
        <v>2009</v>
      </c>
      <c r="E49" s="22">
        <v>2010</v>
      </c>
      <c r="F49" s="22">
        <v>2011</v>
      </c>
    </row>
    <row r="50" spans="1:6" ht="15">
      <c r="A50" s="10"/>
      <c r="B50" s="10"/>
      <c r="C50" s="10"/>
      <c r="D50" s="43" t="s">
        <v>75</v>
      </c>
      <c r="E50" s="43" t="s">
        <v>75</v>
      </c>
      <c r="F50" s="43" t="s">
        <v>75</v>
      </c>
    </row>
    <row r="51" spans="1:6" ht="15">
      <c r="A51" s="10"/>
      <c r="B51" s="10"/>
      <c r="C51" s="10"/>
      <c r="D51" s="16"/>
      <c r="E51" s="16"/>
      <c r="F51" s="16"/>
    </row>
    <row r="52" spans="1:6" ht="15">
      <c r="A52" s="10"/>
      <c r="B52" s="10" t="s">
        <v>34</v>
      </c>
      <c r="C52" s="10"/>
      <c r="D52" s="18">
        <v>0</v>
      </c>
      <c r="E52" s="18">
        <f>D60</f>
        <v>0</v>
      </c>
      <c r="F52" s="18">
        <f>E60</f>
        <v>4142279.04</v>
      </c>
    </row>
    <row r="53" spans="1:6" ht="15">
      <c r="A53" s="10"/>
      <c r="B53" s="10" t="s">
        <v>35</v>
      </c>
      <c r="C53" s="10"/>
      <c r="D53" s="16">
        <f>D10</f>
        <v>0</v>
      </c>
      <c r="E53" s="16">
        <f>E10</f>
        <v>4314874</v>
      </c>
      <c r="F53" s="16">
        <f>F10</f>
        <v>4760639</v>
      </c>
    </row>
    <row r="54" spans="1:6" ht="15">
      <c r="A54" s="10"/>
      <c r="B54" s="10" t="s">
        <v>36</v>
      </c>
      <c r="C54" s="10"/>
      <c r="D54" s="18">
        <f>SUM(D52:D53)</f>
        <v>0</v>
      </c>
      <c r="E54" s="18">
        <f>SUM(E52:E53)</f>
        <v>4314874</v>
      </c>
      <c r="F54" s="18">
        <f>SUM(F52:F53)</f>
        <v>8902918.04</v>
      </c>
    </row>
    <row r="55" spans="1:6" ht="15">
      <c r="A55" s="10"/>
      <c r="B55" s="10" t="s">
        <v>37</v>
      </c>
      <c r="C55" s="10"/>
      <c r="D55" s="16">
        <f>D53/2</f>
        <v>0</v>
      </c>
      <c r="E55" s="16">
        <f>E53/2</f>
        <v>2157437</v>
      </c>
      <c r="F55" s="16">
        <f>F53/2</f>
        <v>2380319.5</v>
      </c>
    </row>
    <row r="56" spans="1:6" ht="15">
      <c r="A56" s="10"/>
      <c r="B56" s="10" t="s">
        <v>38</v>
      </c>
      <c r="C56" s="10"/>
      <c r="D56" s="18">
        <f>D54-D55</f>
        <v>0</v>
      </c>
      <c r="E56" s="18">
        <f>E54-E55</f>
        <v>2157437</v>
      </c>
      <c r="F56" s="18">
        <f>F54-F55</f>
        <v>6522598.539999999</v>
      </c>
    </row>
    <row r="57" spans="1:6" ht="15">
      <c r="A57" s="10"/>
      <c r="B57" s="10" t="s">
        <v>42</v>
      </c>
      <c r="C57" s="23">
        <v>47</v>
      </c>
      <c r="D57" s="25"/>
      <c r="E57" s="25"/>
      <c r="F57" s="25"/>
    </row>
    <row r="58" spans="1:6" ht="15">
      <c r="A58" s="10"/>
      <c r="B58" s="10" t="s">
        <v>43</v>
      </c>
      <c r="C58" s="24">
        <v>0.08</v>
      </c>
      <c r="D58" s="25"/>
      <c r="E58" s="25"/>
      <c r="F58" s="25"/>
    </row>
    <row r="59" spans="1:6" ht="15">
      <c r="A59" s="10"/>
      <c r="B59" s="10" t="s">
        <v>39</v>
      </c>
      <c r="C59" s="10"/>
      <c r="D59" s="18">
        <f>D56*$C$58</f>
        <v>0</v>
      </c>
      <c r="E59" s="18">
        <f>E56*$C$58</f>
        <v>172594.96</v>
      </c>
      <c r="F59" s="18">
        <f>F56*$C$58</f>
        <v>521807.8831999999</v>
      </c>
    </row>
    <row r="60" spans="1:6" ht="15.75" thickBot="1">
      <c r="A60" s="10"/>
      <c r="B60" s="10" t="s">
        <v>40</v>
      </c>
      <c r="C60" s="10"/>
      <c r="D60" s="21">
        <f>D54-D59</f>
        <v>0</v>
      </c>
      <c r="E60" s="21">
        <f>E54-E59</f>
        <v>4142279.04</v>
      </c>
      <c r="F60" s="21">
        <f>F54-F59</f>
        <v>8381110.156799999</v>
      </c>
    </row>
    <row r="61" spans="1:6" ht="15">
      <c r="A61" s="10"/>
      <c r="B61" s="10"/>
      <c r="C61" s="10"/>
      <c r="D61" s="16"/>
      <c r="E61" s="10"/>
      <c r="F61" s="10"/>
    </row>
    <row r="66" spans="2:6" ht="18">
      <c r="B66" s="12" t="s">
        <v>46</v>
      </c>
      <c r="C66" s="12"/>
      <c r="D66" s="22">
        <v>2009</v>
      </c>
      <c r="E66" s="22">
        <v>2010</v>
      </c>
      <c r="F66" s="22">
        <v>2011</v>
      </c>
    </row>
    <row r="67" spans="2:6" ht="15">
      <c r="B67" s="10"/>
      <c r="C67" s="10"/>
      <c r="D67" s="43" t="s">
        <v>75</v>
      </c>
      <c r="E67" s="43" t="s">
        <v>75</v>
      </c>
      <c r="F67" s="43" t="s">
        <v>75</v>
      </c>
    </row>
    <row r="68" spans="2:6" ht="15">
      <c r="B68" s="10"/>
      <c r="C68" s="10"/>
      <c r="D68" s="16"/>
      <c r="E68" s="16"/>
      <c r="F68" s="16"/>
    </row>
    <row r="69" spans="2:6" ht="15">
      <c r="B69" s="10" t="s">
        <v>34</v>
      </c>
      <c r="C69" s="10"/>
      <c r="D69" s="18">
        <v>0</v>
      </c>
      <c r="E69" s="18">
        <f>D77</f>
        <v>0</v>
      </c>
      <c r="F69" s="18">
        <f>E77</f>
        <v>35289.375</v>
      </c>
    </row>
    <row r="70" spans="2:6" ht="15">
      <c r="B70" s="10" t="s">
        <v>35</v>
      </c>
      <c r="C70" s="10"/>
      <c r="D70" s="16">
        <f>D27</f>
        <v>0</v>
      </c>
      <c r="E70" s="16">
        <f>E27</f>
        <v>48675</v>
      </c>
      <c r="F70" s="16">
        <f>F27</f>
        <v>5408</v>
      </c>
    </row>
    <row r="71" spans="2:6" ht="15">
      <c r="B71" s="10" t="s">
        <v>36</v>
      </c>
      <c r="C71" s="10"/>
      <c r="D71" s="18">
        <f>SUM(D69:D70)</f>
        <v>0</v>
      </c>
      <c r="E71" s="18">
        <f>SUM(E69:E70)</f>
        <v>48675</v>
      </c>
      <c r="F71" s="18">
        <f>SUM(F69:F70)</f>
        <v>40697.375</v>
      </c>
    </row>
    <row r="72" spans="2:6" ht="15">
      <c r="B72" s="10" t="s">
        <v>37</v>
      </c>
      <c r="C72" s="10"/>
      <c r="D72" s="16">
        <f>D70/2</f>
        <v>0</v>
      </c>
      <c r="E72" s="16">
        <f>E70/2</f>
        <v>24337.5</v>
      </c>
      <c r="F72" s="16">
        <f>F70/2</f>
        <v>2704</v>
      </c>
    </row>
    <row r="73" spans="2:6" ht="15">
      <c r="B73" s="10" t="s">
        <v>38</v>
      </c>
      <c r="C73" s="10"/>
      <c r="D73" s="18">
        <f>D71-D72</f>
        <v>0</v>
      </c>
      <c r="E73" s="18">
        <f>E71-E72</f>
        <v>24337.5</v>
      </c>
      <c r="F73" s="18">
        <f>F71-F72</f>
        <v>37993.375</v>
      </c>
    </row>
    <row r="74" spans="2:6" ht="15">
      <c r="B74" s="10" t="s">
        <v>42</v>
      </c>
      <c r="C74" s="23">
        <v>50</v>
      </c>
      <c r="D74" s="25"/>
      <c r="E74" s="25"/>
      <c r="F74" s="25"/>
    </row>
    <row r="75" spans="2:6" ht="15">
      <c r="B75" s="10" t="s">
        <v>43</v>
      </c>
      <c r="C75" s="24">
        <v>0.55</v>
      </c>
      <c r="D75" s="25"/>
      <c r="E75" s="25"/>
      <c r="F75" s="25"/>
    </row>
    <row r="76" spans="2:6" ht="15">
      <c r="B76" s="10" t="s">
        <v>39</v>
      </c>
      <c r="C76" s="10"/>
      <c r="D76" s="18">
        <f>D73*$C$75</f>
        <v>0</v>
      </c>
      <c r="E76" s="18">
        <f>E73*$C$75</f>
        <v>13385.625000000002</v>
      </c>
      <c r="F76" s="18">
        <f>F73*$C$75</f>
        <v>20896.35625</v>
      </c>
    </row>
    <row r="77" spans="2:6" ht="15.75" thickBot="1">
      <c r="B77" s="10" t="s">
        <v>40</v>
      </c>
      <c r="C77" s="10"/>
      <c r="D77" s="21">
        <f>D71-D76</f>
        <v>0</v>
      </c>
      <c r="E77" s="21">
        <f>E71-E76</f>
        <v>35289.375</v>
      </c>
      <c r="F77" s="21">
        <f>F71-F76</f>
        <v>19801.01875</v>
      </c>
    </row>
    <row r="78" spans="2:6" ht="15">
      <c r="B78" s="10"/>
      <c r="C78" s="10"/>
      <c r="D78" s="16"/>
      <c r="E78" s="10"/>
      <c r="F78" s="10"/>
    </row>
    <row r="79" spans="2:6" ht="15">
      <c r="B79" s="10" t="s">
        <v>80</v>
      </c>
      <c r="D79" s="48">
        <f>+D59+D76</f>
        <v>0</v>
      </c>
      <c r="E79" s="48">
        <f>+E59+E76</f>
        <v>185980.585</v>
      </c>
      <c r="F79" s="48">
        <f>+F59+F76</f>
        <v>542704.2394499999</v>
      </c>
    </row>
    <row r="82" ht="15">
      <c r="B82" s="9" t="s">
        <v>91</v>
      </c>
    </row>
    <row r="83" ht="15">
      <c r="B83" s="9" t="s">
        <v>92</v>
      </c>
    </row>
  </sheetData>
  <sheetProtection formatColumns="0" selectLockedCells="1"/>
  <printOptions/>
  <pageMargins left="0.75" right="0.75" top="0.36" bottom="0.32" header="0.19" footer="0.16"/>
  <pageSetup fitToHeight="2" horizontalDpi="600" verticalDpi="600" orientation="landscape" scale="85" r:id="rId1"/>
  <headerFooter alignWithMargins="0">
    <oddFooter>&amp;R&amp;8&amp;A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workbookViewId="0" topLeftCell="A1">
      <selection activeCell="D52" sqref="D52"/>
    </sheetView>
  </sheetViews>
  <sheetFormatPr defaultColWidth="8.88671875" defaultRowHeight="15"/>
  <cols>
    <col min="1" max="1" width="1.5625" style="0" customWidth="1"/>
    <col min="2" max="2" width="11.99609375" style="0" customWidth="1"/>
    <col min="3" max="6" width="12.21484375" style="0" customWidth="1"/>
  </cols>
  <sheetData>
    <row r="1" ht="15.75">
      <c r="B1" s="40" t="str">
        <f>+'1. Recovery of Smart Meter Cost'!B2</f>
        <v>PowerStream Inc. - South  GS&lt;50kW     </v>
      </c>
    </row>
    <row r="2" ht="15.75">
      <c r="B2" s="40" t="str">
        <f>+'1. Recovery of Smart Meter Cost'!B3</f>
        <v>Smart Meter Cost Recovery Model</v>
      </c>
    </row>
    <row r="4" ht="15.75">
      <c r="B4" s="40" t="s">
        <v>97</v>
      </c>
    </row>
    <row r="5" spans="2:6" s="31" customFormat="1" ht="32.25" thickBot="1">
      <c r="B5" s="82" t="s">
        <v>52</v>
      </c>
      <c r="C5" s="82" t="s">
        <v>53</v>
      </c>
      <c r="D5" s="82" t="s">
        <v>54</v>
      </c>
      <c r="E5" s="82" t="s">
        <v>8</v>
      </c>
      <c r="F5" s="82" t="s">
        <v>98</v>
      </c>
    </row>
    <row r="6" spans="2:6" s="31" customFormat="1" ht="15">
      <c r="B6" s="81">
        <v>40179</v>
      </c>
      <c r="C6" s="84">
        <v>0</v>
      </c>
      <c r="D6" s="85">
        <v>-40584.37499999999</v>
      </c>
      <c r="E6" s="84">
        <f>+'2. Revenue Requirement'!$D$27/12</f>
        <v>60596.387120091626</v>
      </c>
      <c r="F6" s="84">
        <f>SUM(C6:E6)</f>
        <v>20012.012120091633</v>
      </c>
    </row>
    <row r="7" spans="2:6" s="31" customFormat="1" ht="15">
      <c r="B7" s="79">
        <v>40210</v>
      </c>
      <c r="C7" s="86">
        <f>+F6</f>
        <v>20012.012120091633</v>
      </c>
      <c r="D7" s="85">
        <v>-40584.37499999999</v>
      </c>
      <c r="E7" s="86">
        <f>+'2. Revenue Requirement'!$D$27/12</f>
        <v>60596.387120091626</v>
      </c>
      <c r="F7" s="86">
        <f aca="true" t="shared" si="0" ref="F7:F17">SUM(C7:E7)</f>
        <v>40024.024240183266</v>
      </c>
    </row>
    <row r="8" spans="2:6" s="31" customFormat="1" ht="15">
      <c r="B8" s="79">
        <v>40238</v>
      </c>
      <c r="C8" s="86">
        <f aca="true" t="shared" si="1" ref="C8:C18">+F7</f>
        <v>40024.024240183266</v>
      </c>
      <c r="D8" s="85">
        <v>-40584.37499999999</v>
      </c>
      <c r="E8" s="86">
        <f>+'2. Revenue Requirement'!$D$27/12</f>
        <v>60596.387120091626</v>
      </c>
      <c r="F8" s="86">
        <f t="shared" si="0"/>
        <v>60036.0363602749</v>
      </c>
    </row>
    <row r="9" spans="2:6" s="31" customFormat="1" ht="15">
      <c r="B9" s="79">
        <v>40269</v>
      </c>
      <c r="C9" s="86">
        <f t="shared" si="1"/>
        <v>60036.0363602749</v>
      </c>
      <c r="D9" s="85">
        <v>-40584.37499999999</v>
      </c>
      <c r="E9" s="86">
        <f>+'2. Revenue Requirement'!$D$27/12</f>
        <v>60596.387120091626</v>
      </c>
      <c r="F9" s="86">
        <f t="shared" si="0"/>
        <v>80048.04848036653</v>
      </c>
    </row>
    <row r="10" spans="2:6" s="31" customFormat="1" ht="15">
      <c r="B10" s="79">
        <v>40299</v>
      </c>
      <c r="C10" s="86">
        <f t="shared" si="1"/>
        <v>80048.04848036653</v>
      </c>
      <c r="D10" s="85">
        <v>-40584.37499999999</v>
      </c>
      <c r="E10" s="86">
        <f>+'2. Revenue Requirement'!$D$27/12</f>
        <v>60596.387120091626</v>
      </c>
      <c r="F10" s="86">
        <f t="shared" si="0"/>
        <v>100060.06060045816</v>
      </c>
    </row>
    <row r="11" spans="2:6" s="31" customFormat="1" ht="15">
      <c r="B11" s="79">
        <v>40330</v>
      </c>
      <c r="C11" s="86">
        <f t="shared" si="1"/>
        <v>100060.06060045816</v>
      </c>
      <c r="D11" s="85">
        <v>-40584.37499999999</v>
      </c>
      <c r="E11" s="86">
        <f>+'2. Revenue Requirement'!$D$27/12</f>
        <v>60596.387120091626</v>
      </c>
      <c r="F11" s="86">
        <f t="shared" si="0"/>
        <v>120072.0727205498</v>
      </c>
    </row>
    <row r="12" spans="2:6" s="31" customFormat="1" ht="15">
      <c r="B12" s="79">
        <v>40360</v>
      </c>
      <c r="C12" s="86">
        <f t="shared" si="1"/>
        <v>120072.0727205498</v>
      </c>
      <c r="D12" s="85">
        <v>-40584.37499999999</v>
      </c>
      <c r="E12" s="86">
        <f>+'2. Revenue Requirement'!$D$27/12</f>
        <v>60596.387120091626</v>
      </c>
      <c r="F12" s="86">
        <f t="shared" si="0"/>
        <v>140084.08484064142</v>
      </c>
    </row>
    <row r="13" spans="2:6" s="31" customFormat="1" ht="15">
      <c r="B13" s="79">
        <v>40391</v>
      </c>
      <c r="C13" s="86">
        <f t="shared" si="1"/>
        <v>140084.08484064142</v>
      </c>
      <c r="D13" s="85">
        <v>-40584.37499999999</v>
      </c>
      <c r="E13" s="86">
        <f>+'2. Revenue Requirement'!$D$27/12</f>
        <v>60596.387120091626</v>
      </c>
      <c r="F13" s="86">
        <f t="shared" si="0"/>
        <v>160096.09696073303</v>
      </c>
    </row>
    <row r="14" spans="2:6" s="31" customFormat="1" ht="15">
      <c r="B14" s="79">
        <v>40422</v>
      </c>
      <c r="C14" s="86">
        <f t="shared" si="1"/>
        <v>160096.09696073303</v>
      </c>
      <c r="D14" s="85">
        <v>-40584.37499999999</v>
      </c>
      <c r="E14" s="86">
        <f>+'2. Revenue Requirement'!$D$27/12</f>
        <v>60596.387120091626</v>
      </c>
      <c r="F14" s="86">
        <f t="shared" si="0"/>
        <v>180108.10908082465</v>
      </c>
    </row>
    <row r="15" spans="2:6" s="31" customFormat="1" ht="15">
      <c r="B15" s="79">
        <v>40452</v>
      </c>
      <c r="C15" s="86">
        <f t="shared" si="1"/>
        <v>180108.10908082465</v>
      </c>
      <c r="D15" s="85">
        <v>-40584.37499999999</v>
      </c>
      <c r="E15" s="86">
        <f>+'2. Revenue Requirement'!$D$27/12</f>
        <v>60596.387120091626</v>
      </c>
      <c r="F15" s="86">
        <f t="shared" si="0"/>
        <v>200120.12120091627</v>
      </c>
    </row>
    <row r="16" spans="2:6" s="31" customFormat="1" ht="15">
      <c r="B16" s="79">
        <v>40483</v>
      </c>
      <c r="C16" s="86">
        <f t="shared" si="1"/>
        <v>200120.12120091627</v>
      </c>
      <c r="D16" s="85">
        <v>-40584.37499999999</v>
      </c>
      <c r="E16" s="86">
        <f>+'2. Revenue Requirement'!$D$27/12</f>
        <v>60596.387120091626</v>
      </c>
      <c r="F16" s="86">
        <f t="shared" si="0"/>
        <v>220132.1333210079</v>
      </c>
    </row>
    <row r="17" spans="2:6" s="31" customFormat="1" ht="15">
      <c r="B17" s="79">
        <v>40513</v>
      </c>
      <c r="C17" s="86">
        <f t="shared" si="1"/>
        <v>220132.1333210079</v>
      </c>
      <c r="D17" s="85">
        <v>-40584.37499999999</v>
      </c>
      <c r="E17" s="86">
        <f>+'2. Revenue Requirement'!$D$27/12</f>
        <v>60596.387120091626</v>
      </c>
      <c r="F17" s="86">
        <f t="shared" si="0"/>
        <v>240144.1454410995</v>
      </c>
    </row>
    <row r="18" spans="2:6" s="31" customFormat="1" ht="15">
      <c r="B18" s="80">
        <v>40544</v>
      </c>
      <c r="C18" s="86">
        <f t="shared" si="1"/>
        <v>240144.1454410995</v>
      </c>
      <c r="D18" s="85">
        <v>0</v>
      </c>
      <c r="E18" s="87">
        <f>+'2. Revenue Requirement'!$F$27/12</f>
        <v>97787.40599207733</v>
      </c>
      <c r="F18" s="87">
        <f>C18+D18+E18</f>
        <v>337931.55143317685</v>
      </c>
    </row>
    <row r="19" spans="2:6" s="31" customFormat="1" ht="15">
      <c r="B19" s="80">
        <v>40575</v>
      </c>
      <c r="C19" s="87">
        <f aca="true" t="shared" si="2" ref="C19:C26">F18</f>
        <v>337931.55143317685</v>
      </c>
      <c r="D19" s="85">
        <v>0</v>
      </c>
      <c r="E19" s="87">
        <f>+'2. Revenue Requirement'!$F$27/12</f>
        <v>97787.40599207733</v>
      </c>
      <c r="F19" s="87">
        <f>C19+D19+E19</f>
        <v>435718.95742525416</v>
      </c>
    </row>
    <row r="20" spans="2:6" s="31" customFormat="1" ht="15">
      <c r="B20" s="80">
        <v>40603</v>
      </c>
      <c r="C20" s="87">
        <f t="shared" si="2"/>
        <v>435718.95742525416</v>
      </c>
      <c r="D20" s="85">
        <v>0</v>
      </c>
      <c r="E20" s="87">
        <f>+'2. Revenue Requirement'!$F$27/12</f>
        <v>97787.40599207733</v>
      </c>
      <c r="F20" s="87">
        <f>C20+D20+E20</f>
        <v>533506.3634173315</v>
      </c>
    </row>
    <row r="21" spans="2:6" s="31" customFormat="1" ht="15">
      <c r="B21" s="80">
        <v>40634</v>
      </c>
      <c r="C21" s="87">
        <f t="shared" si="2"/>
        <v>533506.3634173315</v>
      </c>
      <c r="D21" s="85">
        <v>0</v>
      </c>
      <c r="E21" s="87">
        <f>+'2. Revenue Requirement'!$F$27/12</f>
        <v>97787.40599207733</v>
      </c>
      <c r="F21" s="87">
        <f>C21+D21+E21</f>
        <v>631293.7694094088</v>
      </c>
    </row>
    <row r="22" spans="2:6" ht="15">
      <c r="B22" s="80">
        <v>40664</v>
      </c>
      <c r="C22" s="87">
        <f t="shared" si="2"/>
        <v>631293.7694094088</v>
      </c>
      <c r="D22" s="85">
        <v>0</v>
      </c>
      <c r="E22" s="87">
        <f>+'2. Revenue Requirement'!$F$27/12</f>
        <v>97787.40599207733</v>
      </c>
      <c r="F22" s="87">
        <f aca="true" t="shared" si="3" ref="F22:F39">C22+D22+E22</f>
        <v>729081.1754014861</v>
      </c>
    </row>
    <row r="23" spans="2:6" ht="15">
      <c r="B23" s="80">
        <v>40695</v>
      </c>
      <c r="C23" s="87">
        <f t="shared" si="2"/>
        <v>729081.1754014861</v>
      </c>
      <c r="D23" s="85">
        <v>0</v>
      </c>
      <c r="E23" s="87">
        <f>+'2. Revenue Requirement'!$F$27/12</f>
        <v>97787.40599207733</v>
      </c>
      <c r="F23" s="87">
        <f t="shared" si="3"/>
        <v>826868.5813935634</v>
      </c>
    </row>
    <row r="24" spans="2:6" ht="15">
      <c r="B24" s="80">
        <v>40725</v>
      </c>
      <c r="C24" s="87">
        <f t="shared" si="2"/>
        <v>826868.5813935634</v>
      </c>
      <c r="D24" s="85">
        <v>0</v>
      </c>
      <c r="E24" s="87">
        <f>+'2. Revenue Requirement'!$F$27/12</f>
        <v>97787.40599207733</v>
      </c>
      <c r="F24" s="87">
        <f t="shared" si="3"/>
        <v>924655.9873856407</v>
      </c>
    </row>
    <row r="25" spans="2:6" ht="15">
      <c r="B25" s="80">
        <v>40756</v>
      </c>
      <c r="C25" s="87">
        <f t="shared" si="2"/>
        <v>924655.9873856407</v>
      </c>
      <c r="D25" s="85">
        <v>0</v>
      </c>
      <c r="E25" s="87">
        <f>+'2. Revenue Requirement'!$F$27/12</f>
        <v>97787.40599207733</v>
      </c>
      <c r="F25" s="87">
        <f t="shared" si="3"/>
        <v>1022443.393377718</v>
      </c>
    </row>
    <row r="26" spans="2:6" ht="15">
      <c r="B26" s="80">
        <v>40787</v>
      </c>
      <c r="C26" s="87">
        <f t="shared" si="2"/>
        <v>1022443.393377718</v>
      </c>
      <c r="D26" s="85">
        <v>0</v>
      </c>
      <c r="E26" s="87">
        <f>+'2. Revenue Requirement'!$F$27/12</f>
        <v>97787.40599207733</v>
      </c>
      <c r="F26" s="87">
        <f t="shared" si="3"/>
        <v>1120230.7993697955</v>
      </c>
    </row>
    <row r="27" spans="2:6" ht="15">
      <c r="B27" s="94">
        <f>+B26+31</f>
        <v>40818</v>
      </c>
      <c r="C27" s="95">
        <f>+F26</f>
        <v>1120230.7993697955</v>
      </c>
      <c r="D27" s="85">
        <v>0</v>
      </c>
      <c r="E27" s="87">
        <f>+'2. Revenue Requirement'!$F$27/12</f>
        <v>97787.40599207733</v>
      </c>
      <c r="F27" s="87">
        <f t="shared" si="3"/>
        <v>1218018.205361873</v>
      </c>
    </row>
    <row r="28" spans="2:6" ht="15">
      <c r="B28" s="94">
        <f aca="true" t="shared" si="4" ref="B28:B39">+B27+31</f>
        <v>40849</v>
      </c>
      <c r="C28" s="95">
        <f aca="true" t="shared" si="5" ref="C28:C39">+F27</f>
        <v>1218018.205361873</v>
      </c>
      <c r="D28" s="85">
        <v>0</v>
      </c>
      <c r="E28" s="87">
        <f>+'2. Revenue Requirement'!$F$27/12</f>
        <v>97787.40599207733</v>
      </c>
      <c r="F28" s="87">
        <f t="shared" si="3"/>
        <v>1315805.6113539503</v>
      </c>
    </row>
    <row r="29" spans="2:6" ht="15">
      <c r="B29" s="94">
        <f t="shared" si="4"/>
        <v>40880</v>
      </c>
      <c r="C29" s="95">
        <f t="shared" si="5"/>
        <v>1315805.6113539503</v>
      </c>
      <c r="D29" s="85">
        <v>0</v>
      </c>
      <c r="E29" s="87"/>
      <c r="F29" s="87">
        <f t="shared" si="3"/>
        <v>1315805.6113539503</v>
      </c>
    </row>
    <row r="30" spans="2:6" ht="15">
      <c r="B30" s="94">
        <f t="shared" si="4"/>
        <v>40911</v>
      </c>
      <c r="C30" s="95">
        <f t="shared" si="5"/>
        <v>1315805.6113539503</v>
      </c>
      <c r="D30" s="85">
        <v>0</v>
      </c>
      <c r="E30" s="95"/>
      <c r="F30" s="87">
        <f t="shared" si="3"/>
        <v>1315805.6113539503</v>
      </c>
    </row>
    <row r="31" spans="2:6" ht="15">
      <c r="B31" s="94">
        <f t="shared" si="4"/>
        <v>40942</v>
      </c>
      <c r="C31" s="95">
        <f t="shared" si="5"/>
        <v>1315805.6113539503</v>
      </c>
      <c r="D31" s="85">
        <v>0</v>
      </c>
      <c r="E31" s="95"/>
      <c r="F31" s="87">
        <f t="shared" si="3"/>
        <v>1315805.6113539503</v>
      </c>
    </row>
    <row r="32" spans="2:6" ht="15">
      <c r="B32" s="94">
        <f t="shared" si="4"/>
        <v>40973</v>
      </c>
      <c r="C32" s="95">
        <f t="shared" si="5"/>
        <v>1315805.6113539503</v>
      </c>
      <c r="D32" s="85">
        <v>0</v>
      </c>
      <c r="E32" s="95"/>
      <c r="F32" s="87">
        <f t="shared" si="3"/>
        <v>1315805.6113539503</v>
      </c>
    </row>
    <row r="33" spans="2:6" ht="15">
      <c r="B33" s="94">
        <f t="shared" si="4"/>
        <v>41004</v>
      </c>
      <c r="C33" s="95">
        <f t="shared" si="5"/>
        <v>1315805.6113539503</v>
      </c>
      <c r="D33" s="85">
        <v>0</v>
      </c>
      <c r="E33" s="95"/>
      <c r="F33" s="87">
        <f t="shared" si="3"/>
        <v>1315805.6113539503</v>
      </c>
    </row>
    <row r="34" spans="2:6" ht="15">
      <c r="B34" s="94">
        <f t="shared" si="4"/>
        <v>41035</v>
      </c>
      <c r="C34" s="95">
        <f t="shared" si="5"/>
        <v>1315805.6113539503</v>
      </c>
      <c r="D34" s="85">
        <v>0</v>
      </c>
      <c r="E34" s="95"/>
      <c r="F34" s="87">
        <f t="shared" si="3"/>
        <v>1315805.6113539503</v>
      </c>
    </row>
    <row r="35" spans="2:6" ht="15">
      <c r="B35" s="94">
        <f t="shared" si="4"/>
        <v>41066</v>
      </c>
      <c r="C35" s="95">
        <f t="shared" si="5"/>
        <v>1315805.6113539503</v>
      </c>
      <c r="D35" s="85">
        <v>0</v>
      </c>
      <c r="E35" s="95"/>
      <c r="F35" s="87">
        <f t="shared" si="3"/>
        <v>1315805.6113539503</v>
      </c>
    </row>
    <row r="36" spans="2:6" ht="15">
      <c r="B36" s="94">
        <f t="shared" si="4"/>
        <v>41097</v>
      </c>
      <c r="C36" s="95">
        <f t="shared" si="5"/>
        <v>1315805.6113539503</v>
      </c>
      <c r="D36" s="85">
        <v>0</v>
      </c>
      <c r="E36" s="95"/>
      <c r="F36" s="87">
        <f t="shared" si="3"/>
        <v>1315805.6113539503</v>
      </c>
    </row>
    <row r="37" spans="2:6" ht="15">
      <c r="B37" s="94">
        <f t="shared" si="4"/>
        <v>41128</v>
      </c>
      <c r="C37" s="95">
        <f t="shared" si="5"/>
        <v>1315805.6113539503</v>
      </c>
      <c r="D37" s="85">
        <v>0</v>
      </c>
      <c r="E37" s="95"/>
      <c r="F37" s="87">
        <f t="shared" si="3"/>
        <v>1315805.6113539503</v>
      </c>
    </row>
    <row r="38" spans="2:6" ht="15">
      <c r="B38" s="94">
        <f t="shared" si="4"/>
        <v>41159</v>
      </c>
      <c r="C38" s="95">
        <f t="shared" si="5"/>
        <v>1315805.6113539503</v>
      </c>
      <c r="D38" s="85">
        <v>0</v>
      </c>
      <c r="E38" s="95"/>
      <c r="F38" s="87">
        <f t="shared" si="3"/>
        <v>1315805.6113539503</v>
      </c>
    </row>
    <row r="39" spans="2:6" ht="15.75" thickBot="1">
      <c r="B39" s="94">
        <f t="shared" si="4"/>
        <v>41190</v>
      </c>
      <c r="C39" s="95">
        <f t="shared" si="5"/>
        <v>1315805.6113539503</v>
      </c>
      <c r="D39" s="85">
        <v>0</v>
      </c>
      <c r="E39" s="95"/>
      <c r="F39" s="87">
        <f t="shared" si="3"/>
        <v>1315805.6113539503</v>
      </c>
    </row>
    <row r="40" spans="2:6" ht="15.75" thickBot="1">
      <c r="B40" s="83" t="s">
        <v>82</v>
      </c>
      <c r="C40" s="88"/>
      <c r="D40" s="89">
        <f>SUM(D6:D39)</f>
        <v>-487012.49999999994</v>
      </c>
      <c r="E40" s="89">
        <f>SUM(E6:E39)</f>
        <v>1802818.1113539508</v>
      </c>
      <c r="F40" s="88">
        <f>+D40+E40</f>
        <v>1315805.6113539508</v>
      </c>
    </row>
    <row r="41" spans="2:6" ht="15">
      <c r="B41" s="32"/>
      <c r="C41" s="90"/>
      <c r="D41" s="91"/>
      <c r="E41" s="91"/>
      <c r="F41" s="90"/>
    </row>
    <row r="42" spans="3:6" ht="32.25" thickBot="1">
      <c r="C42" s="108" t="s">
        <v>95</v>
      </c>
      <c r="D42" s="82" t="s">
        <v>54</v>
      </c>
      <c r="E42" s="82" t="s">
        <v>8</v>
      </c>
      <c r="F42" s="90"/>
    </row>
    <row r="43" spans="3:6" ht="15">
      <c r="C43" s="105" t="s">
        <v>87</v>
      </c>
      <c r="D43" s="106">
        <f>SUM(D6:D17)</f>
        <v>-487012.49999999994</v>
      </c>
      <c r="E43" s="107">
        <f>SUM(E6:E17)</f>
        <v>727156.6454410994</v>
      </c>
      <c r="F43" s="92"/>
    </row>
    <row r="44" spans="3:6" ht="15.75" thickBot="1">
      <c r="C44" s="109" t="s">
        <v>88</v>
      </c>
      <c r="D44" s="110">
        <f>SUM(D18:D39)</f>
        <v>0</v>
      </c>
      <c r="E44" s="95">
        <f>SUM(E18:E29)</f>
        <v>1075661.4659128506</v>
      </c>
      <c r="F44" s="92"/>
    </row>
    <row r="45" spans="3:6" ht="16.5" thickBot="1">
      <c r="C45" s="111" t="s">
        <v>82</v>
      </c>
      <c r="D45" s="112">
        <f>SUM(D43:D44)</f>
        <v>-487012.49999999994</v>
      </c>
      <c r="E45" s="112">
        <f>SUM(E43:E44)</f>
        <v>1802818.11135395</v>
      </c>
      <c r="F45" s="92"/>
    </row>
    <row r="47" ht="15.75">
      <c r="B47" s="40" t="s">
        <v>99</v>
      </c>
    </row>
  </sheetData>
  <printOptions/>
  <pageMargins left="0.75" right="0.57" top="0.69" bottom="0.43" header="0.32" footer="0.17"/>
  <pageSetup fitToHeight="1" fitToWidth="1" horizontalDpi="600" verticalDpi="600" orientation="portrait" scale="97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">
      <selection activeCell="G34" sqref="G34"/>
    </sheetView>
  </sheetViews>
  <sheetFormatPr defaultColWidth="8.88671875" defaultRowHeight="15"/>
  <cols>
    <col min="1" max="1" width="10.5546875" style="0" customWidth="1"/>
    <col min="2" max="2" width="11.3359375" style="0" customWidth="1"/>
    <col min="3" max="3" width="9.5546875" style="0" customWidth="1"/>
    <col min="4" max="6" width="11.3359375" style="0" customWidth="1"/>
  </cols>
  <sheetData>
    <row r="1" spans="1:256" ht="18">
      <c r="A1" s="78" t="str">
        <f>+'1. Recovery of Smart Meter Cost'!B2</f>
        <v>PowerStream Inc. - South  GS&lt;50kW     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18">
      <c r="A2" s="78" t="str">
        <f>+'1. Recovery of Smart Meter Cost'!B3</f>
        <v>Smart Meter Cost Recovery Model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ht="15.75">
      <c r="A4" s="40" t="s">
        <v>96</v>
      </c>
    </row>
    <row r="5" spans="1:8" ht="63.75" thickBot="1">
      <c r="A5" s="82" t="s">
        <v>52</v>
      </c>
      <c r="B5" s="82" t="s">
        <v>59</v>
      </c>
      <c r="C5" s="132" t="s">
        <v>60</v>
      </c>
      <c r="D5" s="132" t="s">
        <v>61</v>
      </c>
      <c r="E5" s="132" t="s">
        <v>62</v>
      </c>
      <c r="F5" s="132" t="s">
        <v>63</v>
      </c>
      <c r="G5" s="31" t="s">
        <v>57</v>
      </c>
      <c r="H5" s="31"/>
    </row>
    <row r="6" spans="1:8" ht="15">
      <c r="A6" s="81">
        <f>+'5. Recovery Principal'!B6</f>
        <v>40179</v>
      </c>
      <c r="B6" s="127">
        <f>+'5. Recovery Principal'!C6</f>
        <v>0</v>
      </c>
      <c r="C6" s="128">
        <v>31</v>
      </c>
      <c r="D6" s="129">
        <v>0.0055</v>
      </c>
      <c r="E6" s="130">
        <f aca="true" t="shared" si="0" ref="E6:E17">B6*D6/365*C6</f>
        <v>0</v>
      </c>
      <c r="F6" s="131">
        <f>+E6</f>
        <v>0</v>
      </c>
      <c r="G6" s="31"/>
      <c r="H6" s="31"/>
    </row>
    <row r="7" spans="1:8" ht="15">
      <c r="A7" s="79">
        <f>+'5. Recovery Principal'!B7</f>
        <v>40210</v>
      </c>
      <c r="B7" s="124">
        <f>+'5. Recovery Principal'!C7</f>
        <v>20012.012120091633</v>
      </c>
      <c r="C7" s="113">
        <v>28</v>
      </c>
      <c r="D7" s="114">
        <v>0.0055</v>
      </c>
      <c r="E7" s="116">
        <f t="shared" si="0"/>
        <v>8.443424291764687</v>
      </c>
      <c r="F7" s="125">
        <f>+F6+E7</f>
        <v>8.443424291764687</v>
      </c>
      <c r="G7" s="31"/>
      <c r="H7" s="31"/>
    </row>
    <row r="8" spans="1:8" ht="15">
      <c r="A8" s="79">
        <f>+'5. Recovery Principal'!B8</f>
        <v>40238</v>
      </c>
      <c r="B8" s="124">
        <f>+'5. Recovery Principal'!C8</f>
        <v>40024.024240183266</v>
      </c>
      <c r="C8" s="113">
        <v>31</v>
      </c>
      <c r="D8" s="114">
        <v>0.0055</v>
      </c>
      <c r="E8" s="116">
        <f t="shared" si="0"/>
        <v>18.696153788907523</v>
      </c>
      <c r="F8" s="125">
        <f aca="true" t="shared" si="1" ref="F8:F26">+F7+E8</f>
        <v>27.13957808067221</v>
      </c>
      <c r="G8" s="31"/>
      <c r="H8" s="31"/>
    </row>
    <row r="9" spans="1:8" ht="15">
      <c r="A9" s="79">
        <f>+'5. Recovery Principal'!B9</f>
        <v>40269</v>
      </c>
      <c r="B9" s="124">
        <f>+'5. Recovery Principal'!C9</f>
        <v>60036.0363602749</v>
      </c>
      <c r="C9" s="113">
        <v>30</v>
      </c>
      <c r="D9" s="114">
        <v>0.0055</v>
      </c>
      <c r="E9" s="116">
        <f t="shared" si="0"/>
        <v>27.139578080672216</v>
      </c>
      <c r="F9" s="125">
        <f t="shared" si="1"/>
        <v>54.279156161344424</v>
      </c>
      <c r="G9" s="31"/>
      <c r="H9" s="31"/>
    </row>
    <row r="10" spans="1:8" ht="15">
      <c r="A10" s="79">
        <f>+'5. Recovery Principal'!B10</f>
        <v>40299</v>
      </c>
      <c r="B10" s="124">
        <f>+'5. Recovery Principal'!C10</f>
        <v>80048.04848036653</v>
      </c>
      <c r="C10" s="115">
        <v>31</v>
      </c>
      <c r="D10" s="114">
        <v>0.0055</v>
      </c>
      <c r="E10" s="116">
        <f t="shared" si="0"/>
        <v>37.392307577815046</v>
      </c>
      <c r="F10" s="125">
        <f t="shared" si="1"/>
        <v>91.67146373915946</v>
      </c>
      <c r="G10" s="31"/>
      <c r="H10" s="31"/>
    </row>
    <row r="11" spans="1:8" ht="15">
      <c r="A11" s="79">
        <f>+'5. Recovery Principal'!B11</f>
        <v>40330</v>
      </c>
      <c r="B11" s="124">
        <f>+'5. Recovery Principal'!C11</f>
        <v>100060.06060045816</v>
      </c>
      <c r="C11" s="115">
        <v>30</v>
      </c>
      <c r="D11" s="114">
        <v>0.0055</v>
      </c>
      <c r="E11" s="116">
        <f t="shared" si="0"/>
        <v>45.23263013445369</v>
      </c>
      <c r="F11" s="125">
        <f t="shared" si="1"/>
        <v>136.90409387361316</v>
      </c>
      <c r="G11" s="31"/>
      <c r="H11" s="31"/>
    </row>
    <row r="12" spans="1:8" ht="15">
      <c r="A12" s="79">
        <f>+'5. Recovery Principal'!B12</f>
        <v>40360</v>
      </c>
      <c r="B12" s="124">
        <f>+'5. Recovery Principal'!C12</f>
        <v>120072.0727205498</v>
      </c>
      <c r="C12" s="115">
        <v>31</v>
      </c>
      <c r="D12" s="114">
        <v>0.0089</v>
      </c>
      <c r="E12" s="116">
        <f t="shared" si="0"/>
        <v>90.7613283934238</v>
      </c>
      <c r="F12" s="125">
        <f t="shared" si="1"/>
        <v>227.66542226703694</v>
      </c>
      <c r="G12" s="31"/>
      <c r="H12" s="31"/>
    </row>
    <row r="13" spans="1:8" ht="15">
      <c r="A13" s="79">
        <f>+'5. Recovery Principal'!B13</f>
        <v>40391</v>
      </c>
      <c r="B13" s="124">
        <f>+'5. Recovery Principal'!C13</f>
        <v>140084.08484064142</v>
      </c>
      <c r="C13" s="115">
        <v>31</v>
      </c>
      <c r="D13" s="114">
        <f>+D12</f>
        <v>0.0089</v>
      </c>
      <c r="E13" s="116">
        <f t="shared" si="0"/>
        <v>105.88821645899442</v>
      </c>
      <c r="F13" s="125">
        <f t="shared" si="1"/>
        <v>333.55363872603135</v>
      </c>
      <c r="G13" s="31"/>
      <c r="H13" s="31"/>
    </row>
    <row r="14" spans="1:8" ht="15">
      <c r="A14" s="79">
        <f>+'5. Recovery Principal'!B14</f>
        <v>40422</v>
      </c>
      <c r="B14" s="124">
        <f>+'5. Recovery Principal'!C14</f>
        <v>160096.09696073303</v>
      </c>
      <c r="C14" s="115">
        <v>30</v>
      </c>
      <c r="D14" s="114">
        <f aca="true" t="shared" si="2" ref="D14:D28">+D13</f>
        <v>0.0089</v>
      </c>
      <c r="E14" s="116">
        <f t="shared" si="0"/>
        <v>117.11139147538555</v>
      </c>
      <c r="F14" s="125">
        <f t="shared" si="1"/>
        <v>450.6650302014169</v>
      </c>
      <c r="G14" s="31"/>
      <c r="H14" s="31"/>
    </row>
    <row r="15" spans="1:8" ht="15">
      <c r="A15" s="79">
        <f>+'5. Recovery Principal'!B15</f>
        <v>40452</v>
      </c>
      <c r="B15" s="124">
        <f>+'5. Recovery Principal'!C15</f>
        <v>180108.10908082465</v>
      </c>
      <c r="C15" s="115">
        <v>31</v>
      </c>
      <c r="D15" s="114">
        <v>0.012</v>
      </c>
      <c r="E15" s="116">
        <f t="shared" si="0"/>
        <v>183.56223720018292</v>
      </c>
      <c r="F15" s="125">
        <f t="shared" si="1"/>
        <v>634.2272674015999</v>
      </c>
      <c r="G15" s="31"/>
      <c r="H15" s="31"/>
    </row>
    <row r="16" spans="1:8" ht="15">
      <c r="A16" s="79">
        <f>+'5. Recovery Principal'!B16</f>
        <v>40483</v>
      </c>
      <c r="B16" s="124">
        <f>+'5. Recovery Principal'!C16</f>
        <v>200120.12120091627</v>
      </c>
      <c r="C16" s="115">
        <v>30</v>
      </c>
      <c r="D16" s="114">
        <f t="shared" si="2"/>
        <v>0.012</v>
      </c>
      <c r="E16" s="116">
        <f t="shared" si="0"/>
        <v>197.37874967761604</v>
      </c>
      <c r="F16" s="125">
        <f t="shared" si="1"/>
        <v>831.6060170792159</v>
      </c>
      <c r="G16" s="31"/>
      <c r="H16" s="31"/>
    </row>
    <row r="17" spans="1:8" ht="15">
      <c r="A17" s="79">
        <f>+'5. Recovery Principal'!B17</f>
        <v>40513</v>
      </c>
      <c r="B17" s="124">
        <f>+'5. Recovery Principal'!C17</f>
        <v>220132.1333210079</v>
      </c>
      <c r="C17" s="115">
        <v>31</v>
      </c>
      <c r="D17" s="114">
        <f t="shared" si="2"/>
        <v>0.012</v>
      </c>
      <c r="E17" s="116">
        <f t="shared" si="0"/>
        <v>224.35384546689025</v>
      </c>
      <c r="F17" s="125">
        <f t="shared" si="1"/>
        <v>1055.9598625461063</v>
      </c>
      <c r="G17" s="31"/>
      <c r="H17" s="31"/>
    </row>
    <row r="18" spans="1:8" ht="15">
      <c r="A18" s="80">
        <f>'5. Recovery Principal'!B18</f>
        <v>40544</v>
      </c>
      <c r="B18" s="116">
        <f>'5. Recovery Principal'!C18</f>
        <v>240144.1454410995</v>
      </c>
      <c r="C18" s="113">
        <v>31</v>
      </c>
      <c r="D18" s="114">
        <v>0.0147</v>
      </c>
      <c r="E18" s="116">
        <f aca="true" t="shared" si="3" ref="E18:E26">B18*D18/365*C18</f>
        <v>299.8183207602987</v>
      </c>
      <c r="F18" s="125">
        <f t="shared" si="1"/>
        <v>1355.778183306405</v>
      </c>
      <c r="G18" s="31"/>
      <c r="H18" s="31"/>
    </row>
    <row r="19" spans="1:8" ht="15">
      <c r="A19" s="80">
        <f>'5. Recovery Principal'!B19</f>
        <v>40575</v>
      </c>
      <c r="B19" s="116">
        <f>'5. Recovery Principal'!C19</f>
        <v>337931.55143317685</v>
      </c>
      <c r="C19" s="113">
        <v>28</v>
      </c>
      <c r="D19" s="114">
        <f t="shared" si="2"/>
        <v>0.0147</v>
      </c>
      <c r="E19" s="116">
        <f t="shared" si="3"/>
        <v>381.07568923259066</v>
      </c>
      <c r="F19" s="125">
        <f t="shared" si="1"/>
        <v>1736.8538725389958</v>
      </c>
      <c r="G19" s="31"/>
      <c r="H19" s="31"/>
    </row>
    <row r="20" spans="1:8" ht="15">
      <c r="A20" s="80">
        <f>'5. Recovery Principal'!B20</f>
        <v>40603</v>
      </c>
      <c r="B20" s="116">
        <f>'5. Recovery Principal'!C20</f>
        <v>435718.95742525416</v>
      </c>
      <c r="C20" s="113">
        <v>31</v>
      </c>
      <c r="D20" s="114">
        <f t="shared" si="2"/>
        <v>0.0147</v>
      </c>
      <c r="E20" s="116">
        <f t="shared" si="3"/>
        <v>543.992133969009</v>
      </c>
      <c r="F20" s="125">
        <f t="shared" si="1"/>
        <v>2280.846006508005</v>
      </c>
      <c r="G20" s="31"/>
      <c r="H20" s="31"/>
    </row>
    <row r="21" spans="1:8" ht="15">
      <c r="A21" s="80">
        <f>'5. Recovery Principal'!B21</f>
        <v>40634</v>
      </c>
      <c r="B21" s="116">
        <f>'5. Recovery Principal'!C21</f>
        <v>533506.3634173315</v>
      </c>
      <c r="C21" s="113">
        <v>30</v>
      </c>
      <c r="D21" s="114">
        <f t="shared" si="2"/>
        <v>0.0147</v>
      </c>
      <c r="E21" s="116">
        <f t="shared" si="3"/>
        <v>644.5926199097073</v>
      </c>
      <c r="F21" s="125">
        <f t="shared" si="1"/>
        <v>2925.438626417712</v>
      </c>
      <c r="G21" s="31"/>
      <c r="H21" s="31"/>
    </row>
    <row r="22" spans="1:7" ht="15">
      <c r="A22" s="80">
        <f>'5. Recovery Principal'!B22</f>
        <v>40664</v>
      </c>
      <c r="B22" s="116">
        <f>'5. Recovery Principal'!C22</f>
        <v>631293.7694094088</v>
      </c>
      <c r="C22" s="115">
        <v>31</v>
      </c>
      <c r="D22" s="114">
        <f t="shared" si="2"/>
        <v>0.0147</v>
      </c>
      <c r="E22" s="116">
        <f t="shared" si="3"/>
        <v>788.1659471777194</v>
      </c>
      <c r="F22" s="125">
        <f t="shared" si="1"/>
        <v>3713.6045735954312</v>
      </c>
      <c r="G22" t="s">
        <v>57</v>
      </c>
    </row>
    <row r="23" spans="1:7" ht="15">
      <c r="A23" s="80">
        <f>'5. Recovery Principal'!B23</f>
        <v>40695</v>
      </c>
      <c r="B23" s="116">
        <f>'5. Recovery Principal'!C23</f>
        <v>729081.1754014861</v>
      </c>
      <c r="C23" s="115">
        <v>30</v>
      </c>
      <c r="D23" s="114">
        <f t="shared" si="2"/>
        <v>0.0147</v>
      </c>
      <c r="E23" s="116">
        <f t="shared" si="3"/>
        <v>880.8898584987818</v>
      </c>
      <c r="F23" s="125">
        <f t="shared" si="1"/>
        <v>4594.494432094213</v>
      </c>
      <c r="G23" t="s">
        <v>57</v>
      </c>
    </row>
    <row r="24" spans="1:7" ht="15">
      <c r="A24" s="80">
        <f>'5. Recovery Principal'!B24</f>
        <v>40725</v>
      </c>
      <c r="B24" s="116">
        <f>'5. Recovery Principal'!C24</f>
        <v>826868.5813935634</v>
      </c>
      <c r="C24" s="115">
        <v>31</v>
      </c>
      <c r="D24" s="114">
        <f t="shared" si="2"/>
        <v>0.0147</v>
      </c>
      <c r="E24" s="116">
        <f t="shared" si="3"/>
        <v>1032.3397603864296</v>
      </c>
      <c r="F24" s="125">
        <f t="shared" si="1"/>
        <v>5626.834192480643</v>
      </c>
      <c r="G24" t="s">
        <v>57</v>
      </c>
    </row>
    <row r="25" spans="1:7" ht="15">
      <c r="A25" s="80">
        <f>'5. Recovery Principal'!B25</f>
        <v>40756</v>
      </c>
      <c r="B25" s="116">
        <f>'5. Recovery Principal'!C25</f>
        <v>924655.9873856407</v>
      </c>
      <c r="C25" s="115">
        <v>31</v>
      </c>
      <c r="D25" s="114">
        <f t="shared" si="2"/>
        <v>0.0147</v>
      </c>
      <c r="E25" s="116">
        <f t="shared" si="3"/>
        <v>1154.426666990785</v>
      </c>
      <c r="F25" s="125">
        <f t="shared" si="1"/>
        <v>6781.2608594714275</v>
      </c>
      <c r="G25" t="s">
        <v>57</v>
      </c>
    </row>
    <row r="26" spans="1:7" ht="15">
      <c r="A26" s="80">
        <f>'5. Recovery Principal'!B26</f>
        <v>40787</v>
      </c>
      <c r="B26" s="116">
        <f>'5. Recovery Principal'!C26</f>
        <v>1022443.393377718</v>
      </c>
      <c r="C26" s="115">
        <v>30</v>
      </c>
      <c r="D26" s="114">
        <f t="shared" si="2"/>
        <v>0.0147</v>
      </c>
      <c r="E26" s="116">
        <f t="shared" si="3"/>
        <v>1235.3357163823937</v>
      </c>
      <c r="F26" s="125">
        <f t="shared" si="1"/>
        <v>8016.596575853821</v>
      </c>
      <c r="G26" t="s">
        <v>57</v>
      </c>
    </row>
    <row r="27" spans="1:7" ht="15">
      <c r="A27" s="80">
        <f>'5. Recovery Principal'!B27</f>
        <v>40818</v>
      </c>
      <c r="B27" s="116">
        <f>'5. Recovery Principal'!C27</f>
        <v>1120230.7993697955</v>
      </c>
      <c r="C27" s="115">
        <v>31</v>
      </c>
      <c r="D27" s="114">
        <f t="shared" si="2"/>
        <v>0.0147</v>
      </c>
      <c r="E27" s="116">
        <f>B27*D27/365*C27</f>
        <v>1398.6004801994952</v>
      </c>
      <c r="F27" s="125">
        <f>+F26+E27</f>
        <v>9415.197056053317</v>
      </c>
      <c r="G27" t="s">
        <v>57</v>
      </c>
    </row>
    <row r="28" spans="1:6" ht="15">
      <c r="A28" s="80">
        <f>'5. Recovery Principal'!B28</f>
        <v>40849</v>
      </c>
      <c r="B28" s="116">
        <f>'5. Recovery Principal'!C28</f>
        <v>1218018.205361873</v>
      </c>
      <c r="C28" s="115">
        <v>30</v>
      </c>
      <c r="D28" s="114">
        <f t="shared" si="2"/>
        <v>0.0147</v>
      </c>
      <c r="E28" s="116">
        <f>B28*D28/365*C28</f>
        <v>1471.6329549714683</v>
      </c>
      <c r="F28" s="125">
        <f>+F27+E28</f>
        <v>10886.830011024786</v>
      </c>
    </row>
    <row r="29" spans="1:6" ht="15">
      <c r="A29" s="32"/>
      <c r="B29" s="3"/>
      <c r="C29" s="33"/>
      <c r="D29" s="34"/>
      <c r="E29" s="42"/>
      <c r="F29" s="42"/>
    </row>
    <row r="30" spans="1:6" ht="15.75">
      <c r="A30" s="32"/>
      <c r="C30" s="119"/>
      <c r="D30" s="126" t="s">
        <v>95</v>
      </c>
      <c r="E30" s="104" t="s">
        <v>62</v>
      </c>
      <c r="F30" s="42"/>
    </row>
    <row r="31" spans="1:6" ht="15">
      <c r="A31" s="32"/>
      <c r="C31" s="119"/>
      <c r="D31" s="117" t="s">
        <v>87</v>
      </c>
      <c r="E31" s="116">
        <f>SUM(E6:E17)</f>
        <v>1055.9598625461063</v>
      </c>
      <c r="F31" s="42"/>
    </row>
    <row r="32" spans="3:5" ht="15">
      <c r="C32" s="120"/>
      <c r="D32" s="118" t="s">
        <v>88</v>
      </c>
      <c r="E32" s="122">
        <f>SUM(E18:E28)</f>
        <v>9830.87014847868</v>
      </c>
    </row>
    <row r="33" spans="4:5" ht="15.75">
      <c r="D33" s="121" t="s">
        <v>82</v>
      </c>
      <c r="E33" s="123">
        <f>SUM(E31:E32)</f>
        <v>10886.830011024786</v>
      </c>
    </row>
  </sheetData>
  <printOptions/>
  <pageMargins left="0.75" right="0.75" top="0.77" bottom="0.55" header="0.5" footer="0.32"/>
  <pageSetup horizontalDpi="600" verticalDpi="600" orientation="portrait" scale="98" r:id="rId1"/>
  <headerFooter alignWithMargins="0">
    <oddFooter>&amp;R&amp;9&amp;A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26" sqref="B26:B27"/>
    </sheetView>
  </sheetViews>
  <sheetFormatPr defaultColWidth="8.88671875" defaultRowHeight="15"/>
  <cols>
    <col min="1" max="1" width="11.99609375" style="0" customWidth="1"/>
    <col min="2" max="3" width="14.99609375" style="0" customWidth="1"/>
    <col min="4" max="4" width="15.99609375" style="0" customWidth="1"/>
    <col min="5" max="5" width="14.99609375" style="0" customWidth="1"/>
    <col min="7" max="7" width="13.99609375" style="0" bestFit="1" customWidth="1"/>
    <col min="9" max="9" width="10.6640625" style="0" customWidth="1"/>
  </cols>
  <sheetData>
    <row r="1" ht="15">
      <c r="A1" t="s">
        <v>51</v>
      </c>
    </row>
    <row r="2" spans="1:7" s="31" customFormat="1" ht="45">
      <c r="A2" s="41" t="s">
        <v>52</v>
      </c>
      <c r="B2" s="41" t="s">
        <v>53</v>
      </c>
      <c r="C2" s="41" t="s">
        <v>54</v>
      </c>
      <c r="D2" s="41" t="s">
        <v>8</v>
      </c>
      <c r="E2" s="41" t="s">
        <v>56</v>
      </c>
      <c r="F2" s="31" t="s">
        <v>57</v>
      </c>
      <c r="G2" s="31" t="s">
        <v>55</v>
      </c>
    </row>
    <row r="3" spans="1:8" ht="15">
      <c r="A3" s="32">
        <v>38838</v>
      </c>
      <c r="B3" s="2">
        <v>0</v>
      </c>
      <c r="C3" s="2">
        <v>-53082</v>
      </c>
      <c r="D3" s="2" t="e">
        <f>'2. Revenue Requirement'!#REF!*'Table 1'!H3</f>
        <v>#REF!</v>
      </c>
      <c r="E3" s="2" t="e">
        <f>B3+C3+D3</f>
        <v>#REF!</v>
      </c>
      <c r="F3" t="s">
        <v>57</v>
      </c>
      <c r="G3" s="1">
        <v>0</v>
      </c>
      <c r="H3" s="36">
        <f>G3/$G$10</f>
        <v>0</v>
      </c>
    </row>
    <row r="4" spans="1:8" ht="15">
      <c r="A4" s="32">
        <v>38869</v>
      </c>
      <c r="B4" s="2" t="e">
        <f>E3</f>
        <v>#REF!</v>
      </c>
      <c r="C4" s="2">
        <v>-55204</v>
      </c>
      <c r="D4" s="2" t="e">
        <f>'2. Revenue Requirement'!#REF!*'Table 1'!H4</f>
        <v>#REF!</v>
      </c>
      <c r="E4" s="2" t="e">
        <f aca="true" t="shared" si="0" ref="E4:E38">B4+C4+D4</f>
        <v>#REF!</v>
      </c>
      <c r="F4" t="s">
        <v>57</v>
      </c>
      <c r="G4" s="1">
        <v>0</v>
      </c>
      <c r="H4" s="36">
        <f aca="true" t="shared" si="1" ref="H4:H10">G4/$G$10</f>
        <v>0</v>
      </c>
    </row>
    <row r="5" spans="1:8" ht="15">
      <c r="A5" s="32">
        <v>38899</v>
      </c>
      <c r="B5" s="2" t="e">
        <f aca="true" t="shared" si="2" ref="B5:B38">E4</f>
        <v>#REF!</v>
      </c>
      <c r="C5" s="2">
        <v>-58518</v>
      </c>
      <c r="D5" s="2" t="e">
        <f>'2. Revenue Requirement'!#REF!*'Table 1'!H5</f>
        <v>#REF!</v>
      </c>
      <c r="E5" s="2" t="e">
        <f t="shared" si="0"/>
        <v>#REF!</v>
      </c>
      <c r="F5" t="s">
        <v>57</v>
      </c>
      <c r="G5" s="1">
        <v>0</v>
      </c>
      <c r="H5" s="36">
        <f t="shared" si="1"/>
        <v>0</v>
      </c>
    </row>
    <row r="6" spans="1:8" ht="15">
      <c r="A6" s="32">
        <v>38930</v>
      </c>
      <c r="B6" s="2" t="e">
        <f t="shared" si="2"/>
        <v>#REF!</v>
      </c>
      <c r="C6" s="2">
        <v>-61423</v>
      </c>
      <c r="D6" s="2" t="e">
        <f>'2. Revenue Requirement'!#REF!*'Table 1'!H6</f>
        <v>#REF!</v>
      </c>
      <c r="E6" s="2" t="e">
        <f t="shared" si="0"/>
        <v>#REF!</v>
      </c>
      <c r="F6" t="s">
        <v>57</v>
      </c>
      <c r="G6" s="1">
        <v>0</v>
      </c>
      <c r="H6" s="36">
        <f t="shared" si="1"/>
        <v>0</v>
      </c>
    </row>
    <row r="7" spans="1:8" ht="15">
      <c r="A7" s="32">
        <v>38961</v>
      </c>
      <c r="B7" s="2" t="e">
        <f t="shared" si="2"/>
        <v>#REF!</v>
      </c>
      <c r="C7" s="2">
        <v>-59434</v>
      </c>
      <c r="D7" s="2" t="e">
        <f>'2. Revenue Requirement'!#REF!*'Table 1'!H7</f>
        <v>#REF!</v>
      </c>
      <c r="E7" s="2" t="e">
        <f t="shared" si="0"/>
        <v>#REF!</v>
      </c>
      <c r="F7" t="s">
        <v>57</v>
      </c>
      <c r="G7" s="1">
        <v>0</v>
      </c>
      <c r="H7" s="36">
        <f t="shared" si="1"/>
        <v>0</v>
      </c>
    </row>
    <row r="8" spans="1:8" ht="15">
      <c r="A8" s="32">
        <v>38991</v>
      </c>
      <c r="B8" s="2" t="e">
        <f t="shared" si="2"/>
        <v>#REF!</v>
      </c>
      <c r="C8" s="2">
        <v>-60877</v>
      </c>
      <c r="D8" s="2" t="e">
        <f>'2. Revenue Requirement'!#REF!*'Table 1'!H8</f>
        <v>#REF!</v>
      </c>
      <c r="E8" s="2" t="e">
        <f t="shared" si="0"/>
        <v>#REF!</v>
      </c>
      <c r="F8" t="s">
        <v>57</v>
      </c>
      <c r="G8" s="1">
        <v>0</v>
      </c>
      <c r="H8" s="36">
        <f t="shared" si="1"/>
        <v>0</v>
      </c>
    </row>
    <row r="9" spans="1:8" ht="15">
      <c r="A9" s="32">
        <v>39022</v>
      </c>
      <c r="B9" s="2" t="e">
        <f t="shared" si="2"/>
        <v>#REF!</v>
      </c>
      <c r="C9" s="2">
        <v>-62646</v>
      </c>
      <c r="D9" s="2" t="e">
        <f>'2. Revenue Requirement'!#REF!*'Table 1'!H9</f>
        <v>#REF!</v>
      </c>
      <c r="E9" s="2" t="e">
        <f t="shared" si="0"/>
        <v>#REF!</v>
      </c>
      <c r="F9" t="s">
        <v>57</v>
      </c>
      <c r="G9" s="1">
        <v>0</v>
      </c>
      <c r="H9" s="36">
        <f t="shared" si="1"/>
        <v>0</v>
      </c>
    </row>
    <row r="10" spans="1:8" ht="15">
      <c r="A10" s="32">
        <v>39052</v>
      </c>
      <c r="B10" s="2" t="e">
        <f t="shared" si="2"/>
        <v>#REF!</v>
      </c>
      <c r="C10" s="2">
        <v>-61058</v>
      </c>
      <c r="D10" s="2" t="e">
        <f>'2. Revenue Requirement'!#REF!*'Table 1'!H10</f>
        <v>#REF!</v>
      </c>
      <c r="E10" s="2" t="e">
        <f t="shared" si="0"/>
        <v>#REF!</v>
      </c>
      <c r="F10" t="s">
        <v>57</v>
      </c>
      <c r="G10" s="1">
        <v>64018</v>
      </c>
      <c r="H10" s="36">
        <f t="shared" si="1"/>
        <v>1</v>
      </c>
    </row>
    <row r="11" spans="1:8" ht="15">
      <c r="A11" s="32">
        <v>39083</v>
      </c>
      <c r="B11" s="2" t="e">
        <f t="shared" si="2"/>
        <v>#REF!</v>
      </c>
      <c r="C11" s="2">
        <v>-62549</v>
      </c>
      <c r="D11" s="2" t="e">
        <f>'2. Revenue Requirement'!#REF!*H11</f>
        <v>#REF!</v>
      </c>
      <c r="E11" s="2" t="e">
        <f t="shared" si="0"/>
        <v>#REF!</v>
      </c>
      <c r="F11" t="s">
        <v>57</v>
      </c>
      <c r="G11" s="1">
        <v>0</v>
      </c>
      <c r="H11" s="37">
        <f aca="true" t="shared" si="3" ref="H11:H22">G11/$G$41</f>
        <v>0</v>
      </c>
    </row>
    <row r="12" spans="1:8" ht="15">
      <c r="A12" s="32">
        <v>39114</v>
      </c>
      <c r="B12" s="2" t="e">
        <f t="shared" si="2"/>
        <v>#REF!</v>
      </c>
      <c r="C12" s="2">
        <v>-57342</v>
      </c>
      <c r="D12" s="2" t="e">
        <f>'2. Revenue Requirement'!#REF!*H12</f>
        <v>#REF!</v>
      </c>
      <c r="E12" s="2" t="e">
        <f t="shared" si="0"/>
        <v>#REF!</v>
      </c>
      <c r="F12" t="s">
        <v>57</v>
      </c>
      <c r="G12" s="1">
        <v>0</v>
      </c>
      <c r="H12" s="37">
        <f t="shared" si="3"/>
        <v>0</v>
      </c>
    </row>
    <row r="13" spans="1:8" ht="15">
      <c r="A13" s="32">
        <v>39142</v>
      </c>
      <c r="B13" s="2" t="e">
        <f t="shared" si="2"/>
        <v>#REF!</v>
      </c>
      <c r="C13" s="2">
        <v>-63206</v>
      </c>
      <c r="D13" s="2" t="e">
        <f>'2. Revenue Requirement'!#REF!*H13</f>
        <v>#REF!</v>
      </c>
      <c r="E13" s="2" t="e">
        <f t="shared" si="0"/>
        <v>#REF!</v>
      </c>
      <c r="F13" t="s">
        <v>57</v>
      </c>
      <c r="G13" s="1">
        <v>0</v>
      </c>
      <c r="H13" s="37">
        <f t="shared" si="3"/>
        <v>0</v>
      </c>
    </row>
    <row r="14" spans="1:8" ht="15">
      <c r="A14" s="32">
        <v>39173</v>
      </c>
      <c r="B14" s="2" t="e">
        <f t="shared" si="2"/>
        <v>#REF!</v>
      </c>
      <c r="C14" s="2">
        <v>-59797</v>
      </c>
      <c r="D14" s="2" t="e">
        <f>'2. Revenue Requirement'!#REF!*H14</f>
        <v>#REF!</v>
      </c>
      <c r="E14" s="2" t="e">
        <f t="shared" si="0"/>
        <v>#REF!</v>
      </c>
      <c r="F14" t="s">
        <v>57</v>
      </c>
      <c r="G14" s="1">
        <v>9139</v>
      </c>
      <c r="H14" s="37">
        <f t="shared" si="3"/>
        <v>0.0009404329037293685</v>
      </c>
    </row>
    <row r="15" spans="1:8" ht="15">
      <c r="A15" s="32">
        <v>39203</v>
      </c>
      <c r="B15" s="2" t="e">
        <f t="shared" si="2"/>
        <v>#REF!</v>
      </c>
      <c r="C15" s="2">
        <v>-152613</v>
      </c>
      <c r="D15" s="2" t="e">
        <f>'2. Revenue Requirement'!#REF!*H15</f>
        <v>#REF!</v>
      </c>
      <c r="E15" s="2" t="e">
        <f t="shared" si="0"/>
        <v>#REF!</v>
      </c>
      <c r="F15" t="s">
        <v>57</v>
      </c>
      <c r="G15" s="1">
        <v>1426238</v>
      </c>
      <c r="H15" s="37">
        <f t="shared" si="3"/>
        <v>0.1467645413884634</v>
      </c>
    </row>
    <row r="16" spans="1:8" ht="15">
      <c r="A16" s="32">
        <v>39234</v>
      </c>
      <c r="B16" s="2" t="e">
        <f t="shared" si="2"/>
        <v>#REF!</v>
      </c>
      <c r="C16" s="2">
        <v>-161831</v>
      </c>
      <c r="D16" s="2" t="e">
        <f>'2. Revenue Requirement'!#REF!*H16</f>
        <v>#REF!</v>
      </c>
      <c r="E16" s="2" t="e">
        <f t="shared" si="0"/>
        <v>#REF!</v>
      </c>
      <c r="F16" t="s">
        <v>57</v>
      </c>
      <c r="G16" s="1">
        <v>1279030</v>
      </c>
      <c r="H16" s="37">
        <f t="shared" si="3"/>
        <v>0.13161635811981334</v>
      </c>
    </row>
    <row r="17" spans="1:8" ht="15">
      <c r="A17" s="32">
        <v>39264</v>
      </c>
      <c r="B17" s="2" t="e">
        <f t="shared" si="2"/>
        <v>#REF!</v>
      </c>
      <c r="C17" s="2">
        <v>-173477</v>
      </c>
      <c r="D17" s="2" t="e">
        <f>'2. Revenue Requirement'!#REF!*H17</f>
        <v>#REF!</v>
      </c>
      <c r="E17" s="2" t="e">
        <f t="shared" si="0"/>
        <v>#REF!</v>
      </c>
      <c r="F17" t="s">
        <v>57</v>
      </c>
      <c r="G17" s="1">
        <v>1363150</v>
      </c>
      <c r="H17" s="37">
        <f t="shared" si="3"/>
        <v>0.14027258044848329</v>
      </c>
    </row>
    <row r="18" spans="1:8" ht="15">
      <c r="A18" s="32">
        <v>39295</v>
      </c>
      <c r="B18" s="2" t="e">
        <f t="shared" si="2"/>
        <v>#REF!</v>
      </c>
      <c r="C18" s="2">
        <v>-167808</v>
      </c>
      <c r="D18" s="2" t="e">
        <f>'2. Revenue Requirement'!#REF!*H18</f>
        <v>#REF!</v>
      </c>
      <c r="E18" s="2" t="e">
        <f t="shared" si="0"/>
        <v>#REF!</v>
      </c>
      <c r="F18" t="s">
        <v>57</v>
      </c>
      <c r="G18" s="1">
        <v>1996394</v>
      </c>
      <c r="H18" s="37">
        <f t="shared" si="3"/>
        <v>0.20543545315766373</v>
      </c>
    </row>
    <row r="19" spans="1:8" ht="15">
      <c r="A19" s="32">
        <v>39326</v>
      </c>
      <c r="B19" s="2" t="e">
        <f t="shared" si="2"/>
        <v>#REF!</v>
      </c>
      <c r="C19" s="2">
        <v>-156656</v>
      </c>
      <c r="D19" s="2" t="e">
        <f>'2. Revenue Requirement'!#REF!*H19</f>
        <v>#REF!</v>
      </c>
      <c r="E19" s="2" t="e">
        <f t="shared" si="0"/>
        <v>#REF!</v>
      </c>
      <c r="F19" t="s">
        <v>57</v>
      </c>
      <c r="G19" s="1">
        <v>2085794</v>
      </c>
      <c r="H19" s="37">
        <f t="shared" si="3"/>
        <v>0.21463500470525163</v>
      </c>
    </row>
    <row r="20" spans="1:8" ht="15">
      <c r="A20" s="32">
        <v>39356</v>
      </c>
      <c r="B20" s="2" t="e">
        <f t="shared" si="2"/>
        <v>#REF!</v>
      </c>
      <c r="C20" s="2">
        <v>-188831</v>
      </c>
      <c r="D20" s="2" t="e">
        <f>'2. Revenue Requirement'!#REF!*H20</f>
        <v>#REF!</v>
      </c>
      <c r="E20" s="2" t="e">
        <f t="shared" si="0"/>
        <v>#REF!</v>
      </c>
      <c r="F20" t="s">
        <v>57</v>
      </c>
      <c r="G20" s="1">
        <v>938868</v>
      </c>
      <c r="H20" s="37">
        <f t="shared" si="3"/>
        <v>0.0966125789975473</v>
      </c>
    </row>
    <row r="21" spans="1:8" ht="15">
      <c r="A21" s="32">
        <v>39387</v>
      </c>
      <c r="B21" s="2" t="e">
        <f t="shared" si="2"/>
        <v>#REF!</v>
      </c>
      <c r="C21" s="2">
        <v>-119756</v>
      </c>
      <c r="D21" s="2" t="e">
        <f>'2. Revenue Requirement'!#REF!*H21</f>
        <v>#REF!</v>
      </c>
      <c r="E21" s="2" t="e">
        <f t="shared" si="0"/>
        <v>#REF!</v>
      </c>
      <c r="F21" t="s">
        <v>57</v>
      </c>
      <c r="G21" s="1">
        <v>571377</v>
      </c>
      <c r="H21" s="37">
        <f t="shared" si="3"/>
        <v>0.05879655665107511</v>
      </c>
    </row>
    <row r="22" spans="1:8" ht="15">
      <c r="A22" s="32">
        <v>39417</v>
      </c>
      <c r="B22" s="2" t="e">
        <f t="shared" si="2"/>
        <v>#REF!</v>
      </c>
      <c r="C22" s="2">
        <v>-166758</v>
      </c>
      <c r="D22" s="2" t="e">
        <f>'2. Revenue Requirement'!#REF!*H22</f>
        <v>#REF!</v>
      </c>
      <c r="E22" s="2" t="e">
        <f t="shared" si="0"/>
        <v>#REF!</v>
      </c>
      <c r="F22" t="s">
        <v>57</v>
      </c>
      <c r="G22" s="1">
        <v>47875</v>
      </c>
      <c r="H22" s="37">
        <f t="shared" si="3"/>
        <v>0.004926493627972811</v>
      </c>
    </row>
    <row r="23" spans="1:5" ht="15">
      <c r="A23" s="32">
        <v>39448</v>
      </c>
      <c r="B23" s="2" t="e">
        <f t="shared" si="2"/>
        <v>#REF!</v>
      </c>
      <c r="C23" s="39">
        <v>0</v>
      </c>
      <c r="D23" s="2" t="e">
        <f>'2. Revenue Requirement'!#REF!/12</f>
        <v>#REF!</v>
      </c>
      <c r="E23" s="2" t="e">
        <f t="shared" si="0"/>
        <v>#REF!</v>
      </c>
    </row>
    <row r="24" spans="1:5" ht="15">
      <c r="A24" s="32">
        <v>39479</v>
      </c>
      <c r="B24" s="2" t="e">
        <f t="shared" si="2"/>
        <v>#REF!</v>
      </c>
      <c r="C24" s="39">
        <v>0</v>
      </c>
      <c r="D24" s="2" t="e">
        <f>'2. Revenue Requirement'!#REF!/12</f>
        <v>#REF!</v>
      </c>
      <c r="E24" s="2" t="e">
        <f t="shared" si="0"/>
        <v>#REF!</v>
      </c>
    </row>
    <row r="25" spans="1:5" ht="15">
      <c r="A25" s="32">
        <v>39508</v>
      </c>
      <c r="B25" s="2" t="e">
        <f t="shared" si="2"/>
        <v>#REF!</v>
      </c>
      <c r="C25" s="39">
        <v>0</v>
      </c>
      <c r="D25" s="2" t="e">
        <f>'2. Revenue Requirement'!#REF!/12</f>
        <v>#REF!</v>
      </c>
      <c r="E25" s="2" t="e">
        <f t="shared" si="0"/>
        <v>#REF!</v>
      </c>
    </row>
    <row r="26" spans="1:5" ht="15">
      <c r="A26" s="32">
        <v>39539</v>
      </c>
      <c r="B26" s="2" t="e">
        <f t="shared" si="2"/>
        <v>#REF!</v>
      </c>
      <c r="C26" s="39">
        <v>0</v>
      </c>
      <c r="D26" s="2" t="e">
        <f>'2. Revenue Requirement'!#REF!/12</f>
        <v>#REF!</v>
      </c>
      <c r="E26" s="2" t="e">
        <f t="shared" si="0"/>
        <v>#REF!</v>
      </c>
    </row>
    <row r="27" spans="1:5" ht="15">
      <c r="A27" s="32">
        <v>39569</v>
      </c>
      <c r="B27" s="2" t="e">
        <f t="shared" si="2"/>
        <v>#REF!</v>
      </c>
      <c r="C27" s="39">
        <v>0</v>
      </c>
      <c r="D27" s="2" t="e">
        <f>'2. Revenue Requirement'!#REF!/12</f>
        <v>#REF!</v>
      </c>
      <c r="E27" s="2" t="e">
        <f t="shared" si="0"/>
        <v>#REF!</v>
      </c>
    </row>
    <row r="28" spans="1:5" ht="15">
      <c r="A28" s="32">
        <v>39600</v>
      </c>
      <c r="B28" s="2" t="e">
        <f t="shared" si="2"/>
        <v>#REF!</v>
      </c>
      <c r="C28" s="39">
        <v>0</v>
      </c>
      <c r="D28" s="2" t="e">
        <f>'2. Revenue Requirement'!#REF!/12</f>
        <v>#REF!</v>
      </c>
      <c r="E28" s="2" t="e">
        <f t="shared" si="0"/>
        <v>#REF!</v>
      </c>
    </row>
    <row r="29" spans="1:5" ht="15">
      <c r="A29" s="32">
        <v>39630</v>
      </c>
      <c r="B29" s="2" t="e">
        <f t="shared" si="2"/>
        <v>#REF!</v>
      </c>
      <c r="C29" s="39">
        <v>0</v>
      </c>
      <c r="D29" s="2" t="e">
        <f>'2. Revenue Requirement'!#REF!/12</f>
        <v>#REF!</v>
      </c>
      <c r="E29" s="2" t="e">
        <f t="shared" si="0"/>
        <v>#REF!</v>
      </c>
    </row>
    <row r="30" spans="1:5" ht="15">
      <c r="A30" s="32">
        <v>39661</v>
      </c>
      <c r="B30" s="2" t="e">
        <f t="shared" si="2"/>
        <v>#REF!</v>
      </c>
      <c r="C30" s="39">
        <v>0</v>
      </c>
      <c r="D30" s="2" t="e">
        <f>'2. Revenue Requirement'!#REF!/12</f>
        <v>#REF!</v>
      </c>
      <c r="E30" s="2" t="e">
        <f t="shared" si="0"/>
        <v>#REF!</v>
      </c>
    </row>
    <row r="31" spans="1:5" ht="15">
      <c r="A31" s="32">
        <v>39692</v>
      </c>
      <c r="B31" s="2" t="e">
        <f t="shared" si="2"/>
        <v>#REF!</v>
      </c>
      <c r="C31" s="39">
        <v>0</v>
      </c>
      <c r="D31" s="2" t="e">
        <f>'2. Revenue Requirement'!#REF!/12</f>
        <v>#REF!</v>
      </c>
      <c r="E31" s="2" t="e">
        <f t="shared" si="0"/>
        <v>#REF!</v>
      </c>
    </row>
    <row r="32" spans="1:5" ht="15">
      <c r="A32" s="32">
        <v>39722</v>
      </c>
      <c r="B32" s="2" t="e">
        <f t="shared" si="2"/>
        <v>#REF!</v>
      </c>
      <c r="C32" s="39">
        <v>0</v>
      </c>
      <c r="D32" s="2" t="e">
        <f>'2. Revenue Requirement'!#REF!/12</f>
        <v>#REF!</v>
      </c>
      <c r="E32" s="2" t="e">
        <f t="shared" si="0"/>
        <v>#REF!</v>
      </c>
    </row>
    <row r="33" spans="1:5" ht="15">
      <c r="A33" s="32">
        <v>39753</v>
      </c>
      <c r="B33" s="2" t="e">
        <f t="shared" si="2"/>
        <v>#REF!</v>
      </c>
      <c r="C33" s="39">
        <v>0</v>
      </c>
      <c r="D33" s="2" t="e">
        <f>'2. Revenue Requirement'!#REF!/12</f>
        <v>#REF!</v>
      </c>
      <c r="E33" s="2" t="e">
        <f t="shared" si="0"/>
        <v>#REF!</v>
      </c>
    </row>
    <row r="34" spans="1:5" ht="15">
      <c r="A34" s="32">
        <v>39783</v>
      </c>
      <c r="B34" s="2" t="e">
        <f t="shared" si="2"/>
        <v>#REF!</v>
      </c>
      <c r="C34" s="39">
        <v>0</v>
      </c>
      <c r="D34" s="2" t="e">
        <f>'2. Revenue Requirement'!#REF!/12</f>
        <v>#REF!</v>
      </c>
      <c r="E34" s="2" t="e">
        <f t="shared" si="0"/>
        <v>#REF!</v>
      </c>
    </row>
    <row r="35" spans="1:5" ht="15">
      <c r="A35" s="32">
        <v>39814</v>
      </c>
      <c r="B35" s="2" t="e">
        <f t="shared" si="2"/>
        <v>#REF!</v>
      </c>
      <c r="C35" s="39">
        <v>0</v>
      </c>
      <c r="D35" s="39">
        <v>0</v>
      </c>
      <c r="E35" s="2" t="e">
        <f t="shared" si="0"/>
        <v>#REF!</v>
      </c>
    </row>
    <row r="36" spans="1:5" ht="15">
      <c r="A36" s="32">
        <v>39845</v>
      </c>
      <c r="B36" s="2" t="e">
        <f t="shared" si="2"/>
        <v>#REF!</v>
      </c>
      <c r="C36" s="39">
        <v>0</v>
      </c>
      <c r="D36" s="39">
        <v>0</v>
      </c>
      <c r="E36" s="2" t="e">
        <f t="shared" si="0"/>
        <v>#REF!</v>
      </c>
    </row>
    <row r="37" spans="1:5" ht="15">
      <c r="A37" s="32">
        <v>39873</v>
      </c>
      <c r="B37" s="2" t="e">
        <f t="shared" si="2"/>
        <v>#REF!</v>
      </c>
      <c r="C37" s="39">
        <v>0</v>
      </c>
      <c r="D37" s="39">
        <v>0</v>
      </c>
      <c r="E37" s="2" t="e">
        <f t="shared" si="0"/>
        <v>#REF!</v>
      </c>
    </row>
    <row r="38" spans="1:5" ht="15">
      <c r="A38" s="32">
        <v>39904</v>
      </c>
      <c r="B38" s="2" t="e">
        <f t="shared" si="2"/>
        <v>#REF!</v>
      </c>
      <c r="C38" s="39">
        <v>0</v>
      </c>
      <c r="D38" s="39">
        <v>0</v>
      </c>
      <c r="E38" s="2" t="e">
        <f t="shared" si="0"/>
        <v>#REF!</v>
      </c>
    </row>
    <row r="40" spans="1:7" ht="15">
      <c r="A40" s="35">
        <v>2006</v>
      </c>
      <c r="C40" s="2">
        <f>SUM(C3:C10)</f>
        <v>-472242</v>
      </c>
      <c r="D40" s="2" t="e">
        <f>SUM(D3:D10)</f>
        <v>#REF!</v>
      </c>
      <c r="F40" s="35">
        <v>2006</v>
      </c>
      <c r="G40" s="2">
        <f>SUM(G3:G10)</f>
        <v>64018</v>
      </c>
    </row>
    <row r="41" spans="1:7" ht="15">
      <c r="A41" s="35">
        <v>2007</v>
      </c>
      <c r="C41" s="2">
        <f>SUM(C11:C22)</f>
        <v>-1530624</v>
      </c>
      <c r="D41" s="2" t="e">
        <f>SUM(D11:D22)</f>
        <v>#REF!</v>
      </c>
      <c r="F41" s="35">
        <v>2007</v>
      </c>
      <c r="G41" s="2">
        <f>SUM(G11:G22)</f>
        <v>9717865</v>
      </c>
    </row>
    <row r="42" spans="1:7" ht="15">
      <c r="A42" s="35">
        <v>2008</v>
      </c>
      <c r="C42" s="3">
        <f>SUM(C23:C34)</f>
        <v>0</v>
      </c>
      <c r="D42" s="3" t="e">
        <f>SUM(D23:D34)</f>
        <v>#REF!</v>
      </c>
      <c r="G42" s="2"/>
    </row>
    <row r="43" spans="3:7" ht="15.75" thickBot="1">
      <c r="C43" s="38">
        <f>SUM(C40:C42)</f>
        <v>-2002866</v>
      </c>
      <c r="D43" s="38" t="e">
        <f>SUM(D40:D42)</f>
        <v>#REF!</v>
      </c>
      <c r="G43" s="38">
        <f>SUM(G40:G41)</f>
        <v>9781883</v>
      </c>
    </row>
  </sheetData>
  <printOptions/>
  <pageMargins left="0.75" right="0.75" top="1" bottom="1" header="0.5" footer="0.5"/>
  <pageSetup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F3" sqref="F3"/>
    </sheetView>
  </sheetViews>
  <sheetFormatPr defaultColWidth="8.88671875" defaultRowHeight="15"/>
  <cols>
    <col min="1" max="1" width="10.5546875" style="0" customWidth="1"/>
    <col min="2" max="6" width="11.3359375" style="0" customWidth="1"/>
  </cols>
  <sheetData>
    <row r="1" ht="15">
      <c r="A1" t="s">
        <v>58</v>
      </c>
    </row>
    <row r="2" spans="1:8" ht="60">
      <c r="A2" s="41" t="s">
        <v>52</v>
      </c>
      <c r="B2" s="41" t="s">
        <v>59</v>
      </c>
      <c r="C2" s="41" t="s">
        <v>60</v>
      </c>
      <c r="D2" s="41" t="s">
        <v>61</v>
      </c>
      <c r="E2" s="41" t="s">
        <v>62</v>
      </c>
      <c r="F2" s="41" t="s">
        <v>63</v>
      </c>
      <c r="G2" s="31" t="s">
        <v>57</v>
      </c>
      <c r="H2" s="31"/>
    </row>
    <row r="3" spans="1:7" ht="15">
      <c r="A3" s="32">
        <v>38838</v>
      </c>
      <c r="B3" s="2">
        <f>'Table 1'!B3</f>
        <v>0</v>
      </c>
      <c r="C3" s="33">
        <v>31</v>
      </c>
      <c r="D3" s="34">
        <v>0.0414</v>
      </c>
      <c r="E3" s="2">
        <f>B3*D3/365*C3</f>
        <v>0</v>
      </c>
      <c r="F3" s="2">
        <f>E3</f>
        <v>0</v>
      </c>
      <c r="G3" t="s">
        <v>57</v>
      </c>
    </row>
    <row r="4" spans="1:7" ht="15">
      <c r="A4" s="32">
        <v>38869</v>
      </c>
      <c r="B4" s="2" t="e">
        <f>'Table 1'!B4</f>
        <v>#REF!</v>
      </c>
      <c r="C4" s="33">
        <v>30</v>
      </c>
      <c r="D4" s="34">
        <v>0.0414</v>
      </c>
      <c r="E4" s="2" t="e">
        <f>B4*D4/365*C4</f>
        <v>#REF!</v>
      </c>
      <c r="F4" s="2" t="e">
        <f>E4+F3</f>
        <v>#REF!</v>
      </c>
      <c r="G4" t="s">
        <v>57</v>
      </c>
    </row>
    <row r="5" spans="1:7" ht="15">
      <c r="A5" s="32">
        <v>38899</v>
      </c>
      <c r="B5" s="2" t="e">
        <f>'Table 1'!B5</f>
        <v>#REF!</v>
      </c>
      <c r="C5" s="33">
        <v>31</v>
      </c>
      <c r="D5" s="34">
        <v>0.0459</v>
      </c>
      <c r="E5" s="2" t="e">
        <f aca="true" t="shared" si="0" ref="E5:E22">B5*D5/365*C5</f>
        <v>#REF!</v>
      </c>
      <c r="F5" s="2" t="e">
        <f aca="true" t="shared" si="1" ref="F5:F38">E5+F4</f>
        <v>#REF!</v>
      </c>
      <c r="G5" t="s">
        <v>57</v>
      </c>
    </row>
    <row r="6" spans="1:7" ht="15">
      <c r="A6" s="32">
        <v>38930</v>
      </c>
      <c r="B6" s="2" t="e">
        <f>'Table 1'!B6</f>
        <v>#REF!</v>
      </c>
      <c r="C6" s="33">
        <v>31</v>
      </c>
      <c r="D6" s="34">
        <v>0.0459</v>
      </c>
      <c r="E6" s="2" t="e">
        <f t="shared" si="0"/>
        <v>#REF!</v>
      </c>
      <c r="F6" s="2" t="e">
        <f t="shared" si="1"/>
        <v>#REF!</v>
      </c>
      <c r="G6" t="s">
        <v>57</v>
      </c>
    </row>
    <row r="7" spans="1:7" ht="15">
      <c r="A7" s="32">
        <v>38961</v>
      </c>
      <c r="B7" s="2" t="e">
        <f>'Table 1'!B7</f>
        <v>#REF!</v>
      </c>
      <c r="C7" s="33">
        <v>30</v>
      </c>
      <c r="D7" s="34">
        <v>0.0459</v>
      </c>
      <c r="E7" s="2" t="e">
        <f t="shared" si="0"/>
        <v>#REF!</v>
      </c>
      <c r="F7" s="2" t="e">
        <f t="shared" si="1"/>
        <v>#REF!</v>
      </c>
      <c r="G7" t="s">
        <v>57</v>
      </c>
    </row>
    <row r="8" spans="1:7" ht="15">
      <c r="A8" s="32">
        <v>38991</v>
      </c>
      <c r="B8" s="2" t="e">
        <f>'Table 1'!B8</f>
        <v>#REF!</v>
      </c>
      <c r="C8" s="33">
        <v>31</v>
      </c>
      <c r="D8" s="34">
        <v>0.0459</v>
      </c>
      <c r="E8" s="2" t="e">
        <f t="shared" si="0"/>
        <v>#REF!</v>
      </c>
      <c r="F8" s="2" t="e">
        <f t="shared" si="1"/>
        <v>#REF!</v>
      </c>
      <c r="G8" t="s">
        <v>57</v>
      </c>
    </row>
    <row r="9" spans="1:7" ht="15">
      <c r="A9" s="32">
        <v>39022</v>
      </c>
      <c r="B9" s="2" t="e">
        <f>'Table 1'!B9</f>
        <v>#REF!</v>
      </c>
      <c r="C9" s="33">
        <v>30</v>
      </c>
      <c r="D9" s="34">
        <v>0.0459</v>
      </c>
      <c r="E9" s="2" t="e">
        <f t="shared" si="0"/>
        <v>#REF!</v>
      </c>
      <c r="F9" s="2" t="e">
        <f t="shared" si="1"/>
        <v>#REF!</v>
      </c>
      <c r="G9" t="s">
        <v>57</v>
      </c>
    </row>
    <row r="10" spans="1:7" ht="15">
      <c r="A10" s="32">
        <v>39052</v>
      </c>
      <c r="B10" s="2" t="e">
        <f>'Table 1'!B10</f>
        <v>#REF!</v>
      </c>
      <c r="C10" s="33">
        <v>31</v>
      </c>
      <c r="D10" s="34">
        <v>0.0459</v>
      </c>
      <c r="E10" s="2" t="e">
        <f t="shared" si="0"/>
        <v>#REF!</v>
      </c>
      <c r="F10" s="2" t="e">
        <f t="shared" si="1"/>
        <v>#REF!</v>
      </c>
      <c r="G10" t="s">
        <v>57</v>
      </c>
    </row>
    <row r="11" spans="1:7" ht="15">
      <c r="A11" s="32">
        <v>39083</v>
      </c>
      <c r="B11" s="2" t="e">
        <f>'Table 1'!B11</f>
        <v>#REF!</v>
      </c>
      <c r="C11" s="33">
        <v>31</v>
      </c>
      <c r="D11" s="34">
        <v>0.0459</v>
      </c>
      <c r="E11" s="2" t="e">
        <f t="shared" si="0"/>
        <v>#REF!</v>
      </c>
      <c r="F11" s="2" t="e">
        <f t="shared" si="1"/>
        <v>#REF!</v>
      </c>
      <c r="G11" t="s">
        <v>57</v>
      </c>
    </row>
    <row r="12" spans="1:7" ht="15">
      <c r="A12" s="32">
        <v>39114</v>
      </c>
      <c r="B12" s="2" t="e">
        <f>'Table 1'!B12</f>
        <v>#REF!</v>
      </c>
      <c r="C12" s="33">
        <v>28</v>
      </c>
      <c r="D12" s="34">
        <v>0.0459</v>
      </c>
      <c r="E12" s="2" t="e">
        <f t="shared" si="0"/>
        <v>#REF!</v>
      </c>
      <c r="F12" s="2" t="e">
        <f t="shared" si="1"/>
        <v>#REF!</v>
      </c>
      <c r="G12" t="s">
        <v>57</v>
      </c>
    </row>
    <row r="13" spans="1:7" ht="15">
      <c r="A13" s="32">
        <v>39142</v>
      </c>
      <c r="B13" s="2" t="e">
        <f>'Table 1'!B13</f>
        <v>#REF!</v>
      </c>
      <c r="C13" s="33">
        <v>31</v>
      </c>
      <c r="D13" s="34">
        <v>0.0459</v>
      </c>
      <c r="E13" s="2" t="e">
        <f t="shared" si="0"/>
        <v>#REF!</v>
      </c>
      <c r="F13" s="2" t="e">
        <f t="shared" si="1"/>
        <v>#REF!</v>
      </c>
      <c r="G13" t="s">
        <v>57</v>
      </c>
    </row>
    <row r="14" spans="1:7" ht="15">
      <c r="A14" s="32">
        <v>39173</v>
      </c>
      <c r="B14" s="2" t="e">
        <f>'Table 1'!B14</f>
        <v>#REF!</v>
      </c>
      <c r="C14" s="33">
        <v>30</v>
      </c>
      <c r="D14" s="34">
        <v>0.0459</v>
      </c>
      <c r="E14" s="2" t="e">
        <f t="shared" si="0"/>
        <v>#REF!</v>
      </c>
      <c r="F14" s="2" t="e">
        <f t="shared" si="1"/>
        <v>#REF!</v>
      </c>
      <c r="G14" t="s">
        <v>57</v>
      </c>
    </row>
    <row r="15" spans="1:7" ht="15">
      <c r="A15" s="32">
        <v>39203</v>
      </c>
      <c r="B15" s="2" t="e">
        <f>'Table 1'!B15</f>
        <v>#REF!</v>
      </c>
      <c r="C15" s="33">
        <v>31</v>
      </c>
      <c r="D15" s="34">
        <v>0.0459</v>
      </c>
      <c r="E15" s="2" t="e">
        <f t="shared" si="0"/>
        <v>#REF!</v>
      </c>
      <c r="F15" s="2" t="e">
        <f t="shared" si="1"/>
        <v>#REF!</v>
      </c>
      <c r="G15" t="s">
        <v>57</v>
      </c>
    </row>
    <row r="16" spans="1:7" ht="15">
      <c r="A16" s="32">
        <v>39234</v>
      </c>
      <c r="B16" s="2" t="e">
        <f>'Table 1'!B16</f>
        <v>#REF!</v>
      </c>
      <c r="C16" s="33">
        <v>30</v>
      </c>
      <c r="D16" s="34">
        <v>0.0459</v>
      </c>
      <c r="E16" s="2" t="e">
        <f t="shared" si="0"/>
        <v>#REF!</v>
      </c>
      <c r="F16" s="2" t="e">
        <f t="shared" si="1"/>
        <v>#REF!</v>
      </c>
      <c r="G16" t="s">
        <v>57</v>
      </c>
    </row>
    <row r="17" spans="1:7" ht="15">
      <c r="A17" s="32">
        <v>39264</v>
      </c>
      <c r="B17" s="2" t="e">
        <f>'Table 1'!B17</f>
        <v>#REF!</v>
      </c>
      <c r="C17" s="33">
        <v>31</v>
      </c>
      <c r="D17" s="34">
        <v>0.0459</v>
      </c>
      <c r="E17" s="2" t="e">
        <f t="shared" si="0"/>
        <v>#REF!</v>
      </c>
      <c r="F17" s="2" t="e">
        <f t="shared" si="1"/>
        <v>#REF!</v>
      </c>
      <c r="G17" t="s">
        <v>57</v>
      </c>
    </row>
    <row r="18" spans="1:7" ht="15">
      <c r="A18" s="32">
        <v>39295</v>
      </c>
      <c r="B18" s="2" t="e">
        <f>'Table 1'!B18</f>
        <v>#REF!</v>
      </c>
      <c r="C18" s="33">
        <v>31</v>
      </c>
      <c r="D18" s="34">
        <v>0.0459</v>
      </c>
      <c r="E18" s="2" t="e">
        <f t="shared" si="0"/>
        <v>#REF!</v>
      </c>
      <c r="F18" s="2" t="e">
        <f t="shared" si="1"/>
        <v>#REF!</v>
      </c>
      <c r="G18" t="s">
        <v>57</v>
      </c>
    </row>
    <row r="19" spans="1:7" ht="15">
      <c r="A19" s="32">
        <v>39326</v>
      </c>
      <c r="B19" s="2" t="e">
        <f>'Table 1'!B19</f>
        <v>#REF!</v>
      </c>
      <c r="C19" s="33">
        <v>30</v>
      </c>
      <c r="D19" s="34">
        <v>0.0459</v>
      </c>
      <c r="E19" s="2" t="e">
        <f t="shared" si="0"/>
        <v>#REF!</v>
      </c>
      <c r="F19" s="2" t="e">
        <f t="shared" si="1"/>
        <v>#REF!</v>
      </c>
      <c r="G19" t="s">
        <v>57</v>
      </c>
    </row>
    <row r="20" spans="1:7" ht="15">
      <c r="A20" s="32">
        <v>39356</v>
      </c>
      <c r="B20" s="2" t="e">
        <f>'Table 1'!B20</f>
        <v>#REF!</v>
      </c>
      <c r="C20" s="33">
        <v>31</v>
      </c>
      <c r="D20" s="34">
        <v>0.0514</v>
      </c>
      <c r="E20" s="2" t="e">
        <f t="shared" si="0"/>
        <v>#REF!</v>
      </c>
      <c r="F20" s="2" t="e">
        <f t="shared" si="1"/>
        <v>#REF!</v>
      </c>
      <c r="G20" t="s">
        <v>57</v>
      </c>
    </row>
    <row r="21" spans="1:7" ht="15">
      <c r="A21" s="32">
        <v>39387</v>
      </c>
      <c r="B21" s="2" t="e">
        <f>'Table 1'!B21</f>
        <v>#REF!</v>
      </c>
      <c r="C21" s="33">
        <v>30</v>
      </c>
      <c r="D21" s="34">
        <v>0.0514</v>
      </c>
      <c r="E21" s="2" t="e">
        <f t="shared" si="0"/>
        <v>#REF!</v>
      </c>
      <c r="F21" s="2" t="e">
        <f t="shared" si="1"/>
        <v>#REF!</v>
      </c>
      <c r="G21" t="s">
        <v>57</v>
      </c>
    </row>
    <row r="22" spans="1:7" ht="15">
      <c r="A22" s="32">
        <v>39417</v>
      </c>
      <c r="B22" s="2" t="e">
        <f>'Table 1'!B22</f>
        <v>#REF!</v>
      </c>
      <c r="C22" s="33">
        <v>31</v>
      </c>
      <c r="D22" s="34">
        <v>0.0514</v>
      </c>
      <c r="E22" s="2" t="e">
        <f t="shared" si="0"/>
        <v>#REF!</v>
      </c>
      <c r="F22" s="2" t="e">
        <f t="shared" si="1"/>
        <v>#REF!</v>
      </c>
      <c r="G22" s="33" t="s">
        <v>57</v>
      </c>
    </row>
    <row r="23" spans="1:6" ht="15">
      <c r="A23" s="32">
        <v>39448</v>
      </c>
      <c r="B23" s="2" t="e">
        <f>'Table 1'!B23</f>
        <v>#REF!</v>
      </c>
      <c r="C23" s="33">
        <v>31</v>
      </c>
      <c r="D23" s="34">
        <v>0.0514</v>
      </c>
      <c r="E23" s="2" t="e">
        <f>B23*D23/366*C23</f>
        <v>#REF!</v>
      </c>
      <c r="F23" s="2" t="e">
        <f t="shared" si="1"/>
        <v>#REF!</v>
      </c>
    </row>
    <row r="24" spans="1:6" ht="15">
      <c r="A24" s="32">
        <v>39479</v>
      </c>
      <c r="B24" s="2" t="e">
        <f>'Table 1'!B24</f>
        <v>#REF!</v>
      </c>
      <c r="C24" s="33">
        <v>29</v>
      </c>
      <c r="D24" s="34">
        <v>0.0514</v>
      </c>
      <c r="E24" s="2" t="e">
        <f aca="true" t="shared" si="2" ref="E24:E34">B24*D24/366*C24</f>
        <v>#REF!</v>
      </c>
      <c r="F24" s="2" t="e">
        <f t="shared" si="1"/>
        <v>#REF!</v>
      </c>
    </row>
    <row r="25" spans="1:6" ht="15">
      <c r="A25" s="32">
        <v>39508</v>
      </c>
      <c r="B25" s="2" t="e">
        <f>'Table 1'!B25</f>
        <v>#REF!</v>
      </c>
      <c r="C25" s="33">
        <v>31</v>
      </c>
      <c r="D25" s="34">
        <v>0.0514</v>
      </c>
      <c r="E25" s="2" t="e">
        <f t="shared" si="2"/>
        <v>#REF!</v>
      </c>
      <c r="F25" s="2" t="e">
        <f t="shared" si="1"/>
        <v>#REF!</v>
      </c>
    </row>
    <row r="26" spans="1:6" ht="15">
      <c r="A26" s="32">
        <v>39539</v>
      </c>
      <c r="B26" s="2" t="e">
        <f>'Table 1'!B26</f>
        <v>#REF!</v>
      </c>
      <c r="C26" s="33">
        <v>30</v>
      </c>
      <c r="D26" s="34">
        <v>0.0408</v>
      </c>
      <c r="E26" s="2" t="e">
        <f t="shared" si="2"/>
        <v>#REF!</v>
      </c>
      <c r="F26" s="2" t="e">
        <f t="shared" si="1"/>
        <v>#REF!</v>
      </c>
    </row>
    <row r="27" spans="1:6" ht="15">
      <c r="A27" s="32">
        <v>39569</v>
      </c>
      <c r="B27" s="2" t="e">
        <f>'Table 1'!B27</f>
        <v>#REF!</v>
      </c>
      <c r="C27" s="33">
        <v>31</v>
      </c>
      <c r="D27" s="34">
        <v>0.0408</v>
      </c>
      <c r="E27" s="2" t="e">
        <f t="shared" si="2"/>
        <v>#REF!</v>
      </c>
      <c r="F27" s="2" t="e">
        <f t="shared" si="1"/>
        <v>#REF!</v>
      </c>
    </row>
    <row r="28" spans="1:6" ht="15">
      <c r="A28" s="32">
        <v>39600</v>
      </c>
      <c r="B28" s="2" t="e">
        <f>'Table 1'!B28</f>
        <v>#REF!</v>
      </c>
      <c r="C28" s="33">
        <v>30</v>
      </c>
      <c r="D28" s="34">
        <v>0.0408</v>
      </c>
      <c r="E28" s="2" t="e">
        <f t="shared" si="2"/>
        <v>#REF!</v>
      </c>
      <c r="F28" s="2" t="e">
        <f t="shared" si="1"/>
        <v>#REF!</v>
      </c>
    </row>
    <row r="29" spans="1:6" ht="15">
      <c r="A29" s="32">
        <v>39630</v>
      </c>
      <c r="B29" s="2" t="e">
        <f>'Table 1'!B29</f>
        <v>#REF!</v>
      </c>
      <c r="C29" s="33">
        <v>31</v>
      </c>
      <c r="D29" s="34">
        <v>0.0335</v>
      </c>
      <c r="E29" s="2" t="e">
        <f t="shared" si="2"/>
        <v>#REF!</v>
      </c>
      <c r="F29" s="2" t="e">
        <f t="shared" si="1"/>
        <v>#REF!</v>
      </c>
    </row>
    <row r="30" spans="1:6" ht="15">
      <c r="A30" s="32">
        <v>39661</v>
      </c>
      <c r="B30" s="2" t="e">
        <f>'Table 1'!B30</f>
        <v>#REF!</v>
      </c>
      <c r="C30" s="33">
        <v>31</v>
      </c>
      <c r="D30" s="34">
        <v>0.0335</v>
      </c>
      <c r="E30" s="2" t="e">
        <f t="shared" si="2"/>
        <v>#REF!</v>
      </c>
      <c r="F30" s="2" t="e">
        <f t="shared" si="1"/>
        <v>#REF!</v>
      </c>
    </row>
    <row r="31" spans="1:6" ht="15">
      <c r="A31" s="32">
        <v>39692</v>
      </c>
      <c r="B31" s="2" t="e">
        <f>'Table 1'!B31</f>
        <v>#REF!</v>
      </c>
      <c r="C31" s="33">
        <v>30</v>
      </c>
      <c r="D31" s="34">
        <v>0.0335</v>
      </c>
      <c r="E31" s="2" t="e">
        <f t="shared" si="2"/>
        <v>#REF!</v>
      </c>
      <c r="F31" s="2" t="e">
        <f t="shared" si="1"/>
        <v>#REF!</v>
      </c>
    </row>
    <row r="32" spans="1:6" ht="15">
      <c r="A32" s="32">
        <v>39722</v>
      </c>
      <c r="B32" s="2" t="e">
        <f>'Table 1'!B32</f>
        <v>#REF!</v>
      </c>
      <c r="C32" s="33">
        <v>31</v>
      </c>
      <c r="D32" s="34">
        <v>0.0335</v>
      </c>
      <c r="E32" s="2" t="e">
        <f t="shared" si="2"/>
        <v>#REF!</v>
      </c>
      <c r="F32" s="2" t="e">
        <f t="shared" si="1"/>
        <v>#REF!</v>
      </c>
    </row>
    <row r="33" spans="1:6" ht="15">
      <c r="A33" s="32">
        <v>39753</v>
      </c>
      <c r="B33" s="2" t="e">
        <f>'Table 1'!B33</f>
        <v>#REF!</v>
      </c>
      <c r="C33" s="33">
        <v>30</v>
      </c>
      <c r="D33" s="34">
        <v>0.0335</v>
      </c>
      <c r="E33" s="2" t="e">
        <f t="shared" si="2"/>
        <v>#REF!</v>
      </c>
      <c r="F33" s="2" t="e">
        <f t="shared" si="1"/>
        <v>#REF!</v>
      </c>
    </row>
    <row r="34" spans="1:6" ht="15">
      <c r="A34" s="32">
        <v>39783</v>
      </c>
      <c r="B34" s="2" t="e">
        <f>'Table 1'!B34</f>
        <v>#REF!</v>
      </c>
      <c r="C34" s="33">
        <v>31</v>
      </c>
      <c r="D34" s="34">
        <v>0.0335</v>
      </c>
      <c r="E34" s="2" t="e">
        <f t="shared" si="2"/>
        <v>#REF!</v>
      </c>
      <c r="F34" s="2" t="e">
        <f t="shared" si="1"/>
        <v>#REF!</v>
      </c>
    </row>
    <row r="35" spans="1:6" ht="15">
      <c r="A35" s="32">
        <v>39814</v>
      </c>
      <c r="B35" s="2" t="e">
        <f>'Table 1'!B35</f>
        <v>#REF!</v>
      </c>
      <c r="C35" s="33">
        <v>31</v>
      </c>
      <c r="D35" s="34">
        <v>0.0245</v>
      </c>
      <c r="E35" s="2" t="e">
        <f>B35*D35/365*C35</f>
        <v>#REF!</v>
      </c>
      <c r="F35" s="2" t="e">
        <f t="shared" si="1"/>
        <v>#REF!</v>
      </c>
    </row>
    <row r="36" spans="1:6" ht="15">
      <c r="A36" s="32">
        <v>39845</v>
      </c>
      <c r="B36" s="3" t="e">
        <f>B35</f>
        <v>#REF!</v>
      </c>
      <c r="C36" s="33">
        <v>28</v>
      </c>
      <c r="D36" s="34">
        <v>0.0245</v>
      </c>
      <c r="E36" s="2" t="e">
        <f>B36*D36/365*C36</f>
        <v>#REF!</v>
      </c>
      <c r="F36" s="2" t="e">
        <f t="shared" si="1"/>
        <v>#REF!</v>
      </c>
    </row>
    <row r="37" spans="1:6" ht="15">
      <c r="A37" s="32">
        <v>39873</v>
      </c>
      <c r="B37" s="3" t="e">
        <f>B36</f>
        <v>#REF!</v>
      </c>
      <c r="C37" s="33">
        <v>31</v>
      </c>
      <c r="D37" s="34">
        <v>0.0245</v>
      </c>
      <c r="E37" s="2" t="e">
        <f>B37*D37/365*C37</f>
        <v>#REF!</v>
      </c>
      <c r="F37" s="2" t="e">
        <f t="shared" si="1"/>
        <v>#REF!</v>
      </c>
    </row>
    <row r="38" spans="1:6" ht="15">
      <c r="A38" s="32">
        <v>39904</v>
      </c>
      <c r="B38" s="3" t="e">
        <f>B37</f>
        <v>#REF!</v>
      </c>
      <c r="C38" s="33">
        <v>30</v>
      </c>
      <c r="D38" s="34">
        <v>0.01</v>
      </c>
      <c r="E38" s="2" t="e">
        <f>B38*D38/365*C38</f>
        <v>#REF!</v>
      </c>
      <c r="F38" s="2" t="e">
        <f t="shared" si="1"/>
        <v>#REF!</v>
      </c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tom.barrett</cp:lastModifiedBy>
  <cp:lastPrinted>2011-11-24T15:36:31Z</cp:lastPrinted>
  <dcterms:created xsi:type="dcterms:W3CDTF">2009-03-31T14:51:00Z</dcterms:created>
  <dcterms:modified xsi:type="dcterms:W3CDTF">2011-11-24T15:36:41Z</dcterms:modified>
  <cp:category/>
  <cp:version/>
  <cp:contentType/>
  <cp:contentStatus/>
</cp:coreProperties>
</file>