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70" yWindow="30" windowWidth="8940" windowHeight="5445" activeTab="1"/>
  </bookViews>
  <sheets>
    <sheet name="REGINFO" sheetId="1" r:id="rId1"/>
    <sheet name="TAXCALC" sheetId="2" r:id="rId2"/>
    <sheet name="TAXREC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<sst xmlns="http://schemas.openxmlformats.org/spreadsheetml/2006/main" count="645" uniqueCount="457">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</sst>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Rate%20Models%20and%20Decisions\2002%20Approved\OEB%20RAM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Rate%20Models%20and%20Decisions\2002%20Approved\OEB%20RAM%202002%20-%20Unmetered%20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Rate%20Models%20and%20Decisions\2002%20Approved\MBRR%20Adjustments%20for%202002%20Rate%20Fi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Rate%20Models%20and%20Decisions\2002%20Approved\PILS%20Values%20-%20Refere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esktop\Client%20Files\Westario\1562%20Deferred%20PILS\Data%20needs\Rate%20Models%20and%20Decisions\2002%20Approved\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2">
        <row r="15">
          <cell r="G15">
            <v>824340.7943</v>
          </cell>
        </row>
        <row r="17">
          <cell r="G17">
            <v>652600.2714296405</v>
          </cell>
        </row>
        <row r="19">
          <cell r="G19">
            <v>656651.0328648202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2">
        <row r="15">
          <cell r="G15">
            <v>3223</v>
          </cell>
        </row>
        <row r="17">
          <cell r="G17">
            <v>2551.1895370264974</v>
          </cell>
        </row>
        <row r="19">
          <cell r="G19">
            <v>2567.0947685132487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">
          <cell r="E44">
            <v>251324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G11">
            <v>269721.948575</v>
          </cell>
        </row>
        <row r="28">
          <cell r="G28">
            <v>348797.75</v>
          </cell>
        </row>
        <row r="33">
          <cell r="G33">
            <v>114155.52406122298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M20">
            <v>135790.975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35">
      <selection activeCell="D41" sqref="D4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445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 t="s">
        <v>456</v>
      </c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57">
        <v>37621</v>
      </c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>
        <v>26024266</v>
      </c>
      <c r="H22" s="5"/>
    </row>
    <row r="24" spans="1:8" ht="12.75">
      <c r="A24" t="s">
        <v>398</v>
      </c>
      <c r="D24" s="122">
        <v>0.5</v>
      </c>
      <c r="H24" s="122"/>
    </row>
    <row r="25" ht="12.75">
      <c r="H25" s="114"/>
    </row>
    <row r="26" spans="1:10" ht="12.75">
      <c r="A26" t="s">
        <v>399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>
        <v>0.0988</v>
      </c>
      <c r="H28" s="126"/>
    </row>
    <row r="29" ht="12.75">
      <c r="H29" s="114"/>
    </row>
    <row r="30" spans="1:8" ht="12.75">
      <c r="A30" t="s">
        <v>401</v>
      </c>
      <c r="D30" s="122">
        <v>0.0725</v>
      </c>
      <c r="H30" s="126"/>
    </row>
    <row r="31" ht="12.75">
      <c r="H31" s="114"/>
    </row>
    <row r="32" spans="1:8" ht="12.75">
      <c r="A32" t="s">
        <v>402</v>
      </c>
      <c r="D32" s="124">
        <f>D22*((D24*D28)+(D26*D30))</f>
        <v>2228978.3829</v>
      </c>
      <c r="H32" s="125"/>
    </row>
    <row r="33" spans="4:8" ht="12.75">
      <c r="D33" s="67"/>
      <c r="H33" s="125"/>
    </row>
    <row r="34" spans="1:11" ht="12.75">
      <c r="A34" t="s">
        <v>403</v>
      </c>
      <c r="D34" s="67">
        <f>'[3]Sheet1'!$E$44</f>
        <v>251324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1977654.3829</v>
      </c>
      <c r="H36" s="125"/>
      <c r="J36" s="5"/>
      <c r="K36" s="5"/>
    </row>
    <row r="37" spans="1:11" ht="12.75">
      <c r="A37" t="s">
        <v>405</v>
      </c>
      <c r="D37" s="125"/>
      <c r="H37" s="125"/>
      <c r="J37" s="5"/>
      <c r="K37" s="5"/>
    </row>
    <row r="38" spans="1:11" ht="12.75">
      <c r="A38" t="s">
        <v>406</v>
      </c>
      <c r="D38" s="125"/>
      <c r="H38" s="125"/>
      <c r="J38" s="5"/>
      <c r="K38" s="5"/>
    </row>
    <row r="39" spans="1:11" ht="12.75">
      <c r="A39" t="s">
        <v>407</v>
      </c>
      <c r="D39" s="125">
        <f>'[1]3. 1999 Data &amp; add 2002 MARR'!$G$15+'[2]3. 1999 Data &amp; add 2002 MARR'!$G$15</f>
        <v>827563.7943</v>
      </c>
      <c r="F39" s="67"/>
      <c r="H39" s="125"/>
      <c r="J39" s="5"/>
      <c r="K39" s="5"/>
    </row>
    <row r="40" spans="1:11" ht="12.75">
      <c r="A40" t="s">
        <v>408</v>
      </c>
      <c r="D40" s="125">
        <f>'[1]3. 1999 Data &amp; add 2002 MARR'!$G$17+'[2]3. 1999 Data &amp; add 2002 MARR'!$G$17</f>
        <v>655151.4609666669</v>
      </c>
      <c r="F40" s="67"/>
      <c r="H40" s="125"/>
      <c r="J40" s="5"/>
      <c r="K40" s="5"/>
    </row>
    <row r="41" spans="1:11" ht="12.75">
      <c r="A41" t="s">
        <v>409</v>
      </c>
      <c r="D41" s="125">
        <f>'[1]3. 1999 Data &amp; add 2002 MARR'!$G$19+'[2]3. 1999 Data &amp; add 2002 MARR'!$G$19</f>
        <v>659218.1276333334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410</v>
      </c>
      <c r="B43" s="5"/>
      <c r="C43" s="5"/>
      <c r="D43" s="89">
        <f>D22*D24</f>
        <v>13012133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411</v>
      </c>
      <c r="B45" s="5"/>
      <c r="C45" s="5"/>
      <c r="D45" s="89">
        <f>D43*D28</f>
        <v>1285598.7404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412</v>
      </c>
      <c r="B47" s="5"/>
      <c r="C47" s="5"/>
      <c r="D47" s="89">
        <f>D22*D26</f>
        <v>13012133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413</v>
      </c>
      <c r="B49" s="5"/>
      <c r="C49" s="5"/>
      <c r="D49" s="89">
        <f>D47*D30</f>
        <v>943379.6425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414</v>
      </c>
      <c r="B51" s="5"/>
      <c r="C51" s="5"/>
      <c r="D51" s="112">
        <f>((D34+D39)/D32)*D49</f>
        <v>456622.09624489193</v>
      </c>
      <c r="F51" s="5"/>
      <c r="H51" s="111"/>
      <c r="J51" s="5"/>
      <c r="K51" s="5"/>
    </row>
    <row r="52" spans="1:11" ht="12.75">
      <c r="A52" t="s">
        <v>415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416</v>
      </c>
      <c r="B53" s="5"/>
      <c r="C53" s="5"/>
      <c r="D53" s="112">
        <f>((D34+D39+D40)/D32)*D49</f>
        <v>733904.530104106</v>
      </c>
      <c r="F53" s="5"/>
      <c r="H53" s="111"/>
      <c r="J53" s="5"/>
      <c r="K53" s="5"/>
    </row>
    <row r="54" spans="1:11" ht="12.75">
      <c r="A54" t="s">
        <v>417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418</v>
      </c>
      <c r="B55" s="5"/>
      <c r="C55" s="5"/>
      <c r="D55" s="112">
        <f>D49</f>
        <v>943379.6425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75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F104" sqref="F10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446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438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444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439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440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441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269721.948575</v>
      </c>
      <c r="F15" s="10"/>
      <c r="G15" s="64">
        <f>'[4]Sheet1'!$G$11</f>
        <v>269721.948575</v>
      </c>
      <c r="H15" s="35" t="s">
        <v>144</v>
      </c>
      <c r="I15" s="92">
        <f>+K15-G15</f>
        <v>-269721.948575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348797.75</v>
      </c>
      <c r="F20" s="5"/>
      <c r="G20" s="64">
        <f>'[4]Sheet1'!$G$28</f>
        <v>348797.75</v>
      </c>
      <c r="H20" s="39" t="s">
        <v>147</v>
      </c>
      <c r="I20" s="92">
        <f aca="true" t="shared" si="1" ref="I20:I28">+K20-G20</f>
        <v>-348797.75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426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-135790.975</v>
      </c>
      <c r="F30" s="5"/>
      <c r="G30" s="70">
        <f>-'[5]Sheet1'!$M$20</f>
        <v>-135790.975</v>
      </c>
      <c r="H30" s="39" t="s">
        <v>166</v>
      </c>
      <c r="I30" s="92">
        <f aca="true" t="shared" si="3" ref="I30:I38">+K30-G30</f>
        <v>135790.975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437</v>
      </c>
      <c r="B34" s="51">
        <v>12</v>
      </c>
      <c r="C34" s="64"/>
      <c r="D34" s="30" t="s">
        <v>178</v>
      </c>
      <c r="E34" s="92">
        <f t="shared" si="2"/>
        <v>-114155.52406122298</v>
      </c>
      <c r="F34" s="5"/>
      <c r="G34" s="70">
        <f>-'[4]Sheet1'!$G$33</f>
        <v>-114155.52406122298</v>
      </c>
      <c r="H34" s="39" t="s">
        <v>179</v>
      </c>
      <c r="I34" s="92">
        <f t="shared" si="3"/>
        <v>114155.52406122298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425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368573.1995137771</v>
      </c>
      <c r="F40" s="7"/>
      <c r="G40" s="96">
        <f>SUM(G15:G39)</f>
        <v>368573.1995137771</v>
      </c>
      <c r="H40" s="43"/>
      <c r="I40" s="93">
        <f>SUM(I15:I39)</f>
        <v>-368573.1995137771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0.020000000000000018</v>
      </c>
      <c r="F44" s="5"/>
      <c r="G44" s="72">
        <v>0.4062</v>
      </c>
      <c r="H44" s="39" t="s">
        <v>185</v>
      </c>
      <c r="I44" s="95">
        <f>+K44-G44</f>
        <v>-0.020000000000000018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149714.43364249627</v>
      </c>
      <c r="F47" s="7"/>
      <c r="G47" s="96">
        <f>G40*G44</f>
        <v>149714.43364249627</v>
      </c>
      <c r="H47" s="43"/>
      <c r="I47" s="98">
        <f>K47-G47</f>
        <v>-149714.43364249627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149714.43364249627</v>
      </c>
      <c r="F51" s="6"/>
      <c r="G51" s="97">
        <f>+G47-G49</f>
        <v>149714.43364249627</v>
      </c>
      <c r="H51" s="40"/>
      <c r="I51" s="97">
        <f>+I47-I49</f>
        <v>-149714.43364249627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26024266</v>
      </c>
      <c r="F59" s="5"/>
      <c r="G59" s="70">
        <f>REGINFO!D22</f>
        <v>26024266</v>
      </c>
      <c r="H59" s="39" t="s">
        <v>191</v>
      </c>
      <c r="I59" s="92">
        <f>+K59-G59</f>
        <v>-26024266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5000000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21024266</v>
      </c>
      <c r="F61" s="7"/>
      <c r="G61" s="96">
        <f>SUM(G59:G60)</f>
        <v>21024266</v>
      </c>
      <c r="H61" s="43"/>
      <c r="I61" s="98">
        <f>SUM(I59:I60)</f>
        <v>-21024266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15768.1995</v>
      </c>
      <c r="F65" s="7"/>
      <c r="G65" s="96">
        <f>+G61*G63</f>
        <v>15768.1995</v>
      </c>
      <c r="H65" s="21"/>
      <c r="I65" s="98">
        <f>+K65-G65</f>
        <v>-15768.1995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26024266</v>
      </c>
      <c r="F68" s="8"/>
      <c r="G68" s="70">
        <f>G59</f>
        <v>26024266</v>
      </c>
      <c r="H68" s="39" t="s">
        <v>200</v>
      </c>
      <c r="I68" s="92">
        <f>+K68-G68</f>
        <v>-26024266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f>-10000000</f>
        <v>-10000000</v>
      </c>
      <c r="H69" s="39" t="s">
        <v>203</v>
      </c>
      <c r="I69" s="92">
        <f>+K69-G69</f>
        <v>10000000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16024266</v>
      </c>
      <c r="F70" s="7"/>
      <c r="G70" s="96">
        <f>SUM(G68:G69)</f>
        <v>16024266</v>
      </c>
      <c r="H70" s="43"/>
      <c r="I70" s="98">
        <f>SUM(I68:I69)</f>
        <v>-16024266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9013.649625000002</v>
      </c>
      <c r="F74" s="8"/>
      <c r="G74" s="100">
        <f>+G70*G72</f>
        <v>9013.649625000002</v>
      </c>
      <c r="H74" s="39"/>
      <c r="I74" s="92">
        <f>+K74-G74</f>
        <v>-9013.649625000002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-4128.019834554303</v>
      </c>
      <c r="F75" s="8"/>
      <c r="G75" s="100">
        <f>(G40*0.0112)*-1</f>
        <v>-4128.019834554303</v>
      </c>
      <c r="H75" s="39" t="s">
        <v>209</v>
      </c>
      <c r="I75" s="92">
        <f>+K75-G75</f>
        <v>4128.019834554303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4885.629790445699</v>
      </c>
      <c r="F77" s="7"/>
      <c r="G77" s="96">
        <f>SUM(G74:G76)</f>
        <v>4885.629790445699</v>
      </c>
      <c r="H77" s="21"/>
      <c r="I77" s="98">
        <f>SUM(I74:I76)</f>
        <v>-4885.629790445699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252129.39313320356</v>
      </c>
      <c r="F82" s="5"/>
      <c r="G82" s="100">
        <f>G51/(1-(G44))</f>
        <v>252129.39313320356</v>
      </c>
      <c r="H82" s="39" t="s">
        <v>212</v>
      </c>
      <c r="I82" s="92">
        <f>+K82-G82</f>
        <v>-252129.39313320356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8075.42114123256</v>
      </c>
      <c r="F83" s="5"/>
      <c r="G83" s="100">
        <f>G77/(1-(G44-0.0112))</f>
        <v>8075.42114123256</v>
      </c>
      <c r="H83" s="39" t="s">
        <v>214</v>
      </c>
      <c r="I83" s="92">
        <f>+K83-G83</f>
        <v>-8075.42114123256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15768.1995</v>
      </c>
      <c r="F84" s="5"/>
      <c r="G84" s="100">
        <f>G65</f>
        <v>15768.1995</v>
      </c>
      <c r="H84" s="39" t="s">
        <v>216</v>
      </c>
      <c r="I84" s="92">
        <f>+K84-G84</f>
        <v>-15768.1995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275973.01377443614</v>
      </c>
      <c r="F87" s="6"/>
      <c r="G87" s="99">
        <f>SUM(G82:G86)</f>
        <v>275973.01377443614</v>
      </c>
      <c r="H87" s="6"/>
      <c r="I87" s="99">
        <f>SUM(I82:I85)</f>
        <v>-275973.01377443614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447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431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431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431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431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431</v>
      </c>
      <c r="K102" s="67"/>
    </row>
    <row r="103" spans="1:11" ht="12.75">
      <c r="A103" t="s">
        <v>424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431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431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431</v>
      </c>
      <c r="K107" s="67"/>
    </row>
    <row r="108" spans="1:11" ht="12.75">
      <c r="A108" s="110" t="s">
        <v>448</v>
      </c>
      <c r="B108" s="10">
        <v>12</v>
      </c>
      <c r="C108" s="67"/>
      <c r="E108" s="67"/>
      <c r="G108" s="67"/>
      <c r="I108" s="124">
        <f>I135</f>
        <v>0</v>
      </c>
      <c r="J108" s="120" t="s">
        <v>433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431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431</v>
      </c>
      <c r="K110" s="67"/>
    </row>
    <row r="111" spans="1:11" ht="12.75">
      <c r="A111" t="s">
        <v>423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431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432</v>
      </c>
      <c r="B114" s="10"/>
      <c r="C114" s="67"/>
      <c r="E114" s="67"/>
      <c r="G114" s="67"/>
      <c r="I114" s="149">
        <f>SUM(I98:I102)+SUM(I105:I110)+I112</f>
        <v>0</v>
      </c>
      <c r="J114" s="120" t="s">
        <v>431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429</v>
      </c>
      <c r="I119" s="125"/>
    </row>
    <row r="120" spans="1:9" ht="12.75">
      <c r="A120" s="17"/>
      <c r="I120" s="125"/>
    </row>
    <row r="121" spans="1:9" ht="12.75">
      <c r="A121" s="110" t="s">
        <v>449</v>
      </c>
      <c r="B121" s="10"/>
      <c r="C121" s="67"/>
      <c r="D121" s="67"/>
      <c r="E121" s="67"/>
      <c r="F121" s="67"/>
      <c r="G121" s="67"/>
      <c r="H121" s="67"/>
      <c r="I121" s="148">
        <f>REGINFO!D49*-1</f>
        <v>-943379.6425</v>
      </c>
    </row>
    <row r="122" spans="1:9" ht="12.75">
      <c r="A122" s="110" t="s">
        <v>450</v>
      </c>
      <c r="B122" s="10"/>
      <c r="C122" s="67"/>
      <c r="D122" s="67"/>
      <c r="E122" s="67"/>
      <c r="F122" s="67"/>
      <c r="G122" s="67"/>
      <c r="H122" s="67"/>
      <c r="I122" s="148">
        <f>G34*-1</f>
        <v>114155.52406122298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427</v>
      </c>
      <c r="B124" s="10"/>
      <c r="C124" s="67"/>
      <c r="D124" s="67"/>
      <c r="E124" s="67"/>
      <c r="F124" s="67"/>
      <c r="G124" s="67"/>
      <c r="H124" s="67"/>
      <c r="I124" s="150">
        <f>SUM(I121:I123)</f>
        <v>-829224.1184387769</v>
      </c>
    </row>
    <row r="125" spans="1:9" ht="12.75">
      <c r="A125" s="110" t="s">
        <v>428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434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435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451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452</v>
      </c>
      <c r="B131" s="10"/>
      <c r="C131" s="67"/>
      <c r="D131" s="67"/>
      <c r="E131" s="67"/>
      <c r="F131" s="67"/>
      <c r="G131" s="67"/>
      <c r="H131" s="67"/>
      <c r="I131" s="148">
        <f>REGINFO!D49</f>
        <v>943379.6425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430</v>
      </c>
      <c r="B133" s="10"/>
      <c r="C133" s="67"/>
      <c r="D133" s="67"/>
      <c r="E133" s="67"/>
      <c r="F133" s="67"/>
      <c r="G133" s="67"/>
      <c r="H133" s="67"/>
      <c r="I133" s="150">
        <f>SUM(I130:I132)</f>
        <v>943379.6425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453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436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454</v>
      </c>
      <c r="B137" s="10"/>
      <c r="C137" s="67"/>
      <c r="D137" s="67"/>
      <c r="E137" s="67"/>
      <c r="F137" s="67"/>
      <c r="G137" s="67"/>
      <c r="H137" s="67"/>
      <c r="I137" s="151">
        <f>+I124+I133</f>
        <v>114155.52406122303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64" r:id="rId1"/>
  <rowBreaks count="2" manualBreakCount="2">
    <brk id="54" max="11" man="1"/>
    <brk id="1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446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442</v>
      </c>
      <c r="B10" s="45"/>
      <c r="C10" s="82"/>
      <c r="D10" s="82"/>
      <c r="E10" s="83"/>
      <c r="F10" s="10"/>
    </row>
    <row r="11" spans="1:6" ht="12.75">
      <c r="A11" s="3" t="s">
        <v>443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420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421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422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419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2002-03-13T14:54:50Z</cp:lastPrinted>
  <dcterms:created xsi:type="dcterms:W3CDTF">2001-11-07T16:15:53Z</dcterms:created>
  <dcterms:modified xsi:type="dcterms:W3CDTF">2011-11-22T14:12:18Z</dcterms:modified>
  <cp:category/>
  <cp:version/>
  <cp:contentType/>
  <cp:contentStatus/>
</cp:coreProperties>
</file>