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Recovery of Smart Meter Costs" sheetId="1" r:id="rId1"/>
    <sheet name="Revenue Requirement" sheetId="2" r:id="rId2"/>
    <sheet name="PILs" sheetId="3" r:id="rId3"/>
    <sheet name="Avg Nt Fix Ass &amp;UCC" sheetId="4" r:id="rId4"/>
    <sheet name="Table 1" sheetId="5" r:id="rId5"/>
    <sheet name="Table 2" sheetId="6" r:id="rId6"/>
  </sheets>
  <definedNames>
    <definedName name="_xlnm.Print_Area" localSheetId="4">'Table 1'!$A$1:$E$83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N2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Includes Jen and Leslie salary, $15K for other exp and $75K for customer communications</t>
        </r>
      </text>
    </comment>
  </commentList>
</comments>
</file>

<file path=xl/sharedStrings.xml><?xml version="1.0" encoding="utf-8"?>
<sst xmlns="http://schemas.openxmlformats.org/spreadsheetml/2006/main" count="218" uniqueCount="97">
  <si>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</si>
  <si>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</si>
  <si>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</si>
  <si>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</si>
  <si>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</si>
  <si>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</si>
  <si>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</si>
  <si>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</si>
  <si>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</si>
  <si>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</si>
  <si>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</si>
  <si>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</si>
  <si>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</si>
  <si>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</si>
  <si>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</si>
  <si>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</si>
  <si>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</si>
  <si>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</si>
  <si>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</si>
  <si>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</si>
  <si>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</si>
  <si>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</si>
  <si>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</si>
  <si>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</si>
  <si>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</si>
  <si>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</si>
  <si>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</si>
  <si>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</si>
  <si>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</si>
  <si>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</si>
  <si>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</si>
  <si>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</si>
  <si>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</si>
  <si>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</si>
  <si>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</si>
  <si>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</si>
  <si>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</si>
  <si>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</si>
  <si>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</si>
  <si>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</si>
  <si>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</si>
  <si>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</si>
  <si>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</si>
  <si>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</si>
  <si>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</si>
  <si>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</si>
  <si>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</si>
  <si>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</si>
  <si>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</si>
  <si>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</si>
  <si>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</si>
  <si>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</si>
  <si>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</si>
  <si>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</si>
  <si>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</si>
  <si>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</si>
  <si>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</si>
  <si>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</si>
  <si>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</si>
  <si>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</si>
  <si>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</si>
  <si>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</si>
  <si>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</si>
  <si>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</si>
  <si>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</si>
  <si>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</si>
  <si>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</si>
  <si>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Revenue Requirement 2006</t>
  </si>
  <si>
    <t>Revenue Requirement 2007</t>
  </si>
  <si>
    <t>Revenue Requirement 2008</t>
  </si>
  <si>
    <t>Revenue Requirement Total</t>
  </si>
  <si>
    <t>Smart Meter Rate Adder</t>
  </si>
  <si>
    <t>Carrying Cost</t>
  </si>
  <si>
    <t>Smart Meter True-up</t>
  </si>
  <si>
    <t>Metered Customers</t>
  </si>
  <si>
    <t>Rate Rider to Recover Smart Meter Costs</t>
  </si>
  <si>
    <t>Smart Meters</t>
  </si>
  <si>
    <t>Fixed Assets</t>
  </si>
  <si>
    <t>Accumulated Depreciation</t>
  </si>
  <si>
    <t>Rate Base</t>
  </si>
  <si>
    <t>Revenue Requirement 2009</t>
  </si>
  <si>
    <t>Actual</t>
  </si>
  <si>
    <t>5 years</t>
  </si>
  <si>
    <t>Computer Hardware and  Software</t>
  </si>
  <si>
    <t>Revenue Requirement 2010</t>
  </si>
  <si>
    <t>Revenue Requirement 2011</t>
  </si>
  <si>
    <t>2012 Addition to Rate Base</t>
  </si>
  <si>
    <t>2012 Rates</t>
  </si>
  <si>
    <t>2012 Amortization Expense</t>
  </si>
  <si>
    <t>Interest</t>
  </si>
  <si>
    <t>Principal</t>
  </si>
  <si>
    <t>Number of Months of Recovery</t>
  </si>
  <si>
    <t>Stranded Meter Costs</t>
  </si>
  <si>
    <t>Rate Rider to Recover Stranded Meter Costs</t>
  </si>
  <si>
    <t>OM&amp;A Dec 2010</t>
  </si>
  <si>
    <t>Forecast Carrying Charges</t>
  </si>
  <si>
    <t>Update as per Energy Probe 46 part b)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</si>
</sst>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$&quot;* #,##0_-;\-&quot;$&quot;* #,##0_-;_-&quot;$&quot;* &quot;-&quot;??_-;_-@_-"/>
    <numFmt numFmtId="168" formatCode="0.0%"/>
    <numFmt numFmtId="169" formatCode="0.000%"/>
    <numFmt numFmtId="170" formatCode="0.0000%"/>
    <numFmt numFmtId="171" formatCode="_-* #,##0_-;\-* #,##0_-;_-* &quot;-&quot;??_-;_-@_-"/>
    <numFmt numFmtId="172" formatCode="_(* #,##0.00000_);_(* \(#,##0.00000\);_(* &quot;-&quot;??_);_(@_)"/>
    <numFmt numFmtId="173" formatCode="_-&quot;$&quot;* #,##0.0000_-;\-&quot;$&quot;* #,##0.0000_-;_-&quot;$&quot;* &quot;-&quot;??_-;_-@_-"/>
    <numFmt numFmtId="174" formatCode="_(&quot;$&quot;* #,##0.0000_);_(&quot;$&quot;* \(#,##0.0000\);_(&quot;$&quot;* &quot;-&quot;??_);_(@_)"/>
  </numFmts>
  <fonts count="3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i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6" applyFont="1" applyAlignment="1">
      <alignment/>
    </xf>
    <xf numFmtId="167" fontId="0" fillId="0" borderId="0" xfId="46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0" fontId="0" fillId="0" borderId="0" xfId="66" applyNumberFormat="1" applyFont="1" applyAlignment="1">
      <alignment/>
    </xf>
    <xf numFmtId="9" fontId="0" fillId="0" borderId="0" xfId="0" applyNumberFormat="1" applyAlignment="1">
      <alignment horizontal="center"/>
    </xf>
    <xf numFmtId="10" fontId="0" fillId="0" borderId="0" xfId="66" applyNumberFormat="1" applyFont="1" applyAlignment="1">
      <alignment horizontal="center"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61" applyFill="1" applyProtection="1">
      <alignment/>
      <protection/>
    </xf>
    <xf numFmtId="0" fontId="22" fillId="0" borderId="0" xfId="61" applyFont="1" applyFill="1" applyProtection="1">
      <alignment/>
      <protection/>
    </xf>
    <xf numFmtId="0" fontId="9" fillId="0" borderId="0" xfId="61" applyFill="1">
      <alignment/>
      <protection/>
    </xf>
    <xf numFmtId="0" fontId="9" fillId="0" borderId="0" xfId="61" applyFill="1" applyAlignment="1" applyProtection="1">
      <alignment horizontal="center"/>
      <protection/>
    </xf>
    <xf numFmtId="0" fontId="23" fillId="0" borderId="0" xfId="61" applyFont="1" applyFill="1" applyProtection="1">
      <alignment/>
      <protection/>
    </xf>
    <xf numFmtId="165" fontId="9" fillId="0" borderId="11" xfId="46" applyFont="1" applyFill="1" applyBorder="1" applyAlignment="1" applyProtection="1">
      <alignment/>
      <protection/>
    </xf>
    <xf numFmtId="10" fontId="24" fillId="0" borderId="0" xfId="61" applyNumberFormat="1" applyFont="1" applyFill="1" applyAlignment="1" applyProtection="1">
      <alignment horizontal="center"/>
      <protection/>
    </xf>
    <xf numFmtId="165" fontId="9" fillId="0" borderId="0" xfId="46" applyFont="1" applyFill="1" applyAlignment="1" applyProtection="1">
      <alignment/>
      <protection/>
    </xf>
    <xf numFmtId="169" fontId="9" fillId="0" borderId="0" xfId="63" applyNumberFormat="1" applyFill="1">
      <alignment/>
      <protection/>
    </xf>
    <xf numFmtId="169" fontId="9" fillId="0" borderId="0" xfId="66" applyNumberFormat="1" applyFont="1" applyFill="1" applyAlignment="1" applyProtection="1">
      <alignment/>
      <protection/>
    </xf>
    <xf numFmtId="0" fontId="2" fillId="0" borderId="0" xfId="61" applyFont="1" applyFill="1" applyAlignment="1" applyProtection="1">
      <alignment horizontal="left"/>
      <protection/>
    </xf>
    <xf numFmtId="10" fontId="9" fillId="0" borderId="0" xfId="61" applyNumberFormat="1" applyFill="1" applyAlignment="1" applyProtection="1">
      <alignment horizontal="center"/>
      <protection/>
    </xf>
    <xf numFmtId="0" fontId="9" fillId="0" borderId="0" xfId="61" applyFill="1" applyAlignment="1" applyProtection="1">
      <alignment horizontal="center" wrapText="1"/>
      <protection/>
    </xf>
    <xf numFmtId="165" fontId="26" fillId="0" borderId="11" xfId="46" applyFont="1" applyFill="1" applyBorder="1" applyAlignment="1" applyProtection="1">
      <alignment/>
      <protection/>
    </xf>
    <xf numFmtId="0" fontId="9" fillId="0" borderId="0" xfId="62" applyFill="1" applyProtection="1">
      <alignment/>
      <protection/>
    </xf>
    <xf numFmtId="0" fontId="22" fillId="0" borderId="0" xfId="62" applyFont="1" applyFill="1" applyProtection="1">
      <alignment/>
      <protection/>
    </xf>
    <xf numFmtId="0" fontId="27" fillId="0" borderId="0" xfId="62" applyFont="1" applyFill="1" applyProtection="1">
      <alignment/>
      <protection/>
    </xf>
    <xf numFmtId="0" fontId="9" fillId="0" borderId="0" xfId="62" applyFill="1">
      <alignment/>
      <protection/>
    </xf>
    <xf numFmtId="0" fontId="9" fillId="0" borderId="0" xfId="62" applyFont="1" applyFill="1" applyProtection="1">
      <alignment/>
      <protection/>
    </xf>
    <xf numFmtId="167" fontId="0" fillId="0" borderId="0" xfId="46" applyNumberFormat="1" applyFont="1" applyFill="1" applyAlignment="1">
      <alignment/>
    </xf>
    <xf numFmtId="167" fontId="9" fillId="0" borderId="0" xfId="46" applyNumberFormat="1" applyFont="1" applyFill="1" applyAlignment="1" applyProtection="1">
      <alignment/>
      <protection/>
    </xf>
    <xf numFmtId="167" fontId="9" fillId="0" borderId="0" xfId="46" applyNumberFormat="1" applyFont="1" applyFill="1" applyAlignment="1" applyProtection="1">
      <alignment horizontal="center"/>
      <protection/>
    </xf>
    <xf numFmtId="167" fontId="9" fillId="0" borderId="11" xfId="46" applyNumberFormat="1" applyFont="1" applyFill="1" applyBorder="1" applyAlignment="1" applyProtection="1">
      <alignment/>
      <protection/>
    </xf>
    <xf numFmtId="167" fontId="24" fillId="4" borderId="0" xfId="46" applyNumberFormat="1" applyFont="1" applyFill="1" applyBorder="1" applyAlignment="1" applyProtection="1">
      <alignment/>
      <protection/>
    </xf>
    <xf numFmtId="167" fontId="9" fillId="0" borderId="0" xfId="46" applyNumberFormat="1" applyFont="1" applyFill="1" applyBorder="1" applyAlignment="1" applyProtection="1">
      <alignment/>
      <protection/>
    </xf>
    <xf numFmtId="167" fontId="9" fillId="0" borderId="0" xfId="46" applyNumberFormat="1" applyFont="1" applyFill="1" applyAlignment="1">
      <alignment/>
    </xf>
    <xf numFmtId="167" fontId="9" fillId="0" borderId="10" xfId="46" applyNumberFormat="1" applyFont="1" applyFill="1" applyBorder="1" applyAlignment="1" applyProtection="1">
      <alignment/>
      <protection/>
    </xf>
    <xf numFmtId="0" fontId="9" fillId="0" borderId="0" xfId="46" applyNumberFormat="1" applyFont="1" applyFill="1" applyAlignment="1" applyProtection="1">
      <alignment horizontal="center"/>
      <protection/>
    </xf>
    <xf numFmtId="0" fontId="9" fillId="4" borderId="0" xfId="46" applyNumberFormat="1" applyFont="1" applyFill="1" applyAlignment="1" applyProtection="1">
      <alignment horizontal="center"/>
      <protection/>
    </xf>
    <xf numFmtId="9" fontId="9" fillId="4" borderId="0" xfId="66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167" fontId="9" fillId="24" borderId="0" xfId="46" applyNumberFormat="1" applyFont="1" applyFill="1" applyBorder="1" applyAlignment="1" applyProtection="1">
      <alignment horizontal="center"/>
      <protection/>
    </xf>
    <xf numFmtId="167" fontId="2" fillId="4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7" fontId="24" fillId="0" borderId="0" xfId="46" applyNumberFormat="1" applyFont="1" applyFill="1" applyAlignment="1" applyProtection="1">
      <alignment/>
      <protection/>
    </xf>
    <xf numFmtId="0" fontId="9" fillId="0" borderId="0" xfId="61" applyFont="1" applyFill="1" applyProtection="1">
      <alignment/>
      <protection/>
    </xf>
    <xf numFmtId="167" fontId="24" fillId="0" borderId="12" xfId="46" applyNumberFormat="1" applyFont="1" applyFill="1" applyBorder="1" applyAlignment="1" applyProtection="1">
      <alignment/>
      <protection/>
    </xf>
    <xf numFmtId="165" fontId="9" fillId="4" borderId="0" xfId="46" applyFont="1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10" fontId="0" fillId="4" borderId="0" xfId="66" applyNumberFormat="1" applyFont="1" applyFill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66" applyNumberFormat="1" applyFont="1" applyAlignment="1">
      <alignment/>
    </xf>
    <xf numFmtId="167" fontId="0" fillId="0" borderId="10" xfId="46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0" fillId="0" borderId="0" xfId="48" applyNumberFormat="1" applyFont="1" applyFill="1" applyAlignment="1">
      <alignment/>
    </xf>
    <xf numFmtId="0" fontId="0" fillId="0" borderId="0" xfId="0" applyFill="1" applyAlignment="1">
      <alignment wrapText="1"/>
    </xf>
    <xf numFmtId="167" fontId="9" fillId="0" borderId="0" xfId="62" applyNumberFormat="1" applyFill="1" applyProtection="1">
      <alignment/>
      <protection/>
    </xf>
    <xf numFmtId="43" fontId="28" fillId="0" borderId="0" xfId="55" applyNumberFormat="1" applyAlignment="1" applyProtection="1">
      <alignment/>
      <protection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10" fontId="9" fillId="25" borderId="0" xfId="61" applyNumberFormat="1" applyFill="1" applyAlignment="1" applyProtection="1">
      <alignment horizontal="center"/>
      <protection/>
    </xf>
    <xf numFmtId="10" fontId="9" fillId="0" borderId="0" xfId="61" applyNumberFormat="1" applyFill="1">
      <alignment/>
      <protection/>
    </xf>
    <xf numFmtId="170" fontId="0" fillId="4" borderId="0" xfId="66" applyNumberFormat="1" applyFill="1" applyAlignment="1">
      <alignment/>
    </xf>
    <xf numFmtId="0" fontId="29" fillId="0" borderId="0" xfId="0" applyFont="1" applyFill="1" applyAlignment="1">
      <alignment/>
    </xf>
    <xf numFmtId="171" fontId="0" fillId="4" borderId="0" xfId="42" applyNumberFormat="1" applyFont="1" applyFill="1" applyAlignment="1">
      <alignment/>
    </xf>
    <xf numFmtId="167" fontId="0" fillId="4" borderId="0" xfId="46" applyNumberFormat="1" applyFont="1" applyFill="1" applyAlignment="1">
      <alignment/>
    </xf>
    <xf numFmtId="167" fontId="0" fillId="4" borderId="0" xfId="48" applyNumberFormat="1" applyFont="1" applyFill="1" applyAlignment="1">
      <alignment/>
    </xf>
    <xf numFmtId="171" fontId="0" fillId="0" borderId="0" xfId="42" applyNumberFormat="1" applyFont="1" applyAlignment="1">
      <alignment/>
    </xf>
    <xf numFmtId="44" fontId="0" fillId="0" borderId="0" xfId="0" applyNumberFormat="1" applyFill="1" applyAlignment="1">
      <alignment/>
    </xf>
    <xf numFmtId="168" fontId="0" fillId="0" borderId="0" xfId="66" applyNumberFormat="1" applyFont="1" applyBorder="1" applyAlignment="1">
      <alignment horizontal="center"/>
    </xf>
    <xf numFmtId="168" fontId="0" fillId="0" borderId="0" xfId="66" applyNumberFormat="1" applyFont="1" applyAlignment="1">
      <alignment horizontal="center"/>
    </xf>
    <xf numFmtId="44" fontId="9" fillId="0" borderId="0" xfId="46" applyNumberFormat="1" applyFont="1" applyFill="1" applyAlignment="1" applyProtection="1">
      <alignment/>
      <protection/>
    </xf>
    <xf numFmtId="172" fontId="0" fillId="0" borderId="0" xfId="0" applyNumberFormat="1" applyAlignment="1">
      <alignment/>
    </xf>
    <xf numFmtId="167" fontId="2" fillId="0" borderId="11" xfId="0" applyNumberFormat="1" applyFont="1" applyBorder="1" applyAlignment="1">
      <alignment/>
    </xf>
    <xf numFmtId="44" fontId="0" fillId="0" borderId="0" xfId="0" applyNumberFormat="1" applyAlignment="1">
      <alignment/>
    </xf>
    <xf numFmtId="9" fontId="0" fillId="4" borderId="0" xfId="66" applyFont="1" applyFill="1" applyBorder="1" applyAlignment="1">
      <alignment horizontal="center"/>
    </xf>
    <xf numFmtId="9" fontId="0" fillId="4" borderId="0" xfId="66" applyFont="1" applyFill="1" applyAlignment="1">
      <alignment horizontal="center"/>
    </xf>
    <xf numFmtId="43" fontId="0" fillId="0" borderId="0" xfId="42" applyNumberFormat="1" applyFont="1" applyAlignment="1">
      <alignment/>
    </xf>
    <xf numFmtId="169" fontId="0" fillId="0" borderId="0" xfId="0" applyNumberFormat="1" applyFill="1" applyAlignment="1">
      <alignment/>
    </xf>
    <xf numFmtId="169" fontId="32" fillId="0" borderId="0" xfId="66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173" fontId="2" fillId="0" borderId="0" xfId="46" applyNumberFormat="1" applyFont="1" applyAlignment="1">
      <alignment/>
    </xf>
    <xf numFmtId="174" fontId="0" fillId="0" borderId="0" xfId="0" applyNumberFormat="1" applyAlignment="1">
      <alignment/>
    </xf>
    <xf numFmtId="0" fontId="23" fillId="0" borderId="13" xfId="61" applyFont="1" applyFill="1" applyBorder="1" applyAlignment="1" applyProtection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Sheet2" xfId="61"/>
    <cellStyle name="Normal_Sheet3" xfId="62"/>
    <cellStyle name="Normal_Tax Rates for 2006-2012_Sep42008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F47"/>
  <sheetViews>
    <sheetView tabSelected="1" zoomScalePageLayoutView="0" workbookViewId="0" topLeftCell="A1">
      <selection activeCell="B4" sqref="B4"/>
    </sheetView>
  </sheetViews>
  <sheetFormatPr defaultColWidth="8.88671875" defaultRowHeight="15"/>
  <cols>
    <col min="2" max="2" width="38.5546875" style="0" customWidth="1"/>
    <col min="3" max="3" width="15.4453125" style="0" customWidth="1"/>
    <col min="4" max="4" width="12.21484375" style="0" bestFit="1" customWidth="1"/>
    <col min="6" max="6" width="9.5546875" style="0" bestFit="1" customWidth="1"/>
  </cols>
  <sheetData>
    <row r="6" ht="15.75">
      <c r="B6" s="59" t="s">
        <v>75</v>
      </c>
    </row>
    <row r="8" spans="2:3" ht="15">
      <c r="B8" t="s">
        <v>67</v>
      </c>
      <c r="C8" s="2">
        <f>'Revenue Requirement'!D27</f>
        <v>0</v>
      </c>
    </row>
    <row r="9" spans="2:3" ht="15">
      <c r="B9" t="s">
        <v>68</v>
      </c>
      <c r="C9" s="2">
        <f>'Revenue Requirement'!F27</f>
        <v>0</v>
      </c>
    </row>
    <row r="10" spans="2:3" ht="15">
      <c r="B10" t="s">
        <v>69</v>
      </c>
      <c r="C10" s="2">
        <f>'Revenue Requirement'!H27</f>
        <v>77183.12386350331</v>
      </c>
    </row>
    <row r="11" spans="2:3" ht="15">
      <c r="B11" s="61" t="s">
        <v>80</v>
      </c>
      <c r="C11" s="2">
        <f>'Revenue Requirement'!J27</f>
        <v>587182.150055956</v>
      </c>
    </row>
    <row r="12" spans="2:3" ht="15">
      <c r="B12" s="61" t="s">
        <v>84</v>
      </c>
      <c r="C12" s="2">
        <f>'Revenue Requirement'!L27</f>
        <v>705890.3550412749</v>
      </c>
    </row>
    <row r="13" spans="2:3" ht="15">
      <c r="B13" t="s">
        <v>85</v>
      </c>
      <c r="C13" s="2">
        <f>'Revenue Requirement'!N27</f>
        <v>871158.8380873988</v>
      </c>
    </row>
    <row r="14" spans="2:3" ht="15.75">
      <c r="B14" s="59" t="s">
        <v>70</v>
      </c>
      <c r="C14" s="83">
        <f>SUM(C8:C13)</f>
        <v>2241414.467048133</v>
      </c>
    </row>
    <row r="15" spans="2:3" ht="15">
      <c r="B15" t="s">
        <v>71</v>
      </c>
      <c r="C15" s="2">
        <f>'Table 1'!C83</f>
        <v>-1083256.1700000002</v>
      </c>
    </row>
    <row r="16" spans="2:3" ht="15">
      <c r="B16" t="s">
        <v>72</v>
      </c>
      <c r="C16" s="2">
        <f>'Table 2'!F74</f>
        <v>12769.23522463318</v>
      </c>
    </row>
    <row r="17" spans="2:3" ht="15.75">
      <c r="B17" s="59" t="s">
        <v>73</v>
      </c>
      <c r="C17" s="83">
        <f>SUM(C14:C16)</f>
        <v>1170927.5322727659</v>
      </c>
    </row>
    <row r="20" spans="2:5" ht="15">
      <c r="B20" t="s">
        <v>74</v>
      </c>
      <c r="C20" s="74">
        <v>21542</v>
      </c>
      <c r="E20" t="s">
        <v>96</v>
      </c>
    </row>
    <row r="21" spans="2:3" ht="15">
      <c r="B21" t="s">
        <v>91</v>
      </c>
      <c r="C21" s="74">
        <v>48</v>
      </c>
    </row>
    <row r="23" spans="2:3" ht="15.75">
      <c r="B23" s="59" t="s">
        <v>75</v>
      </c>
      <c r="C23" s="91">
        <f>C17/C20/C21</f>
        <v>1.1324075568199776</v>
      </c>
    </row>
    <row r="25" spans="2:3" ht="15">
      <c r="B25" t="s">
        <v>92</v>
      </c>
      <c r="C25" s="75">
        <v>1132006</v>
      </c>
    </row>
    <row r="26" ht="15">
      <c r="E26" s="82"/>
    </row>
    <row r="27" spans="2:5" ht="15.75">
      <c r="B27" s="59" t="s">
        <v>93</v>
      </c>
      <c r="C27" s="91">
        <f>C25/C20/C21</f>
        <v>1.094766425277752</v>
      </c>
      <c r="E27" s="92">
        <f>C23+C27</f>
        <v>2.22717398209773</v>
      </c>
    </row>
    <row r="29" spans="2:5" ht="15">
      <c r="B29" s="61" t="s">
        <v>86</v>
      </c>
      <c r="C29" s="61"/>
      <c r="D29" s="61"/>
      <c r="E29" s="84"/>
    </row>
    <row r="30" ht="15">
      <c r="B30" t="s">
        <v>77</v>
      </c>
    </row>
    <row r="31" spans="2:6" ht="15">
      <c r="B31" t="s">
        <v>76</v>
      </c>
      <c r="C31" s="2">
        <f>'Avg Nt Fix Ass &amp;UCC'!I8</f>
        <v>3768873.49</v>
      </c>
      <c r="F31" s="3"/>
    </row>
    <row r="32" spans="2:3" ht="15">
      <c r="B32" s="61" t="s">
        <v>83</v>
      </c>
      <c r="C32" s="2">
        <f>'Avg Nt Fix Ass &amp;UCC'!I25</f>
        <v>0</v>
      </c>
    </row>
    <row r="33" ht="15">
      <c r="C33" s="8">
        <f>SUM(C31:C32)</f>
        <v>3768873.49</v>
      </c>
    </row>
    <row r="34" ht="15">
      <c r="B34" t="s">
        <v>78</v>
      </c>
    </row>
    <row r="35" spans="2:3" ht="15">
      <c r="B35" t="s">
        <v>76</v>
      </c>
      <c r="C35" s="2">
        <f>'Avg Nt Fix Ass &amp;UCC'!I15</f>
        <v>501429.53166666673</v>
      </c>
    </row>
    <row r="36" spans="2:3" ht="15">
      <c r="B36" s="61" t="s">
        <v>83</v>
      </c>
      <c r="C36" s="2">
        <f>'Avg Nt Fix Ass &amp;UCC'!I32</f>
        <v>0</v>
      </c>
    </row>
    <row r="37" spans="3:5" ht="15">
      <c r="C37" s="8">
        <f>SUM(C35:C36)</f>
        <v>501429.53166666673</v>
      </c>
      <c r="D37" s="3"/>
      <c r="E37" s="61"/>
    </row>
    <row r="39" ht="15">
      <c r="B39" s="61" t="s">
        <v>88</v>
      </c>
    </row>
    <row r="40" spans="2:4" ht="15">
      <c r="B40" t="s">
        <v>76</v>
      </c>
      <c r="C40" s="2">
        <f>SUM('Avg Nt Fix Ass &amp;UCC'!I13:I14)</f>
        <v>251624.89933333333</v>
      </c>
      <c r="D40" s="62"/>
    </row>
    <row r="41" spans="2:4" ht="15">
      <c r="B41" s="61" t="s">
        <v>83</v>
      </c>
      <c r="C41" s="2">
        <f>SUM('Avg Nt Fix Ass &amp;UCC'!I30:I31)</f>
        <v>0</v>
      </c>
      <c r="D41" s="62"/>
    </row>
    <row r="42" ht="15">
      <c r="C42" s="8">
        <f>SUM(C40:C41)</f>
        <v>251624.89933333333</v>
      </c>
    </row>
    <row r="44" spans="2:3" ht="15">
      <c r="B44" s="61"/>
      <c r="C44" s="3"/>
    </row>
    <row r="47" s="12" customFormat="1" ht="15">
      <c r="B47" s="7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4"/>
  <sheetViews>
    <sheetView zoomScalePageLayoutView="0" workbookViewId="0" topLeftCell="A1">
      <selection activeCell="B3" sqref="B3"/>
    </sheetView>
  </sheetViews>
  <sheetFormatPr defaultColWidth="8.88671875" defaultRowHeight="15"/>
  <cols>
    <col min="2" max="2" width="20.88671875" style="0" customWidth="1"/>
    <col min="3" max="3" width="12.88671875" style="0" customWidth="1"/>
    <col min="4" max="4" width="5.77734375" style="0" bestFit="1" customWidth="1"/>
    <col min="5" max="6" width="7.4453125" style="0" customWidth="1"/>
    <col min="7" max="7" width="8.5546875" style="0" bestFit="1" customWidth="1"/>
    <col min="8" max="8" width="9.6640625" style="0" customWidth="1"/>
    <col min="9" max="9" width="9.77734375" style="0" customWidth="1"/>
    <col min="10" max="10" width="11.88671875" style="0" customWidth="1"/>
    <col min="11" max="11" width="11.10546875" style="0" customWidth="1"/>
    <col min="12" max="12" width="11.4453125" style="0" customWidth="1"/>
    <col min="13" max="13" width="10.5546875" style="0" customWidth="1"/>
    <col min="14" max="14" width="11.21484375" style="0" bestFit="1" customWidth="1"/>
  </cols>
  <sheetData>
    <row r="3" ht="15">
      <c r="C3" s="69" t="s">
        <v>87</v>
      </c>
    </row>
    <row r="4" ht="15.75" thickBot="1"/>
    <row r="5" spans="2:4" ht="16.5" thickBot="1">
      <c r="B5" s="95" t="s">
        <v>51</v>
      </c>
      <c r="C5" s="96"/>
      <c r="D5" s="97"/>
    </row>
    <row r="6" ht="15.75" thickBot="1"/>
    <row r="7" spans="3:14" ht="15.75" thickBot="1">
      <c r="C7" s="93">
        <v>2006</v>
      </c>
      <c r="D7" s="94"/>
      <c r="E7" s="93">
        <v>2007</v>
      </c>
      <c r="F7" s="94"/>
      <c r="G7" s="93">
        <v>2008</v>
      </c>
      <c r="H7" s="94"/>
      <c r="I7" s="93">
        <v>2009</v>
      </c>
      <c r="J7" s="94"/>
      <c r="K7" s="93">
        <v>2010</v>
      </c>
      <c r="L7" s="94"/>
      <c r="M7" s="93">
        <v>2011</v>
      </c>
      <c r="N7" s="94"/>
    </row>
    <row r="8" spans="2:14" ht="15">
      <c r="B8" t="s">
        <v>46</v>
      </c>
      <c r="C8" s="6"/>
      <c r="D8" s="2">
        <f>'Avg Nt Fix Ass &amp;UCC'!D19+'Avg Nt Fix Ass &amp;UCC'!D36</f>
        <v>0</v>
      </c>
      <c r="E8" s="6"/>
      <c r="F8" s="2">
        <f>'Avg Nt Fix Ass &amp;UCC'!E19+'Avg Nt Fix Ass &amp;UCC'!E36</f>
        <v>0</v>
      </c>
      <c r="G8" s="6"/>
      <c r="H8" s="2">
        <f>'Avg Nt Fix Ass &amp;UCC'!F19+'Avg Nt Fix Ass &amp;UCC'!F36</f>
        <v>49148.925</v>
      </c>
      <c r="I8" s="6"/>
      <c r="J8" s="2">
        <f>'Avg Nt Fix Ass &amp;UCC'!G19+'Avg Nt Fix Ass &amp;UCC'!G36</f>
        <v>949421.4160000002</v>
      </c>
      <c r="K8" s="6"/>
      <c r="L8" s="2">
        <f>'Avg Nt Fix Ass &amp;UCC'!H19+'Avg Nt Fix Ass &amp;UCC'!H36</f>
        <v>2659806.919833333</v>
      </c>
      <c r="M8" s="6"/>
      <c r="N8" s="2">
        <f>'Avg Nt Fix Ass &amp;UCC'!I19+'Avg Nt Fix Ass &amp;UCC'!I36</f>
        <v>3398756.408</v>
      </c>
    </row>
    <row r="9" spans="2:13" ht="15">
      <c r="B9" t="s">
        <v>0</v>
      </c>
      <c r="C9" s="46">
        <f>D23</f>
        <v>0</v>
      </c>
      <c r="E9" s="46">
        <f>F23</f>
        <v>0</v>
      </c>
      <c r="G9" s="46">
        <f>H23</f>
        <v>73621.7</v>
      </c>
      <c r="I9" s="46">
        <f>J23</f>
        <v>439619.32942416664</v>
      </c>
      <c r="K9" s="46">
        <f>L23</f>
        <v>290834.4240021833</v>
      </c>
      <c r="M9" s="46">
        <f>N23</f>
        <v>339468.7566727907</v>
      </c>
    </row>
    <row r="10" spans="2:14" ht="15">
      <c r="B10" t="s">
        <v>1</v>
      </c>
      <c r="C10" s="6">
        <v>0.15</v>
      </c>
      <c r="D10" s="9">
        <f>C9*C10</f>
        <v>0</v>
      </c>
      <c r="E10" s="6">
        <v>0.15</v>
      </c>
      <c r="F10" s="9">
        <f>E9*E10</f>
        <v>0</v>
      </c>
      <c r="G10" s="6">
        <v>0.15</v>
      </c>
      <c r="H10" s="9">
        <f>G9*G10</f>
        <v>11043.255</v>
      </c>
      <c r="I10" s="6">
        <v>0.15</v>
      </c>
      <c r="J10" s="9">
        <f>I9*I10</f>
        <v>65942.899413625</v>
      </c>
      <c r="K10" s="6">
        <v>0.15</v>
      </c>
      <c r="L10" s="9">
        <f>K9*K10</f>
        <v>43625.1636003275</v>
      </c>
      <c r="M10" s="6">
        <v>0.15</v>
      </c>
      <c r="N10" s="9">
        <f>M9*M10</f>
        <v>50920.3135009186</v>
      </c>
    </row>
    <row r="11" spans="2:14" ht="15">
      <c r="B11" t="s">
        <v>79</v>
      </c>
      <c r="D11" s="3">
        <f>SUM(D8:D10)</f>
        <v>0</v>
      </c>
      <c r="F11" s="3">
        <f>SUM(F8:F10)</f>
        <v>0</v>
      </c>
      <c r="H11" s="3">
        <f>SUM(H8:H10)</f>
        <v>60192.18</v>
      </c>
      <c r="J11" s="3">
        <f>SUM(J8:J10)</f>
        <v>1015364.3154136252</v>
      </c>
      <c r="L11" s="3">
        <f>SUM(L8:L10)</f>
        <v>2703432.0834336607</v>
      </c>
      <c r="N11" s="3">
        <f>SUM(N8:N10)</f>
        <v>3449676.7215009183</v>
      </c>
    </row>
    <row r="14" spans="2:14" ht="15">
      <c r="B14" t="s">
        <v>3</v>
      </c>
      <c r="C14" s="51">
        <v>0.04</v>
      </c>
      <c r="D14" s="3">
        <f>D11*C14</f>
        <v>0</v>
      </c>
      <c r="E14" s="6">
        <f>C14</f>
        <v>0.04</v>
      </c>
      <c r="F14" s="3">
        <f>F11*E14</f>
        <v>0</v>
      </c>
      <c r="G14" s="6">
        <f>E14</f>
        <v>0.04</v>
      </c>
      <c r="H14" s="3">
        <f>H11*G14</f>
        <v>2407.6872</v>
      </c>
      <c r="I14" s="6">
        <f>G14</f>
        <v>0.04</v>
      </c>
      <c r="J14" s="3">
        <f>J11*I14</f>
        <v>40614.57261654501</v>
      </c>
      <c r="K14" s="6">
        <f>I14</f>
        <v>0.04</v>
      </c>
      <c r="L14" s="3">
        <f>L11*K14</f>
        <v>108137.28333734642</v>
      </c>
      <c r="M14" s="6">
        <f>K14</f>
        <v>0.04</v>
      </c>
      <c r="N14" s="3">
        <f>N11*M14</f>
        <v>137987.06886003673</v>
      </c>
    </row>
    <row r="15" spans="2:14" ht="15">
      <c r="B15" t="s">
        <v>4</v>
      </c>
      <c r="C15" s="85">
        <v>0.56</v>
      </c>
      <c r="D15" s="3">
        <f>D11*C15</f>
        <v>0</v>
      </c>
      <c r="E15" s="79">
        <f>C15</f>
        <v>0.56</v>
      </c>
      <c r="F15" s="3">
        <f>F11*E15</f>
        <v>0</v>
      </c>
      <c r="G15" s="6">
        <f>E15</f>
        <v>0.56</v>
      </c>
      <c r="H15" s="3">
        <f>H11*G15</f>
        <v>33707.620800000004</v>
      </c>
      <c r="I15" s="6">
        <f>G15</f>
        <v>0.56</v>
      </c>
      <c r="J15" s="3">
        <f>J11*I15</f>
        <v>568604.0166316301</v>
      </c>
      <c r="K15" s="6">
        <f>I15</f>
        <v>0.56</v>
      </c>
      <c r="L15" s="3">
        <f>L11*K15</f>
        <v>1513921.9667228502</v>
      </c>
      <c r="M15" s="6">
        <f>K15</f>
        <v>0.56</v>
      </c>
      <c r="N15" s="3">
        <f>N11*M15</f>
        <v>1931818.9640405143</v>
      </c>
    </row>
    <row r="16" spans="2:14" ht="15">
      <c r="B16" t="s">
        <v>2</v>
      </c>
      <c r="C16" s="86">
        <v>0.4</v>
      </c>
      <c r="D16" s="3">
        <f>D11*C16</f>
        <v>0</v>
      </c>
      <c r="E16" s="80">
        <f>C16</f>
        <v>0.4</v>
      </c>
      <c r="F16" s="3">
        <f>F11*E16</f>
        <v>0</v>
      </c>
      <c r="G16" s="6">
        <f>E16</f>
        <v>0.4</v>
      </c>
      <c r="H16" s="3">
        <f>H11*G16</f>
        <v>24076.872000000003</v>
      </c>
      <c r="I16" s="6">
        <f>G16</f>
        <v>0.4</v>
      </c>
      <c r="J16" s="3">
        <f>J11*I16</f>
        <v>406145.7261654501</v>
      </c>
      <c r="K16" s="6">
        <f>I16</f>
        <v>0.4</v>
      </c>
      <c r="L16" s="3">
        <f>L11*K16</f>
        <v>1081372.8333734644</v>
      </c>
      <c r="M16" s="6">
        <f>K16</f>
        <v>0.4</v>
      </c>
      <c r="N16" s="3">
        <f>N11*M16</f>
        <v>1379870.6886003674</v>
      </c>
    </row>
    <row r="17" spans="4:14" ht="15">
      <c r="D17" s="1"/>
      <c r="F17" s="1"/>
      <c r="H17" s="1"/>
      <c r="J17" s="1"/>
      <c r="L17" s="1"/>
      <c r="N17" s="1"/>
    </row>
    <row r="18" spans="2:14" ht="15">
      <c r="B18" t="s">
        <v>5</v>
      </c>
      <c r="C18" s="52">
        <v>0.0246</v>
      </c>
      <c r="D18" s="3">
        <f>D14*C18</f>
        <v>0</v>
      </c>
      <c r="E18" s="7">
        <f>C18</f>
        <v>0.0246</v>
      </c>
      <c r="F18" s="3">
        <f>F14*E18</f>
        <v>0</v>
      </c>
      <c r="G18" s="7">
        <f>E18</f>
        <v>0.0246</v>
      </c>
      <c r="H18" s="3">
        <f>H14*G18</f>
        <v>59.22910512</v>
      </c>
      <c r="I18" s="7">
        <f>G18</f>
        <v>0.0246</v>
      </c>
      <c r="J18" s="3">
        <f>J14*I18</f>
        <v>999.1184863670072</v>
      </c>
      <c r="K18" s="7">
        <f>I18</f>
        <v>0.0246</v>
      </c>
      <c r="L18" s="3">
        <f>L14*K18</f>
        <v>2660.177170098722</v>
      </c>
      <c r="M18" s="7">
        <f>K18</f>
        <v>0.0246</v>
      </c>
      <c r="N18" s="3">
        <f>N14*M18</f>
        <v>3394.4818939569036</v>
      </c>
    </row>
    <row r="19" spans="2:14" ht="15">
      <c r="B19" t="s">
        <v>6</v>
      </c>
      <c r="C19" s="52">
        <v>0.0532</v>
      </c>
      <c r="D19" s="3">
        <f>D15*C19</f>
        <v>0</v>
      </c>
      <c r="E19" s="7">
        <f>C19</f>
        <v>0.0532</v>
      </c>
      <c r="F19" s="3">
        <f>F15*E19</f>
        <v>0</v>
      </c>
      <c r="G19" s="7">
        <f>E19</f>
        <v>0.0532</v>
      </c>
      <c r="H19" s="3">
        <f>H15*G19</f>
        <v>1793.2454265600002</v>
      </c>
      <c r="I19" s="7">
        <f>G19</f>
        <v>0.0532</v>
      </c>
      <c r="J19" s="3">
        <f>J15*I19</f>
        <v>30249.733684802723</v>
      </c>
      <c r="K19" s="7">
        <f>I19</f>
        <v>0.0532</v>
      </c>
      <c r="L19" s="3">
        <f>L15*K19</f>
        <v>80540.64862965562</v>
      </c>
      <c r="M19" s="7">
        <f>K19</f>
        <v>0.0532</v>
      </c>
      <c r="N19" s="3">
        <f>N15*M19</f>
        <v>102772.76888695535</v>
      </c>
    </row>
    <row r="20" spans="2:14" ht="15">
      <c r="B20" t="s">
        <v>7</v>
      </c>
      <c r="C20" s="52">
        <v>0.0958</v>
      </c>
      <c r="D20" s="3">
        <f>D16*C20</f>
        <v>0</v>
      </c>
      <c r="E20" s="7">
        <f>C20</f>
        <v>0.0958</v>
      </c>
      <c r="F20" s="3">
        <f>F16*E20</f>
        <v>0</v>
      </c>
      <c r="G20" s="7">
        <f>E20</f>
        <v>0.0958</v>
      </c>
      <c r="H20" s="3">
        <f>H16*G20</f>
        <v>2306.5643376000003</v>
      </c>
      <c r="I20" s="7">
        <f>G20</f>
        <v>0.0958</v>
      </c>
      <c r="J20" s="3">
        <f>J16*I20</f>
        <v>38908.76056665012</v>
      </c>
      <c r="K20" s="7">
        <f>I20</f>
        <v>0.0958</v>
      </c>
      <c r="L20" s="3">
        <f>L16*K20</f>
        <v>103595.51743717788</v>
      </c>
      <c r="M20" s="7">
        <f>K20</f>
        <v>0.0958</v>
      </c>
      <c r="N20" s="3">
        <f>N16*M20</f>
        <v>132191.6119679152</v>
      </c>
    </row>
    <row r="21" spans="4:14" ht="15">
      <c r="D21" s="8">
        <f>SUM(D18:D20)</f>
        <v>0</v>
      </c>
      <c r="F21" s="8">
        <f>SUM(F18:F20)</f>
        <v>0</v>
      </c>
      <c r="H21" s="8">
        <f>SUM(H18:H20)</f>
        <v>4159.038869280001</v>
      </c>
      <c r="J21" s="8">
        <f>SUM(J18:J20)</f>
        <v>70157.61273781984</v>
      </c>
      <c r="L21" s="8">
        <f>SUM(L18:L20)</f>
        <v>186796.34323693224</v>
      </c>
      <c r="N21" s="8">
        <f>SUM(N18:N20)</f>
        <v>238358.86274882747</v>
      </c>
    </row>
    <row r="23" spans="2:14" ht="15.75">
      <c r="B23" t="s">
        <v>0</v>
      </c>
      <c r="D23" s="45">
        <v>0</v>
      </c>
      <c r="F23" s="45">
        <v>0</v>
      </c>
      <c r="H23" s="45">
        <v>73621.7</v>
      </c>
      <c r="J23" s="45">
        <v>439619.32942416664</v>
      </c>
      <c r="L23" s="45">
        <v>290834.4240021833</v>
      </c>
      <c r="N23" s="45">
        <v>339468.7566727907</v>
      </c>
    </row>
    <row r="24" spans="2:14" ht="15">
      <c r="B24" t="s">
        <v>10</v>
      </c>
      <c r="D24" s="11">
        <f>SUM('Avg Nt Fix Ass &amp;UCC'!D13:D14)+SUM('Avg Nt Fix Ass &amp;UCC'!D30:D31)</f>
        <v>0</v>
      </c>
      <c r="F24" s="11">
        <f>SUM('Avg Nt Fix Ass &amp;UCC'!E13:E14)+SUM('Avg Nt Fix Ass &amp;UCC'!E30:E31)</f>
        <v>0</v>
      </c>
      <c r="H24" s="11">
        <f>SUM('Avg Nt Fix Ass &amp;UCC'!F13:F14)+SUM('Avg Nt Fix Ass &amp;UCC'!F30:F31)</f>
        <v>0</v>
      </c>
      <c r="J24" s="11">
        <f>SUM('Avg Nt Fix Ass &amp;UCC'!G13:G14)+SUM('Avg Nt Fix Ass &amp;UCC'!G30:G31)</f>
        <v>62087.75800000001</v>
      </c>
      <c r="L24" s="11">
        <f>SUM('Avg Nt Fix Ass &amp;UCC'!H13:H14)+SUM('Avg Nt Fix Ass &amp;UCC'!H30:H31)</f>
        <v>187716.87433333334</v>
      </c>
      <c r="N24" s="11">
        <f>SUM('Avg Nt Fix Ass &amp;UCC'!I13:I14)+SUM('Avg Nt Fix Ass &amp;UCC'!I30:I31)</f>
        <v>251624.89933333333</v>
      </c>
    </row>
    <row r="25" spans="2:14" ht="15">
      <c r="B25" t="s">
        <v>8</v>
      </c>
      <c r="D25" s="2">
        <f>PILs!C35</f>
        <v>0</v>
      </c>
      <c r="F25" s="2">
        <f>PILs!D35</f>
        <v>0</v>
      </c>
      <c r="H25" s="2">
        <f>PILs!E35</f>
        <v>-597.6150057766918</v>
      </c>
      <c r="J25" s="2">
        <f>PILs!F35</f>
        <v>15317.449893969471</v>
      </c>
      <c r="L25" s="2">
        <f>PILs!G35</f>
        <v>40542.71346882606</v>
      </c>
      <c r="N25" s="2">
        <f>PILs!H35</f>
        <v>41706.319332447216</v>
      </c>
    </row>
    <row r="27" spans="2:14" ht="15.75" thickBot="1">
      <c r="B27" t="s">
        <v>9</v>
      </c>
      <c r="D27" s="4">
        <f>SUM(D21:D25)</f>
        <v>0</v>
      </c>
      <c r="F27" s="4">
        <f>SUM(F21:F25)</f>
        <v>0</v>
      </c>
      <c r="H27" s="4">
        <f>SUM(H21:H25)</f>
        <v>77183.12386350331</v>
      </c>
      <c r="J27" s="4">
        <f>SUM(J21:J25)</f>
        <v>587182.150055956</v>
      </c>
      <c r="L27" s="4">
        <f>SUM(L21:L25)</f>
        <v>705890.3550412749</v>
      </c>
      <c r="N27" s="4">
        <f>SUM(N21:N25)</f>
        <v>871158.8380873988</v>
      </c>
    </row>
    <row r="30" ht="15">
      <c r="D30" s="3"/>
    </row>
    <row r="31" spans="3:4" ht="15">
      <c r="C31" s="2"/>
      <c r="D31" s="3"/>
    </row>
    <row r="32" spans="3:4" ht="15">
      <c r="C32" s="10"/>
      <c r="D32" s="5"/>
    </row>
    <row r="33" spans="3:4" ht="15">
      <c r="C33" s="2"/>
      <c r="D33" s="1"/>
    </row>
    <row r="34" ht="15">
      <c r="D34" s="5"/>
    </row>
  </sheetData>
  <sheetProtection/>
  <mergeCells count="7">
    <mergeCell ref="M7:N7"/>
    <mergeCell ref="I7:J7"/>
    <mergeCell ref="G7:H7"/>
    <mergeCell ref="B5:D5"/>
    <mergeCell ref="C7:D7"/>
    <mergeCell ref="E7:F7"/>
    <mergeCell ref="K7:L7"/>
  </mergeCells>
  <printOptions/>
  <pageMargins left="0.75" right="0.75" top="1" bottom="1" header="0.5" footer="0.5"/>
  <pageSetup fitToHeight="1" fitToWidth="1" horizontalDpi="600" verticalDpi="600" orientation="landscape" scale="68" r:id="rId3"/>
  <headerFooter alignWithMargins="0"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5"/>
  <sheetViews>
    <sheetView zoomScalePageLayoutView="0" workbookViewId="0" topLeftCell="A1">
      <selection activeCell="E16" sqref="E16"/>
    </sheetView>
  </sheetViews>
  <sheetFormatPr defaultColWidth="8.77734375" defaultRowHeight="15"/>
  <cols>
    <col min="1" max="1" width="8.88671875" style="12" customWidth="1"/>
    <col min="2" max="2" width="25.4453125" style="12" bestFit="1" customWidth="1"/>
    <col min="3" max="3" width="13.10546875" style="12" customWidth="1"/>
    <col min="4" max="4" width="13.99609375" style="12" customWidth="1"/>
    <col min="5" max="5" width="15.99609375" style="12" customWidth="1"/>
    <col min="6" max="8" width="13.21484375" style="12" bestFit="1" customWidth="1"/>
    <col min="9" max="16384" width="8.77734375" style="12" customWidth="1"/>
  </cols>
  <sheetData>
    <row r="4" spans="1:5" ht="26.25">
      <c r="A4" s="13"/>
      <c r="B4" s="14" t="s">
        <v>11</v>
      </c>
      <c r="C4" s="13"/>
      <c r="D4" s="15"/>
      <c r="E4" s="15"/>
    </row>
    <row r="5" spans="1:8" ht="15">
      <c r="A5" s="13"/>
      <c r="B5" s="13"/>
      <c r="C5" s="13"/>
      <c r="D5" s="15"/>
      <c r="E5" s="15"/>
      <c r="G5" s="68"/>
      <c r="H5" s="68"/>
    </row>
    <row r="6" spans="1:8" ht="15">
      <c r="A6" s="13"/>
      <c r="B6" s="13"/>
      <c r="C6" s="16">
        <v>2006</v>
      </c>
      <c r="D6" s="16">
        <v>2007</v>
      </c>
      <c r="E6" s="16">
        <v>2008</v>
      </c>
      <c r="F6" s="16">
        <v>2009</v>
      </c>
      <c r="G6" s="16">
        <v>2010</v>
      </c>
      <c r="H6" s="16">
        <v>2011</v>
      </c>
    </row>
    <row r="7" spans="1:8" ht="15">
      <c r="A7" s="13"/>
      <c r="B7" s="17" t="s">
        <v>12</v>
      </c>
      <c r="C7" s="16" t="s">
        <v>81</v>
      </c>
      <c r="D7" s="16" t="s">
        <v>81</v>
      </c>
      <c r="E7" s="16" t="s">
        <v>81</v>
      </c>
      <c r="F7" s="16" t="s">
        <v>81</v>
      </c>
      <c r="G7" s="16" t="s">
        <v>42</v>
      </c>
      <c r="H7" s="16" t="s">
        <v>42</v>
      </c>
    </row>
    <row r="8" spans="1:8" ht="15">
      <c r="A8" s="13"/>
      <c r="B8" s="13" t="s">
        <v>13</v>
      </c>
      <c r="C8" s="47">
        <f>'Revenue Requirement'!D20</f>
        <v>0</v>
      </c>
      <c r="D8" s="47">
        <f>'Revenue Requirement'!F20</f>
        <v>0</v>
      </c>
      <c r="E8" s="47">
        <f>'Revenue Requirement'!H20</f>
        <v>2306.5643376000003</v>
      </c>
      <c r="F8" s="47">
        <f>'Revenue Requirement'!J20</f>
        <v>38908.76056665012</v>
      </c>
      <c r="G8" s="47">
        <f>'Revenue Requirement'!L20</f>
        <v>103595.51743717788</v>
      </c>
      <c r="H8" s="47">
        <f>'Revenue Requirement'!N20</f>
        <v>132191.6119679152</v>
      </c>
    </row>
    <row r="9" spans="1:8" ht="15">
      <c r="A9" s="13"/>
      <c r="B9" s="13" t="s">
        <v>45</v>
      </c>
      <c r="C9" s="47">
        <f>'Revenue Requirement'!D24</f>
        <v>0</v>
      </c>
      <c r="D9" s="47">
        <f>'Revenue Requirement'!F24</f>
        <v>0</v>
      </c>
      <c r="E9" s="47">
        <f>'Revenue Requirement'!H24</f>
        <v>0</v>
      </c>
      <c r="F9" s="47">
        <f>'Revenue Requirement'!J24</f>
        <v>62087.75800000001</v>
      </c>
      <c r="G9" s="47">
        <f>'Revenue Requirement'!L24</f>
        <v>187716.87433333334</v>
      </c>
      <c r="H9" s="47">
        <f>'Revenue Requirement'!N24</f>
        <v>251624.89933333333</v>
      </c>
    </row>
    <row r="10" spans="1:8" ht="15">
      <c r="A10" s="13"/>
      <c r="B10" s="48" t="s">
        <v>40</v>
      </c>
      <c r="C10" s="47">
        <f>-'Avg Nt Fix Ass &amp;UCC'!D57-'Avg Nt Fix Ass &amp;UCC'!D74</f>
        <v>0</v>
      </c>
      <c r="D10" s="47">
        <f>-'Avg Nt Fix Ass &amp;UCC'!E57-'Avg Nt Fix Ass &amp;UCC'!E74</f>
        <v>0</v>
      </c>
      <c r="E10" s="47">
        <f>-'Avg Nt Fix Ass &amp;UCC'!F57-'Avg Nt Fix Ass &amp;UCC'!F74</f>
        <v>-3931.914</v>
      </c>
      <c r="F10" s="47">
        <f>-'Avg Nt Fix Ass &amp;UCC'!G57-'Avg Nt Fix Ass &amp;UCC'!G74</f>
        <v>-78122.67048</v>
      </c>
      <c r="G10" s="47">
        <f>-'Avg Nt Fix Ass &amp;UCC'!H57-'Avg Nt Fix Ass &amp;UCC'!H74</f>
        <v>-218695.8824416</v>
      </c>
      <c r="H10" s="47">
        <f>-'Avg Nt Fix Ass &amp;UCC'!I57-'Avg Nt Fix Ass &amp;UCC'!I74</f>
        <v>-277889.841846272</v>
      </c>
    </row>
    <row r="11" spans="1:8" ht="15">
      <c r="A11" s="13"/>
      <c r="B11" s="13" t="s">
        <v>14</v>
      </c>
      <c r="C11" s="35">
        <f aca="true" t="shared" si="0" ref="C11:H11">SUM(C8:C10)</f>
        <v>0</v>
      </c>
      <c r="D11" s="35">
        <f t="shared" si="0"/>
        <v>0</v>
      </c>
      <c r="E11" s="35">
        <f t="shared" si="0"/>
        <v>-1625.3496624</v>
      </c>
      <c r="F11" s="35">
        <f t="shared" si="0"/>
        <v>22873.848086650134</v>
      </c>
      <c r="G11" s="35">
        <f t="shared" si="0"/>
        <v>72616.50932891123</v>
      </c>
      <c r="H11" s="35">
        <f t="shared" si="0"/>
        <v>105926.66945497657</v>
      </c>
    </row>
    <row r="12" spans="1:8" ht="15">
      <c r="A12" s="13"/>
      <c r="B12" s="48" t="s">
        <v>52</v>
      </c>
      <c r="C12" s="19">
        <v>0.3612</v>
      </c>
      <c r="D12" s="19">
        <v>0.3612</v>
      </c>
      <c r="E12" s="19">
        <v>0.335</v>
      </c>
      <c r="F12" s="19">
        <v>0.33</v>
      </c>
      <c r="G12" s="19">
        <v>0.31</v>
      </c>
      <c r="H12" s="19">
        <v>0.2825</v>
      </c>
    </row>
    <row r="13" spans="1:8" ht="15">
      <c r="A13" s="13"/>
      <c r="B13" s="13" t="s">
        <v>15</v>
      </c>
      <c r="C13" s="35">
        <f aca="true" t="shared" si="1" ref="C13:H13">C11*C12</f>
        <v>0</v>
      </c>
      <c r="D13" s="35">
        <f t="shared" si="1"/>
        <v>0</v>
      </c>
      <c r="E13" s="35">
        <f t="shared" si="1"/>
        <v>-544.4921369040001</v>
      </c>
      <c r="F13" s="35">
        <f t="shared" si="1"/>
        <v>7548.369868594545</v>
      </c>
      <c r="G13" s="35">
        <f t="shared" si="1"/>
        <v>22511.11789196248</v>
      </c>
      <c r="H13" s="35">
        <f t="shared" si="1"/>
        <v>29924.284121030876</v>
      </c>
    </row>
    <row r="14" spans="1:8" ht="15">
      <c r="A14" s="13"/>
      <c r="B14" s="13"/>
      <c r="C14" s="13"/>
      <c r="D14" s="13"/>
      <c r="E14" s="15"/>
      <c r="F14" s="15"/>
      <c r="G14" s="15"/>
      <c r="H14" s="15"/>
    </row>
    <row r="15" spans="1:8" ht="15">
      <c r="A15" s="13"/>
      <c r="B15" s="17" t="s">
        <v>16</v>
      </c>
      <c r="C15" s="13"/>
      <c r="D15" s="13"/>
      <c r="E15" s="15"/>
      <c r="F15" s="15"/>
      <c r="G15" s="15"/>
      <c r="H15" s="15"/>
    </row>
    <row r="16" spans="1:8" ht="15">
      <c r="A16" s="13"/>
      <c r="B16" s="27" t="s">
        <v>32</v>
      </c>
      <c r="C16" s="49">
        <f>'Avg Nt Fix Ass &amp;UCC'!D18</f>
        <v>0</v>
      </c>
      <c r="D16" s="49">
        <f>'Avg Nt Fix Ass &amp;UCC'!E18</f>
        <v>0</v>
      </c>
      <c r="E16" s="49">
        <f>'Avg Nt Fix Ass &amp;UCC'!F18</f>
        <v>98297.85</v>
      </c>
      <c r="F16" s="49">
        <f>'Avg Nt Fix Ass &amp;UCC'!G18</f>
        <v>1800544.9820000003</v>
      </c>
      <c r="G16" s="49">
        <f>'Avg Nt Fix Ass &amp;UCC'!H18</f>
        <v>3519068.8576666666</v>
      </c>
      <c r="H16" s="49">
        <f>'Avg Nt Fix Ass &amp;UCC'!I18</f>
        <v>3278443.9583333335</v>
      </c>
    </row>
    <row r="17" spans="1:8" ht="15">
      <c r="A17" s="13"/>
      <c r="B17" s="13" t="s">
        <v>17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ht="15">
      <c r="A18" s="13"/>
      <c r="B18" s="13" t="s">
        <v>18</v>
      </c>
      <c r="C18" s="35">
        <f aca="true" t="shared" si="2" ref="C18:H18">C16-C17</f>
        <v>0</v>
      </c>
      <c r="D18" s="35">
        <f t="shared" si="2"/>
        <v>0</v>
      </c>
      <c r="E18" s="35">
        <f t="shared" si="2"/>
        <v>98297.85</v>
      </c>
      <c r="F18" s="35">
        <f>F16-F17</f>
        <v>1800544.9820000003</v>
      </c>
      <c r="G18" s="35">
        <f t="shared" si="2"/>
        <v>3519068.8576666666</v>
      </c>
      <c r="H18" s="35">
        <f t="shared" si="2"/>
        <v>3278443.9583333335</v>
      </c>
    </row>
    <row r="19" spans="1:8" ht="15">
      <c r="A19" s="13"/>
      <c r="B19" s="13" t="s">
        <v>19</v>
      </c>
      <c r="C19" s="21">
        <v>0.003</v>
      </c>
      <c r="D19" s="21">
        <v>0.00225</v>
      </c>
      <c r="E19" s="22">
        <v>0.00225</v>
      </c>
      <c r="F19" s="22">
        <v>0.00225</v>
      </c>
      <c r="G19" s="89">
        <v>0.00225</v>
      </c>
      <c r="H19" s="22">
        <v>0</v>
      </c>
    </row>
    <row r="20" spans="1:10" ht="15">
      <c r="A20" s="13"/>
      <c r="B20" s="13" t="s">
        <v>20</v>
      </c>
      <c r="C20" s="18">
        <f aca="true" t="shared" si="3" ref="C20:H20">C18*C19</f>
        <v>0</v>
      </c>
      <c r="D20" s="18">
        <f t="shared" si="3"/>
        <v>0</v>
      </c>
      <c r="E20" s="18">
        <f t="shared" si="3"/>
        <v>221.1701625</v>
      </c>
      <c r="F20" s="18">
        <f>F18*F19</f>
        <v>4051.2262095000006</v>
      </c>
      <c r="G20" s="18">
        <f t="shared" si="3"/>
        <v>7917.90492975</v>
      </c>
      <c r="H20" s="18">
        <f t="shared" si="3"/>
        <v>0</v>
      </c>
      <c r="J20" s="88"/>
    </row>
    <row r="21" spans="1:10" ht="15">
      <c r="A21" s="13"/>
      <c r="B21" s="13"/>
      <c r="C21" s="13"/>
      <c r="D21" s="13"/>
      <c r="E21" s="15"/>
      <c r="F21" s="15"/>
      <c r="G21" s="15"/>
      <c r="H21" s="15"/>
      <c r="J21" s="88"/>
    </row>
    <row r="22" spans="1:8" ht="15">
      <c r="A22" s="13"/>
      <c r="B22" s="13"/>
      <c r="C22" s="13"/>
      <c r="D22" s="13"/>
      <c r="E22" s="15"/>
      <c r="F22" s="15"/>
      <c r="G22" s="15"/>
      <c r="H22" s="15"/>
    </row>
    <row r="23" spans="1:8" ht="15.75">
      <c r="A23" s="13"/>
      <c r="B23" s="23" t="s">
        <v>21</v>
      </c>
      <c r="C23" s="13"/>
      <c r="D23" s="13"/>
      <c r="E23" s="15"/>
      <c r="F23" s="15"/>
      <c r="G23" s="15"/>
      <c r="H23" s="15"/>
    </row>
    <row r="24" spans="1:8" ht="15">
      <c r="A24" s="13"/>
      <c r="B24" s="13"/>
      <c r="C24" s="16" t="s">
        <v>22</v>
      </c>
      <c r="D24" s="16" t="s">
        <v>22</v>
      </c>
      <c r="E24" s="16" t="s">
        <v>22</v>
      </c>
      <c r="F24" s="16" t="s">
        <v>22</v>
      </c>
      <c r="G24" s="16" t="s">
        <v>22</v>
      </c>
      <c r="H24" s="16" t="s">
        <v>22</v>
      </c>
    </row>
    <row r="25" spans="1:8" ht="15">
      <c r="A25" s="13"/>
      <c r="B25" s="13" t="s">
        <v>23</v>
      </c>
      <c r="C25" s="20">
        <f aca="true" t="shared" si="4" ref="C25:H25">C13</f>
        <v>0</v>
      </c>
      <c r="D25" s="20">
        <f t="shared" si="4"/>
        <v>0</v>
      </c>
      <c r="E25" s="20">
        <f t="shared" si="4"/>
        <v>-544.4921369040001</v>
      </c>
      <c r="F25" s="20">
        <f>F13</f>
        <v>7548.369868594545</v>
      </c>
      <c r="G25" s="20">
        <f t="shared" si="4"/>
        <v>22511.11789196248</v>
      </c>
      <c r="H25" s="20">
        <f t="shared" si="4"/>
        <v>29924.284121030876</v>
      </c>
    </row>
    <row r="26" spans="1:8" ht="15">
      <c r="A26" s="13"/>
      <c r="B26" s="13" t="s">
        <v>24</v>
      </c>
      <c r="C26" s="20">
        <f aca="true" t="shared" si="5" ref="C26:H26">C20</f>
        <v>0</v>
      </c>
      <c r="D26" s="20">
        <f t="shared" si="5"/>
        <v>0</v>
      </c>
      <c r="E26" s="20">
        <f t="shared" si="5"/>
        <v>221.1701625</v>
      </c>
      <c r="F26" s="20">
        <f>F20</f>
        <v>4051.2262095000006</v>
      </c>
      <c r="G26" s="20">
        <f>G20</f>
        <v>7917.90492975</v>
      </c>
      <c r="H26" s="20">
        <f t="shared" si="5"/>
        <v>0</v>
      </c>
    </row>
    <row r="27" spans="1:8" ht="15">
      <c r="A27" s="13"/>
      <c r="B27" s="13" t="s">
        <v>25</v>
      </c>
      <c r="C27" s="18">
        <f aca="true" t="shared" si="6" ref="C27:H27">SUM(C25:C26)</f>
        <v>0</v>
      </c>
      <c r="D27" s="18">
        <f t="shared" si="6"/>
        <v>0</v>
      </c>
      <c r="E27" s="18">
        <f t="shared" si="6"/>
        <v>-323.32197440400006</v>
      </c>
      <c r="F27" s="18">
        <f t="shared" si="6"/>
        <v>11599.596078094546</v>
      </c>
      <c r="G27" s="18">
        <f t="shared" si="6"/>
        <v>30429.02282171248</v>
      </c>
      <c r="H27" s="18">
        <f t="shared" si="6"/>
        <v>29924.284121030876</v>
      </c>
    </row>
    <row r="28" spans="1:8" ht="15">
      <c r="A28" s="15"/>
      <c r="B28" s="15"/>
      <c r="C28" s="15"/>
      <c r="D28" s="15"/>
      <c r="E28" s="15"/>
      <c r="F28" s="15"/>
      <c r="G28" s="15"/>
      <c r="H28" s="15"/>
    </row>
    <row r="29" spans="1:8" ht="15">
      <c r="A29" s="15"/>
      <c r="B29" s="15"/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</row>
    <row r="30" spans="1:9" ht="15">
      <c r="A30" s="15"/>
      <c r="B30" s="15"/>
      <c r="C30" s="24">
        <v>0.33</v>
      </c>
      <c r="D30" s="24">
        <v>0.32</v>
      </c>
      <c r="E30" s="24">
        <v>0.305</v>
      </c>
      <c r="F30" s="70"/>
      <c r="G30" s="70"/>
      <c r="H30" s="70"/>
      <c r="I30" s="68"/>
    </row>
    <row r="31" spans="1:8" ht="15">
      <c r="A31" s="15"/>
      <c r="B31" s="15"/>
      <c r="C31" s="71"/>
      <c r="D31" s="71"/>
      <c r="E31" s="71"/>
      <c r="F31" s="71"/>
      <c r="G31" s="71"/>
      <c r="H31" s="71"/>
    </row>
    <row r="32" spans="1:8" ht="15">
      <c r="A32" s="15"/>
      <c r="B32" s="15"/>
      <c r="C32" s="25" t="s">
        <v>26</v>
      </c>
      <c r="D32" s="25" t="s">
        <v>26</v>
      </c>
      <c r="E32" s="25" t="s">
        <v>26</v>
      </c>
      <c r="F32" s="25" t="s">
        <v>26</v>
      </c>
      <c r="G32" s="25" t="s">
        <v>26</v>
      </c>
      <c r="H32" s="25" t="s">
        <v>26</v>
      </c>
    </row>
    <row r="33" spans="1:8" ht="15">
      <c r="A33" s="15"/>
      <c r="B33" s="13" t="s">
        <v>23</v>
      </c>
      <c r="C33" s="20">
        <f aca="true" t="shared" si="7" ref="C33:H33">C25/(1-C12)</f>
        <v>0</v>
      </c>
      <c r="D33" s="20">
        <f t="shared" si="7"/>
        <v>0</v>
      </c>
      <c r="E33" s="20">
        <f>E25/(1-E12)</f>
        <v>-818.7851682766918</v>
      </c>
      <c r="F33" s="20">
        <f>F25/(1-F12)</f>
        <v>11266.22368446947</v>
      </c>
      <c r="G33" s="20">
        <f t="shared" si="7"/>
        <v>32624.80853907606</v>
      </c>
      <c r="H33" s="20">
        <f t="shared" si="7"/>
        <v>41706.319332447216</v>
      </c>
    </row>
    <row r="34" spans="1:8" ht="15">
      <c r="A34" s="15"/>
      <c r="B34" s="13" t="s">
        <v>24</v>
      </c>
      <c r="C34" s="20">
        <f aca="true" t="shared" si="8" ref="C34:H34">C20</f>
        <v>0</v>
      </c>
      <c r="D34" s="20">
        <f t="shared" si="8"/>
        <v>0</v>
      </c>
      <c r="E34" s="20">
        <f t="shared" si="8"/>
        <v>221.1701625</v>
      </c>
      <c r="F34" s="20">
        <f t="shared" si="8"/>
        <v>4051.2262095000006</v>
      </c>
      <c r="G34" s="20">
        <f t="shared" si="8"/>
        <v>7917.90492975</v>
      </c>
      <c r="H34" s="20">
        <f t="shared" si="8"/>
        <v>0</v>
      </c>
    </row>
    <row r="35" spans="1:8" ht="15">
      <c r="A35" s="15"/>
      <c r="B35" s="13" t="s">
        <v>25</v>
      </c>
      <c r="C35" s="26">
        <f aca="true" t="shared" si="9" ref="C35:H35">SUM(C33:C34)</f>
        <v>0</v>
      </c>
      <c r="D35" s="26">
        <f t="shared" si="9"/>
        <v>0</v>
      </c>
      <c r="E35" s="26">
        <f t="shared" si="9"/>
        <v>-597.6150057766918</v>
      </c>
      <c r="F35" s="26">
        <f t="shared" si="9"/>
        <v>15317.449893969471</v>
      </c>
      <c r="G35" s="26">
        <f t="shared" si="9"/>
        <v>40542.71346882606</v>
      </c>
      <c r="H35" s="26">
        <f t="shared" si="9"/>
        <v>41706.319332447216</v>
      </c>
    </row>
  </sheetData>
  <sheetProtection formatColumns="0" selectLockedCells="1"/>
  <printOptions/>
  <pageMargins left="0.75" right="0.75" top="1" bottom="1" header="0.5" footer="0.5"/>
  <pageSetup horizontalDpi="600" verticalDpi="600" orientation="portrait" scale="8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76"/>
  <sheetViews>
    <sheetView zoomScalePageLayoutView="0" workbookViewId="0" topLeftCell="A73">
      <selection activeCell="B99" sqref="B99"/>
    </sheetView>
  </sheetViews>
  <sheetFormatPr defaultColWidth="8.88671875" defaultRowHeight="15"/>
  <cols>
    <col min="1" max="1" width="8.88671875" style="12" customWidth="1"/>
    <col min="2" max="2" width="58.10546875" style="12" bestFit="1" customWidth="1"/>
    <col min="3" max="3" width="7.3359375" style="12" customWidth="1"/>
    <col min="4" max="4" width="9.6640625" style="32" bestFit="1" customWidth="1"/>
    <col min="5" max="6" width="10.3359375" style="32" bestFit="1" customWidth="1"/>
    <col min="7" max="9" width="10.3359375" style="12" bestFit="1" customWidth="1"/>
    <col min="10" max="10" width="8.88671875" style="12" customWidth="1"/>
    <col min="11" max="11" width="10.99609375" style="12" bestFit="1" customWidth="1"/>
    <col min="12" max="16384" width="8.88671875" style="12" customWidth="1"/>
  </cols>
  <sheetData>
    <row r="3" spans="1:9" ht="15">
      <c r="A3" s="27"/>
      <c r="B3" s="27"/>
      <c r="C3" s="27"/>
      <c r="D3" s="33"/>
      <c r="E3" s="33"/>
      <c r="F3" s="33"/>
      <c r="G3" s="27"/>
      <c r="H3" s="27"/>
      <c r="I3" s="27"/>
    </row>
    <row r="4" spans="1:9" ht="26.25">
      <c r="A4" s="27"/>
      <c r="B4" s="28" t="s">
        <v>33</v>
      </c>
      <c r="C4" s="28"/>
      <c r="D4" s="33"/>
      <c r="E4" s="33"/>
      <c r="F4" s="33"/>
      <c r="G4" s="27"/>
      <c r="H4" s="27"/>
      <c r="I4" s="27"/>
    </row>
    <row r="5" spans="1:9" ht="15">
      <c r="A5" s="27"/>
      <c r="B5" s="27"/>
      <c r="C5" s="27"/>
      <c r="D5" s="40">
        <v>2006</v>
      </c>
      <c r="E5" s="40">
        <v>2007</v>
      </c>
      <c r="F5" s="40">
        <v>2008</v>
      </c>
      <c r="G5" s="40">
        <v>2009</v>
      </c>
      <c r="H5" s="40">
        <v>2010</v>
      </c>
      <c r="I5" s="40">
        <v>2011</v>
      </c>
    </row>
    <row r="6" spans="1:9" ht="18">
      <c r="A6" s="27"/>
      <c r="B6" s="29" t="s">
        <v>46</v>
      </c>
      <c r="C6" s="29"/>
      <c r="D6" s="34" t="s">
        <v>81</v>
      </c>
      <c r="E6" s="34" t="s">
        <v>81</v>
      </c>
      <c r="F6" s="34" t="s">
        <v>81</v>
      </c>
      <c r="G6" s="34" t="s">
        <v>81</v>
      </c>
      <c r="H6" s="34" t="s">
        <v>81</v>
      </c>
      <c r="I6" s="34" t="s">
        <v>42</v>
      </c>
    </row>
    <row r="7" spans="1:9" ht="15">
      <c r="A7" s="27"/>
      <c r="B7" s="27"/>
      <c r="C7" s="27"/>
      <c r="D7" s="33"/>
      <c r="E7" s="33"/>
      <c r="F7" s="33"/>
      <c r="G7" s="33"/>
      <c r="H7" s="33"/>
      <c r="I7" s="33"/>
    </row>
    <row r="8" spans="1:9" ht="15">
      <c r="A8" s="27"/>
      <c r="B8" s="27" t="s">
        <v>27</v>
      </c>
      <c r="C8" s="27"/>
      <c r="D8" s="35">
        <v>0</v>
      </c>
      <c r="E8" s="35">
        <f>D10</f>
        <v>0</v>
      </c>
      <c r="F8" s="35">
        <f>E10</f>
        <v>0</v>
      </c>
      <c r="G8" s="35">
        <f>F10</f>
        <v>98297.85</v>
      </c>
      <c r="H8" s="35">
        <f>G10</f>
        <v>1862632.7400000002</v>
      </c>
      <c r="I8" s="35">
        <f>H10</f>
        <v>3768873.49</v>
      </c>
    </row>
    <row r="9" spans="1:11" ht="15">
      <c r="A9" s="27"/>
      <c r="B9" s="31" t="s">
        <v>47</v>
      </c>
      <c r="C9" s="31"/>
      <c r="D9" s="36">
        <v>0</v>
      </c>
      <c r="E9" s="36">
        <v>0</v>
      </c>
      <c r="F9" s="36">
        <v>98297.85</v>
      </c>
      <c r="G9" s="36">
        <v>1764334.8900000001</v>
      </c>
      <c r="H9" s="36">
        <v>1906240.75</v>
      </c>
      <c r="I9" s="36">
        <v>11000</v>
      </c>
      <c r="K9" s="78"/>
    </row>
    <row r="10" spans="1:9" ht="15">
      <c r="A10" s="27"/>
      <c r="B10" s="27" t="s">
        <v>28</v>
      </c>
      <c r="C10" s="27"/>
      <c r="D10" s="35">
        <f aca="true" t="shared" si="0" ref="D10:I10">SUM(D8:D9)</f>
        <v>0</v>
      </c>
      <c r="E10" s="35">
        <f t="shared" si="0"/>
        <v>0</v>
      </c>
      <c r="F10" s="35">
        <f t="shared" si="0"/>
        <v>98297.85</v>
      </c>
      <c r="G10" s="35">
        <f t="shared" si="0"/>
        <v>1862632.7400000002</v>
      </c>
      <c r="H10" s="35">
        <f t="shared" si="0"/>
        <v>3768873.49</v>
      </c>
      <c r="I10" s="35">
        <f t="shared" si="0"/>
        <v>3779873.49</v>
      </c>
    </row>
    <row r="11" spans="1:9" ht="15">
      <c r="A11" s="27"/>
      <c r="B11" s="27"/>
      <c r="C11" s="27"/>
      <c r="D11" s="37"/>
      <c r="E11" s="37"/>
      <c r="F11" s="33"/>
      <c r="G11" s="33"/>
      <c r="H11" s="33"/>
      <c r="I11" s="33"/>
    </row>
    <row r="12" spans="1:9" ht="15">
      <c r="A12" s="27"/>
      <c r="B12" s="27" t="s">
        <v>29</v>
      </c>
      <c r="C12" s="27"/>
      <c r="D12" s="35">
        <v>0</v>
      </c>
      <c r="E12" s="35">
        <f>D15</f>
        <v>0</v>
      </c>
      <c r="F12" s="35">
        <f>E15</f>
        <v>0</v>
      </c>
      <c r="G12" s="35">
        <f>F15</f>
        <v>0</v>
      </c>
      <c r="H12" s="35">
        <f>G15</f>
        <v>62087.75800000001</v>
      </c>
      <c r="I12" s="35">
        <f>H15</f>
        <v>249804.63233333337</v>
      </c>
    </row>
    <row r="13" spans="1:11" ht="15">
      <c r="A13" s="27"/>
      <c r="B13" s="31" t="s">
        <v>49</v>
      </c>
      <c r="C13" s="42" t="s">
        <v>66</v>
      </c>
      <c r="D13" s="33">
        <f aca="true" t="shared" si="1" ref="D13:I13">D9/15/2</f>
        <v>0</v>
      </c>
      <c r="E13" s="33">
        <f t="shared" si="1"/>
        <v>0</v>
      </c>
      <c r="F13" s="33">
        <v>0</v>
      </c>
      <c r="G13" s="81">
        <f>G10/15/2</f>
        <v>62087.75800000001</v>
      </c>
      <c r="H13" s="33">
        <f t="shared" si="1"/>
        <v>63541.35833333333</v>
      </c>
      <c r="I13" s="33">
        <f t="shared" si="1"/>
        <v>366.6666666666667</v>
      </c>
      <c r="K13" s="78"/>
    </row>
    <row r="14" spans="1:11" ht="15">
      <c r="A14" s="27"/>
      <c r="B14" s="31" t="s">
        <v>50</v>
      </c>
      <c r="C14"/>
      <c r="D14" s="33">
        <f aca="true" t="shared" si="2" ref="D14:I14">D8/15</f>
        <v>0</v>
      </c>
      <c r="E14" s="33">
        <f t="shared" si="2"/>
        <v>0</v>
      </c>
      <c r="F14" s="33">
        <f t="shared" si="2"/>
        <v>0</v>
      </c>
      <c r="G14" s="33">
        <v>0</v>
      </c>
      <c r="H14" s="33">
        <f t="shared" si="2"/>
        <v>124175.51600000002</v>
      </c>
      <c r="I14" s="33">
        <f t="shared" si="2"/>
        <v>251258.23266666668</v>
      </c>
      <c r="K14" s="78"/>
    </row>
    <row r="15" spans="1:9" ht="15">
      <c r="A15" s="27"/>
      <c r="B15" s="27" t="s">
        <v>30</v>
      </c>
      <c r="C15" s="27"/>
      <c r="D15" s="35">
        <f aca="true" t="shared" si="3" ref="D15:I15">SUM(D12:D14)</f>
        <v>0</v>
      </c>
      <c r="E15" s="35">
        <f t="shared" si="3"/>
        <v>0</v>
      </c>
      <c r="F15" s="35">
        <f t="shared" si="3"/>
        <v>0</v>
      </c>
      <c r="G15" s="35">
        <f t="shared" si="3"/>
        <v>62087.75800000001</v>
      </c>
      <c r="H15" s="35">
        <f t="shared" si="3"/>
        <v>249804.63233333337</v>
      </c>
      <c r="I15" s="35">
        <f t="shared" si="3"/>
        <v>501429.53166666673</v>
      </c>
    </row>
    <row r="16" spans="1:9" ht="15">
      <c r="A16" s="27"/>
      <c r="B16" s="27"/>
      <c r="C16" s="27"/>
      <c r="D16" s="38"/>
      <c r="E16" s="38"/>
      <c r="F16" s="33"/>
      <c r="G16" s="33"/>
      <c r="H16" s="33"/>
      <c r="I16" s="33"/>
    </row>
    <row r="17" spans="1:9" ht="15">
      <c r="A17" s="27"/>
      <c r="B17" s="27" t="s">
        <v>31</v>
      </c>
      <c r="C17" s="27"/>
      <c r="D17" s="33">
        <f aca="true" t="shared" si="4" ref="D17:I17">D8-D12</f>
        <v>0</v>
      </c>
      <c r="E17" s="33">
        <f t="shared" si="4"/>
        <v>0</v>
      </c>
      <c r="F17" s="33">
        <f t="shared" si="4"/>
        <v>0</v>
      </c>
      <c r="G17" s="33">
        <f t="shared" si="4"/>
        <v>98297.85</v>
      </c>
      <c r="H17" s="33">
        <f t="shared" si="4"/>
        <v>1800544.9820000003</v>
      </c>
      <c r="I17" s="33">
        <f t="shared" si="4"/>
        <v>3519068.8576666666</v>
      </c>
    </row>
    <row r="18" spans="1:9" ht="15">
      <c r="A18" s="27"/>
      <c r="B18" s="27" t="s">
        <v>32</v>
      </c>
      <c r="C18" s="27"/>
      <c r="D18" s="35">
        <f aca="true" t="shared" si="5" ref="D18:I18">D10-D15</f>
        <v>0</v>
      </c>
      <c r="E18" s="35">
        <f t="shared" si="5"/>
        <v>0</v>
      </c>
      <c r="F18" s="35">
        <f t="shared" si="5"/>
        <v>98297.85</v>
      </c>
      <c r="G18" s="35">
        <f t="shared" si="5"/>
        <v>1800544.9820000003</v>
      </c>
      <c r="H18" s="35">
        <f t="shared" si="5"/>
        <v>3519068.8576666666</v>
      </c>
      <c r="I18" s="35">
        <f t="shared" si="5"/>
        <v>3278443.9583333335</v>
      </c>
    </row>
    <row r="19" spans="1:9" ht="15.75" thickBot="1">
      <c r="A19" s="27"/>
      <c r="B19" s="27" t="s">
        <v>33</v>
      </c>
      <c r="C19" s="27"/>
      <c r="D19" s="39">
        <f aca="true" t="shared" si="6" ref="D19:I19">SUM(D17:D18)/2</f>
        <v>0</v>
      </c>
      <c r="E19" s="39">
        <f t="shared" si="6"/>
        <v>0</v>
      </c>
      <c r="F19" s="39">
        <f t="shared" si="6"/>
        <v>49148.925</v>
      </c>
      <c r="G19" s="39">
        <f t="shared" si="6"/>
        <v>949421.4160000002</v>
      </c>
      <c r="H19" s="39">
        <f t="shared" si="6"/>
        <v>2659806.919833333</v>
      </c>
      <c r="I19" s="39">
        <f t="shared" si="6"/>
        <v>3398756.408</v>
      </c>
    </row>
    <row r="20" spans="1:9" ht="15">
      <c r="A20" s="27"/>
      <c r="B20" s="27"/>
      <c r="C20" s="27"/>
      <c r="D20" s="37"/>
      <c r="E20" s="37"/>
      <c r="F20" s="37"/>
      <c r="G20" s="30"/>
      <c r="H20" s="30"/>
      <c r="I20" s="30"/>
    </row>
    <row r="21" spans="1:9" ht="15">
      <c r="A21" s="27"/>
      <c r="B21" s="27"/>
      <c r="C21" s="27"/>
      <c r="D21" s="34"/>
      <c r="E21" s="34"/>
      <c r="F21" s="34"/>
      <c r="G21" s="27"/>
      <c r="H21" s="27"/>
      <c r="I21" s="27"/>
    </row>
    <row r="22" spans="1:9" ht="15">
      <c r="A22" s="27"/>
      <c r="B22" s="27"/>
      <c r="C22" s="27"/>
      <c r="D22" s="40">
        <v>2006</v>
      </c>
      <c r="E22" s="40">
        <v>2007</v>
      </c>
      <c r="F22" s="40">
        <v>2008</v>
      </c>
      <c r="G22" s="40">
        <v>2009</v>
      </c>
      <c r="H22" s="40">
        <v>2010</v>
      </c>
      <c r="I22" s="40">
        <v>2011</v>
      </c>
    </row>
    <row r="23" spans="1:9" ht="18">
      <c r="A23" s="27"/>
      <c r="B23" s="29" t="s">
        <v>46</v>
      </c>
      <c r="C23" s="29"/>
      <c r="D23" s="34" t="s">
        <v>81</v>
      </c>
      <c r="E23" s="34" t="s">
        <v>81</v>
      </c>
      <c r="F23" s="34" t="s">
        <v>81</v>
      </c>
      <c r="G23" s="34" t="s">
        <v>81</v>
      </c>
      <c r="H23" s="34" t="s">
        <v>42</v>
      </c>
      <c r="I23" s="34" t="s">
        <v>42</v>
      </c>
    </row>
    <row r="24" spans="1:9" ht="15">
      <c r="A24" s="27"/>
      <c r="B24" s="27"/>
      <c r="C24" s="27"/>
      <c r="D24" s="33"/>
      <c r="E24" s="33"/>
      <c r="F24" s="33"/>
      <c r="G24" s="33"/>
      <c r="H24" s="33"/>
      <c r="I24" s="33"/>
    </row>
    <row r="25" spans="1:9" ht="15">
      <c r="A25" s="27"/>
      <c r="B25" s="27" t="s">
        <v>27</v>
      </c>
      <c r="C25" s="27"/>
      <c r="D25" s="35">
        <v>0</v>
      </c>
      <c r="E25" s="35">
        <f>D27</f>
        <v>0</v>
      </c>
      <c r="F25" s="35">
        <f>E27</f>
        <v>0</v>
      </c>
      <c r="G25" s="35">
        <f>F27</f>
        <v>0</v>
      </c>
      <c r="H25" s="35">
        <f>G27</f>
        <v>0</v>
      </c>
      <c r="I25" s="35">
        <f>H27</f>
        <v>0</v>
      </c>
    </row>
    <row r="26" spans="1:9" ht="15">
      <c r="A26" s="27"/>
      <c r="B26" s="31" t="s">
        <v>47</v>
      </c>
      <c r="C26" s="31"/>
      <c r="D26" s="36">
        <f>D9</f>
        <v>0</v>
      </c>
      <c r="E26" s="36">
        <v>0</v>
      </c>
      <c r="F26" s="36">
        <v>0</v>
      </c>
      <c r="G26" s="36"/>
      <c r="H26" s="36"/>
      <c r="I26" s="36"/>
    </row>
    <row r="27" spans="1:9" ht="15">
      <c r="A27" s="27"/>
      <c r="B27" s="27" t="s">
        <v>28</v>
      </c>
      <c r="C27" s="27"/>
      <c r="D27" s="35">
        <f aca="true" t="shared" si="7" ref="D27:I27">SUM(D25:D26)</f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</row>
    <row r="28" spans="1:9" ht="15">
      <c r="A28" s="27"/>
      <c r="B28" s="27"/>
      <c r="C28" s="27"/>
      <c r="D28" s="37"/>
      <c r="E28" s="37"/>
      <c r="F28" s="33"/>
      <c r="G28" s="33"/>
      <c r="H28" s="33"/>
      <c r="I28" s="33"/>
    </row>
    <row r="29" spans="1:9" ht="15">
      <c r="A29" s="27"/>
      <c r="B29" s="27" t="s">
        <v>29</v>
      </c>
      <c r="C29" s="27"/>
      <c r="D29" s="35">
        <v>0</v>
      </c>
      <c r="E29" s="35">
        <f>D32</f>
        <v>0</v>
      </c>
      <c r="F29" s="35">
        <f>E32</f>
        <v>0</v>
      </c>
      <c r="G29" s="35">
        <f>F32</f>
        <v>0</v>
      </c>
      <c r="H29" s="35">
        <f>G32</f>
        <v>0</v>
      </c>
      <c r="I29" s="35">
        <f>H32</f>
        <v>0</v>
      </c>
    </row>
    <row r="30" spans="1:9" ht="15">
      <c r="A30" s="27"/>
      <c r="B30" s="31" t="s">
        <v>49</v>
      </c>
      <c r="C30" s="42" t="s">
        <v>82</v>
      </c>
      <c r="D30" s="33">
        <f aca="true" t="shared" si="8" ref="D30:I30">D26/5/2</f>
        <v>0</v>
      </c>
      <c r="E30" s="33">
        <f t="shared" si="8"/>
        <v>0</v>
      </c>
      <c r="F30" s="33">
        <f t="shared" si="8"/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</row>
    <row r="31" spans="1:9" ht="15">
      <c r="A31" s="27"/>
      <c r="B31" s="31" t="s">
        <v>50</v>
      </c>
      <c r="C31"/>
      <c r="D31" s="33">
        <f aca="true" t="shared" si="9" ref="D31:I31">D25/3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</row>
    <row r="32" spans="1:9" ht="15">
      <c r="A32" s="27"/>
      <c r="B32" s="27" t="s">
        <v>30</v>
      </c>
      <c r="C32" s="27"/>
      <c r="D32" s="35">
        <f aca="true" t="shared" si="10" ref="D32:I32">SUM(D29:D31)</f>
        <v>0</v>
      </c>
      <c r="E32" s="35">
        <f t="shared" si="10"/>
        <v>0</v>
      </c>
      <c r="F32" s="35">
        <f t="shared" si="10"/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</row>
    <row r="33" spans="1:9" ht="15">
      <c r="A33" s="27"/>
      <c r="B33" s="27"/>
      <c r="C33" s="27"/>
      <c r="D33" s="38"/>
      <c r="E33" s="38"/>
      <c r="F33" s="33"/>
      <c r="G33" s="33"/>
      <c r="H33" s="33"/>
      <c r="I33" s="33"/>
    </row>
    <row r="34" spans="1:9" ht="15">
      <c r="A34" s="27"/>
      <c r="B34" s="27" t="s">
        <v>31</v>
      </c>
      <c r="C34" s="27"/>
      <c r="D34" s="33">
        <f aca="true" t="shared" si="11" ref="D34:I34">D25-D29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</row>
    <row r="35" spans="1:9" ht="15">
      <c r="A35" s="27"/>
      <c r="B35" s="27" t="s">
        <v>32</v>
      </c>
      <c r="C35" s="27"/>
      <c r="D35" s="35">
        <f aca="true" t="shared" si="12" ref="D35:I35">D27-D32</f>
        <v>0</v>
      </c>
      <c r="E35" s="35">
        <f t="shared" si="12"/>
        <v>0</v>
      </c>
      <c r="F35" s="35">
        <f t="shared" si="12"/>
        <v>0</v>
      </c>
      <c r="G35" s="35">
        <f t="shared" si="12"/>
        <v>0</v>
      </c>
      <c r="H35" s="35">
        <f t="shared" si="12"/>
        <v>0</v>
      </c>
      <c r="I35" s="35">
        <f t="shared" si="12"/>
        <v>0</v>
      </c>
    </row>
    <row r="36" spans="1:9" ht="15.75" thickBot="1">
      <c r="A36" s="27"/>
      <c r="B36" s="27" t="s">
        <v>33</v>
      </c>
      <c r="C36" s="27"/>
      <c r="D36" s="39">
        <f aca="true" t="shared" si="13" ref="D36:I36">SUM(D34:D35)/2</f>
        <v>0</v>
      </c>
      <c r="E36" s="39">
        <f t="shared" si="13"/>
        <v>0</v>
      </c>
      <c r="F36" s="39">
        <f t="shared" si="13"/>
        <v>0</v>
      </c>
      <c r="G36" s="39">
        <f t="shared" si="13"/>
        <v>0</v>
      </c>
      <c r="H36" s="39">
        <f t="shared" si="13"/>
        <v>0</v>
      </c>
      <c r="I36" s="39">
        <f t="shared" si="13"/>
        <v>0</v>
      </c>
    </row>
    <row r="37" spans="1:9" ht="15">
      <c r="A37" s="27"/>
      <c r="B37" s="27"/>
      <c r="C37" s="27"/>
      <c r="D37" s="33"/>
      <c r="E37" s="33"/>
      <c r="F37" s="33"/>
      <c r="G37" s="27"/>
      <c r="H37" s="27"/>
      <c r="I37" s="27"/>
    </row>
    <row r="38" spans="1:9" ht="15">
      <c r="A38" s="27"/>
      <c r="B38" s="27"/>
      <c r="C38" s="27"/>
      <c r="D38" s="33"/>
      <c r="E38" s="33"/>
      <c r="F38" s="33"/>
      <c r="G38" s="27"/>
      <c r="H38" s="27"/>
      <c r="I38" s="27"/>
    </row>
    <row r="39" spans="1:9" ht="15">
      <c r="A39" s="27"/>
      <c r="B39" s="27"/>
      <c r="C39" s="27"/>
      <c r="D39" s="33"/>
      <c r="E39" s="33"/>
      <c r="F39" s="33"/>
      <c r="G39" s="66"/>
      <c r="H39" s="27"/>
      <c r="I39" s="27"/>
    </row>
    <row r="40" spans="1:9" ht="15">
      <c r="A40" s="27"/>
      <c r="B40" s="27"/>
      <c r="C40" s="27"/>
      <c r="D40" s="33"/>
      <c r="E40" s="33"/>
      <c r="F40" s="33"/>
      <c r="G40" s="27"/>
      <c r="H40" s="27"/>
      <c r="I40" s="27"/>
    </row>
    <row r="41" spans="1:9" ht="15">
      <c r="A41" s="27"/>
      <c r="B41" s="27"/>
      <c r="C41" s="27"/>
      <c r="D41" s="33"/>
      <c r="E41" s="33"/>
      <c r="F41" s="33"/>
      <c r="G41" s="27"/>
      <c r="H41" s="27"/>
      <c r="I41" s="27"/>
    </row>
    <row r="42" spans="1:9" ht="15">
      <c r="A42" s="27"/>
      <c r="B42" s="27"/>
      <c r="C42" s="27"/>
      <c r="D42" s="33"/>
      <c r="E42" s="33"/>
      <c r="F42" s="33"/>
      <c r="G42" s="27"/>
      <c r="H42" s="27"/>
      <c r="I42" s="27"/>
    </row>
    <row r="43" spans="1:9" ht="15">
      <c r="A43" s="27"/>
      <c r="B43" s="27"/>
      <c r="C43" s="27"/>
      <c r="D43" s="33"/>
      <c r="E43" s="33"/>
      <c r="F43" s="33"/>
      <c r="G43" s="27"/>
      <c r="H43" s="27"/>
      <c r="I43" s="27"/>
    </row>
    <row r="44" spans="1:9" ht="15">
      <c r="A44" s="27"/>
      <c r="B44" s="27"/>
      <c r="C44" s="27"/>
      <c r="D44" s="33"/>
      <c r="E44" s="33"/>
      <c r="F44" s="33"/>
      <c r="G44" s="27"/>
      <c r="H44" s="27"/>
      <c r="I44" s="27"/>
    </row>
    <row r="45" spans="1:9" ht="26.25">
      <c r="A45" s="27"/>
      <c r="B45" s="28" t="s">
        <v>34</v>
      </c>
      <c r="C45" s="28"/>
      <c r="D45" s="33"/>
      <c r="E45" s="33"/>
      <c r="F45" s="33"/>
      <c r="G45" s="27"/>
      <c r="H45" s="27"/>
      <c r="I45" s="27"/>
    </row>
    <row r="46" spans="1:9" ht="15">
      <c r="A46" s="27"/>
      <c r="B46" s="27"/>
      <c r="C46" s="27"/>
      <c r="D46" s="33"/>
      <c r="E46" s="33"/>
      <c r="F46" s="33"/>
      <c r="G46" s="27"/>
      <c r="H46" s="27"/>
      <c r="I46" s="27"/>
    </row>
    <row r="47" spans="1:9" ht="18">
      <c r="A47" s="27"/>
      <c r="B47" s="29" t="s">
        <v>48</v>
      </c>
      <c r="C47" s="29"/>
      <c r="D47" s="40">
        <v>2006</v>
      </c>
      <c r="E47" s="40">
        <v>2007</v>
      </c>
      <c r="F47" s="40">
        <v>2008</v>
      </c>
      <c r="G47" s="40">
        <v>2009</v>
      </c>
      <c r="H47" s="40">
        <v>2009</v>
      </c>
      <c r="I47" s="40">
        <v>2009</v>
      </c>
    </row>
    <row r="48" spans="1:9" ht="15">
      <c r="A48" s="27"/>
      <c r="B48" s="27"/>
      <c r="C48" s="27"/>
      <c r="D48" s="34" t="s">
        <v>42</v>
      </c>
      <c r="E48" s="34" t="s">
        <v>42</v>
      </c>
      <c r="F48" s="34" t="s">
        <v>42</v>
      </c>
      <c r="G48" s="34" t="s">
        <v>42</v>
      </c>
      <c r="H48" s="34" t="s">
        <v>42</v>
      </c>
      <c r="I48" s="34" t="s">
        <v>42</v>
      </c>
    </row>
    <row r="49" spans="1:9" ht="15">
      <c r="A49" s="27"/>
      <c r="B49" s="27"/>
      <c r="C49" s="27"/>
      <c r="D49" s="33"/>
      <c r="E49" s="33"/>
      <c r="F49" s="33"/>
      <c r="G49" s="33"/>
      <c r="H49" s="33"/>
      <c r="I49" s="33"/>
    </row>
    <row r="50" spans="1:9" ht="15">
      <c r="A50" s="27"/>
      <c r="B50" s="27" t="s">
        <v>35</v>
      </c>
      <c r="C50" s="27"/>
      <c r="D50" s="35">
        <v>0</v>
      </c>
      <c r="E50" s="35">
        <f>D58</f>
        <v>0</v>
      </c>
      <c r="F50" s="35">
        <f>E58</f>
        <v>0</v>
      </c>
      <c r="G50" s="35">
        <f>F58</f>
        <v>94365.936</v>
      </c>
      <c r="H50" s="35">
        <f>G58</f>
        <v>1780578.15552</v>
      </c>
      <c r="I50" s="35">
        <f>H58</f>
        <v>3468123.0230784</v>
      </c>
    </row>
    <row r="51" spans="1:9" ht="15">
      <c r="A51" s="27"/>
      <c r="B51" s="27" t="s">
        <v>36</v>
      </c>
      <c r="C51" s="27"/>
      <c r="D51" s="33">
        <f aca="true" t="shared" si="14" ref="D51:I51">D9</f>
        <v>0</v>
      </c>
      <c r="E51" s="33">
        <f t="shared" si="14"/>
        <v>0</v>
      </c>
      <c r="F51" s="33">
        <f t="shared" si="14"/>
        <v>98297.85</v>
      </c>
      <c r="G51" s="33">
        <f t="shared" si="14"/>
        <v>1764334.8900000001</v>
      </c>
      <c r="H51" s="33">
        <f t="shared" si="14"/>
        <v>1906240.75</v>
      </c>
      <c r="I51" s="33">
        <f t="shared" si="14"/>
        <v>11000</v>
      </c>
    </row>
    <row r="52" spans="1:9" ht="15">
      <c r="A52" s="27"/>
      <c r="B52" s="27" t="s">
        <v>37</v>
      </c>
      <c r="C52" s="27"/>
      <c r="D52" s="35">
        <f aca="true" t="shared" si="15" ref="D52:I52">SUM(D50:D51)</f>
        <v>0</v>
      </c>
      <c r="E52" s="35">
        <f t="shared" si="15"/>
        <v>0</v>
      </c>
      <c r="F52" s="35">
        <f t="shared" si="15"/>
        <v>98297.85</v>
      </c>
      <c r="G52" s="35">
        <f t="shared" si="15"/>
        <v>1858700.8260000001</v>
      </c>
      <c r="H52" s="35">
        <f t="shared" si="15"/>
        <v>3686818.90552</v>
      </c>
      <c r="I52" s="35">
        <f t="shared" si="15"/>
        <v>3479123.0230784</v>
      </c>
    </row>
    <row r="53" spans="1:9" ht="15">
      <c r="A53" s="27"/>
      <c r="B53" s="27" t="s">
        <v>38</v>
      </c>
      <c r="C53" s="27"/>
      <c r="D53" s="33">
        <f aca="true" t="shared" si="16" ref="D53:I53">D51/2</f>
        <v>0</v>
      </c>
      <c r="E53" s="33">
        <f t="shared" si="16"/>
        <v>0</v>
      </c>
      <c r="F53" s="33">
        <f t="shared" si="16"/>
        <v>49148.925</v>
      </c>
      <c r="G53" s="33">
        <f t="shared" si="16"/>
        <v>882167.4450000001</v>
      </c>
      <c r="H53" s="33">
        <f t="shared" si="16"/>
        <v>953120.375</v>
      </c>
      <c r="I53" s="33">
        <f t="shared" si="16"/>
        <v>5500</v>
      </c>
    </row>
    <row r="54" spans="1:9" ht="15">
      <c r="A54" s="27"/>
      <c r="B54" s="27" t="s">
        <v>39</v>
      </c>
      <c r="C54" s="27"/>
      <c r="D54" s="35">
        <f aca="true" t="shared" si="17" ref="D54:I54">D52-D53</f>
        <v>0</v>
      </c>
      <c r="E54" s="35">
        <f t="shared" si="17"/>
        <v>0</v>
      </c>
      <c r="F54" s="35">
        <f t="shared" si="17"/>
        <v>49148.925</v>
      </c>
      <c r="G54" s="35">
        <f t="shared" si="17"/>
        <v>976533.381</v>
      </c>
      <c r="H54" s="35">
        <f t="shared" si="17"/>
        <v>2733698.53052</v>
      </c>
      <c r="I54" s="35">
        <f t="shared" si="17"/>
        <v>3473623.0230784</v>
      </c>
    </row>
    <row r="55" spans="1:9" ht="15">
      <c r="A55" s="27"/>
      <c r="B55" s="27" t="s">
        <v>43</v>
      </c>
      <c r="C55" s="41">
        <v>47</v>
      </c>
      <c r="D55" s="43"/>
      <c r="E55" s="44"/>
      <c r="F55" s="44"/>
      <c r="G55" s="44"/>
      <c r="H55" s="44"/>
      <c r="I55" s="44"/>
    </row>
    <row r="56" spans="1:9" ht="15">
      <c r="A56" s="27"/>
      <c r="B56" s="27" t="s">
        <v>44</v>
      </c>
      <c r="C56" s="42">
        <v>0.08</v>
      </c>
      <c r="D56" s="43"/>
      <c r="E56" s="44"/>
      <c r="F56" s="44"/>
      <c r="G56" s="44"/>
      <c r="H56" s="44"/>
      <c r="I56" s="44"/>
    </row>
    <row r="57" spans="1:9" ht="15">
      <c r="A57" s="27"/>
      <c r="B57" s="27" t="s">
        <v>40</v>
      </c>
      <c r="C57" s="27"/>
      <c r="D57" s="35">
        <f aca="true" t="shared" si="18" ref="D57:I57">D54*$C$56</f>
        <v>0</v>
      </c>
      <c r="E57" s="35">
        <f t="shared" si="18"/>
        <v>0</v>
      </c>
      <c r="F57" s="35">
        <f t="shared" si="18"/>
        <v>3931.914</v>
      </c>
      <c r="G57" s="35">
        <f t="shared" si="18"/>
        <v>78122.67048</v>
      </c>
      <c r="H57" s="35">
        <f>H54*$C$56</f>
        <v>218695.8824416</v>
      </c>
      <c r="I57" s="35">
        <f t="shared" si="18"/>
        <v>277889.841846272</v>
      </c>
    </row>
    <row r="58" spans="1:9" ht="15.75" thickBot="1">
      <c r="A58" s="27"/>
      <c r="B58" s="27" t="s">
        <v>41</v>
      </c>
      <c r="C58" s="27"/>
      <c r="D58" s="39">
        <f aca="true" t="shared" si="19" ref="D58:I58">D52-D57</f>
        <v>0</v>
      </c>
      <c r="E58" s="39">
        <f t="shared" si="19"/>
        <v>0</v>
      </c>
      <c r="F58" s="39">
        <f t="shared" si="19"/>
        <v>94365.936</v>
      </c>
      <c r="G58" s="39">
        <f t="shared" si="19"/>
        <v>1780578.15552</v>
      </c>
      <c r="H58" s="39">
        <f t="shared" si="19"/>
        <v>3468123.0230784</v>
      </c>
      <c r="I58" s="39">
        <f t="shared" si="19"/>
        <v>3201233.1812321283</v>
      </c>
    </row>
    <row r="59" spans="1:9" ht="15">
      <c r="A59" s="27"/>
      <c r="B59" s="27"/>
      <c r="C59" s="27"/>
      <c r="D59" s="33"/>
      <c r="E59" s="33"/>
      <c r="F59" s="33"/>
      <c r="G59" s="27"/>
      <c r="H59" s="27"/>
      <c r="I59" s="27"/>
    </row>
    <row r="64" spans="2:9" ht="18">
      <c r="B64" s="29" t="s">
        <v>48</v>
      </c>
      <c r="C64" s="29"/>
      <c r="D64" s="40">
        <v>2006</v>
      </c>
      <c r="E64" s="40">
        <v>2007</v>
      </c>
      <c r="F64" s="40">
        <v>2008</v>
      </c>
      <c r="G64" s="40">
        <v>2009</v>
      </c>
      <c r="H64" s="40">
        <v>2009</v>
      </c>
      <c r="I64" s="40">
        <v>2009</v>
      </c>
    </row>
    <row r="65" spans="2:9" ht="15">
      <c r="B65" s="27"/>
      <c r="C65" s="27"/>
      <c r="D65" s="34" t="s">
        <v>42</v>
      </c>
      <c r="E65" s="34" t="s">
        <v>42</v>
      </c>
      <c r="F65" s="34" t="s">
        <v>42</v>
      </c>
      <c r="G65" s="34" t="s">
        <v>42</v>
      </c>
      <c r="H65" s="34" t="s">
        <v>42</v>
      </c>
      <c r="I65" s="34" t="s">
        <v>42</v>
      </c>
    </row>
    <row r="66" spans="2:9" ht="15">
      <c r="B66" s="27"/>
      <c r="C66" s="27"/>
      <c r="D66" s="33"/>
      <c r="E66" s="33"/>
      <c r="F66" s="33"/>
      <c r="G66" s="33"/>
      <c r="H66" s="33"/>
      <c r="I66" s="33"/>
    </row>
    <row r="67" spans="2:9" ht="15">
      <c r="B67" s="27" t="s">
        <v>35</v>
      </c>
      <c r="C67" s="27"/>
      <c r="D67" s="35">
        <v>0</v>
      </c>
      <c r="E67" s="35">
        <f>D75</f>
        <v>0</v>
      </c>
      <c r="F67" s="35">
        <f>E75</f>
        <v>0</v>
      </c>
      <c r="G67" s="35">
        <f>F75</f>
        <v>0</v>
      </c>
      <c r="H67" s="35">
        <f>G75</f>
        <v>0</v>
      </c>
      <c r="I67" s="35">
        <f>H75</f>
        <v>0</v>
      </c>
    </row>
    <row r="68" spans="2:9" ht="15">
      <c r="B68" s="27" t="s">
        <v>36</v>
      </c>
      <c r="C68" s="27"/>
      <c r="D68" s="33">
        <f aca="true" t="shared" si="20" ref="D68:I68">D26</f>
        <v>0</v>
      </c>
      <c r="E68" s="33">
        <f t="shared" si="20"/>
        <v>0</v>
      </c>
      <c r="F68" s="33">
        <f t="shared" si="20"/>
        <v>0</v>
      </c>
      <c r="G68" s="33">
        <f t="shared" si="20"/>
        <v>0</v>
      </c>
      <c r="H68" s="33">
        <f t="shared" si="20"/>
        <v>0</v>
      </c>
      <c r="I68" s="33">
        <f t="shared" si="20"/>
        <v>0</v>
      </c>
    </row>
    <row r="69" spans="2:9" ht="15">
      <c r="B69" s="27" t="s">
        <v>37</v>
      </c>
      <c r="C69" s="27"/>
      <c r="D69" s="35">
        <f aca="true" t="shared" si="21" ref="D69:I69">SUM(D67:D68)</f>
        <v>0</v>
      </c>
      <c r="E69" s="35">
        <f t="shared" si="21"/>
        <v>0</v>
      </c>
      <c r="F69" s="35">
        <f t="shared" si="21"/>
        <v>0</v>
      </c>
      <c r="G69" s="35">
        <f t="shared" si="21"/>
        <v>0</v>
      </c>
      <c r="H69" s="35">
        <f t="shared" si="21"/>
        <v>0</v>
      </c>
      <c r="I69" s="35">
        <f t="shared" si="21"/>
        <v>0</v>
      </c>
    </row>
    <row r="70" spans="2:9" ht="15">
      <c r="B70" s="27" t="s">
        <v>38</v>
      </c>
      <c r="C70" s="27"/>
      <c r="D70" s="33">
        <f aca="true" t="shared" si="22" ref="D70:I70">D68/2</f>
        <v>0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</row>
    <row r="71" spans="2:9" ht="15">
      <c r="B71" s="27" t="s">
        <v>39</v>
      </c>
      <c r="C71" s="27"/>
      <c r="D71" s="35">
        <f aca="true" t="shared" si="23" ref="D71:I71">D69-D70</f>
        <v>0</v>
      </c>
      <c r="E71" s="35">
        <f t="shared" si="23"/>
        <v>0</v>
      </c>
      <c r="F71" s="35">
        <f t="shared" si="23"/>
        <v>0</v>
      </c>
      <c r="G71" s="35">
        <f t="shared" si="23"/>
        <v>0</v>
      </c>
      <c r="H71" s="35">
        <f t="shared" si="23"/>
        <v>0</v>
      </c>
      <c r="I71" s="35">
        <f t="shared" si="23"/>
        <v>0</v>
      </c>
    </row>
    <row r="72" spans="2:9" ht="15">
      <c r="B72" s="27" t="s">
        <v>43</v>
      </c>
      <c r="C72" s="41">
        <v>50</v>
      </c>
      <c r="D72" s="43"/>
      <c r="E72" s="44"/>
      <c r="F72" s="44"/>
      <c r="G72" s="44"/>
      <c r="H72" s="44"/>
      <c r="I72" s="44"/>
    </row>
    <row r="73" spans="2:9" ht="15">
      <c r="B73" s="27" t="s">
        <v>44</v>
      </c>
      <c r="C73" s="42">
        <v>0.55</v>
      </c>
      <c r="D73" s="43"/>
      <c r="E73" s="44"/>
      <c r="F73" s="44"/>
      <c r="G73" s="44"/>
      <c r="H73" s="44"/>
      <c r="I73" s="44"/>
    </row>
    <row r="74" spans="2:9" ht="15">
      <c r="B74" s="27" t="s">
        <v>40</v>
      </c>
      <c r="C74" s="27"/>
      <c r="D74" s="35">
        <f>D71*$C$56</f>
        <v>0</v>
      </c>
      <c r="E74" s="35">
        <f>E71*$C$73</f>
        <v>0</v>
      </c>
      <c r="F74" s="35">
        <f>F71*$C$73</f>
        <v>0</v>
      </c>
      <c r="G74" s="35">
        <f>G71*$C$73</f>
        <v>0</v>
      </c>
      <c r="H74" s="35">
        <f>H71*$C$73</f>
        <v>0</v>
      </c>
      <c r="I74" s="35">
        <f>I71*$C$73</f>
        <v>0</v>
      </c>
    </row>
    <row r="75" spans="2:9" ht="15.75" thickBot="1">
      <c r="B75" s="27" t="s">
        <v>41</v>
      </c>
      <c r="C75" s="27"/>
      <c r="D75" s="39">
        <f aca="true" t="shared" si="24" ref="D75:I75">D69-D74</f>
        <v>0</v>
      </c>
      <c r="E75" s="39">
        <f t="shared" si="24"/>
        <v>0</v>
      </c>
      <c r="F75" s="39">
        <f t="shared" si="24"/>
        <v>0</v>
      </c>
      <c r="G75" s="39">
        <f t="shared" si="24"/>
        <v>0</v>
      </c>
      <c r="H75" s="39">
        <f t="shared" si="24"/>
        <v>0</v>
      </c>
      <c r="I75" s="39">
        <f t="shared" si="24"/>
        <v>0</v>
      </c>
    </row>
    <row r="76" spans="2:9" ht="15">
      <c r="B76" s="27"/>
      <c r="C76" s="27"/>
      <c r="D76" s="33"/>
      <c r="E76" s="33"/>
      <c r="F76" s="33"/>
      <c r="G76" s="27"/>
      <c r="H76" s="27"/>
      <c r="I76" s="27"/>
    </row>
  </sheetData>
  <sheetProtection formatColumns="0" selectLockedCells="1"/>
  <printOptions/>
  <pageMargins left="0.75" right="0.75" top="1" bottom="1" header="0.5" footer="0.5"/>
  <pageSetup fitToHeight="2" horizontalDpi="600" verticalDpi="600" orientation="portrait" scale="65" r:id="rId1"/>
  <headerFooter alignWithMargins="0">
    <oddFooter>&amp;CPage &amp;P of &amp;N</oddFoot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20">
      <selection activeCell="C59" sqref="C59:C60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6" max="6" width="0" style="0" hidden="1" customWidth="1"/>
    <col min="7" max="7" width="13.99609375" style="0" hidden="1" customWidth="1"/>
    <col min="8" max="8" width="0" style="0" hidden="1" customWidth="1"/>
    <col min="9" max="9" width="10.6640625" style="0" customWidth="1"/>
    <col min="10" max="10" width="12.4453125" style="0" customWidth="1"/>
    <col min="12" max="12" width="11.5546875" style="0" hidden="1" customWidth="1"/>
    <col min="13" max="13" width="0" style="0" hidden="1" customWidth="1"/>
    <col min="14" max="14" width="11.5546875" style="0" hidden="1" customWidth="1"/>
    <col min="15" max="15" width="0" style="0" hidden="1" customWidth="1"/>
    <col min="16" max="16" width="9.99609375" style="0" hidden="1" customWidth="1"/>
  </cols>
  <sheetData>
    <row r="1" spans="1:11" ht="15">
      <c r="A1" t="s">
        <v>53</v>
      </c>
      <c r="I1" s="12"/>
      <c r="J1" s="12"/>
      <c r="K1" s="12"/>
    </row>
    <row r="2" spans="1:11" s="53" customFormat="1" ht="45">
      <c r="A2" s="60" t="s">
        <v>54</v>
      </c>
      <c r="B2" s="60" t="s">
        <v>55</v>
      </c>
      <c r="C2" s="60" t="s">
        <v>56</v>
      </c>
      <c r="D2" s="60" t="s">
        <v>9</v>
      </c>
      <c r="E2" s="60" t="s">
        <v>58</v>
      </c>
      <c r="F2" s="53" t="s">
        <v>59</v>
      </c>
      <c r="G2" s="53" t="s">
        <v>57</v>
      </c>
      <c r="I2" s="65"/>
      <c r="J2" s="65"/>
      <c r="K2" s="65"/>
    </row>
    <row r="3" spans="1:11" ht="15">
      <c r="A3" s="54">
        <v>38838</v>
      </c>
      <c r="B3" s="2">
        <v>0</v>
      </c>
      <c r="C3" s="76">
        <v>-9093.75</v>
      </c>
      <c r="D3" s="2">
        <f>'Revenue Requirement'!$D$27*'Table 1'!H3</f>
        <v>0</v>
      </c>
      <c r="E3" s="2">
        <f>B3+C3+D3</f>
        <v>-9093.75</v>
      </c>
      <c r="F3" t="s">
        <v>59</v>
      </c>
      <c r="G3" s="1">
        <v>0</v>
      </c>
      <c r="H3" s="57">
        <f>G3/$G$10</f>
        <v>0</v>
      </c>
      <c r="I3" s="12"/>
      <c r="J3" s="64"/>
      <c r="K3" s="63"/>
    </row>
    <row r="4" spans="1:11" ht="15">
      <c r="A4" s="54">
        <v>38869</v>
      </c>
      <c r="B4" s="2">
        <f>E3</f>
        <v>-9093.75</v>
      </c>
      <c r="C4" s="76">
        <v>-9093.75</v>
      </c>
      <c r="D4" s="2">
        <f>'Revenue Requirement'!$D$27*'Table 1'!H4</f>
        <v>0</v>
      </c>
      <c r="E4" s="2">
        <f aca="true" t="shared" si="0" ref="E4:E38">B4+C4+D4</f>
        <v>-18187.5</v>
      </c>
      <c r="F4" t="s">
        <v>59</v>
      </c>
      <c r="G4" s="1">
        <v>0</v>
      </c>
      <c r="H4" s="57">
        <f aca="true" t="shared" si="1" ref="H4:H10">G4/$G$10</f>
        <v>0</v>
      </c>
      <c r="I4" s="12"/>
      <c r="J4" s="64"/>
      <c r="K4" s="63"/>
    </row>
    <row r="5" spans="1:11" ht="15">
      <c r="A5" s="54">
        <v>38899</v>
      </c>
      <c r="B5" s="2">
        <f aca="true" t="shared" si="2" ref="B5:B38">E4</f>
        <v>-18187.5</v>
      </c>
      <c r="C5" s="76">
        <v>-9093.75</v>
      </c>
      <c r="D5" s="2">
        <f>'Revenue Requirement'!$D$27*'Table 1'!H5</f>
        <v>0</v>
      </c>
      <c r="E5" s="2">
        <f t="shared" si="0"/>
        <v>-27281.25</v>
      </c>
      <c r="F5" t="s">
        <v>59</v>
      </c>
      <c r="G5" s="1">
        <v>0</v>
      </c>
      <c r="H5" s="57">
        <f t="shared" si="1"/>
        <v>0</v>
      </c>
      <c r="I5" s="12"/>
      <c r="J5" s="64"/>
      <c r="K5" s="63"/>
    </row>
    <row r="6" spans="1:11" ht="15">
      <c r="A6" s="54">
        <v>38930</v>
      </c>
      <c r="B6" s="2">
        <f t="shared" si="2"/>
        <v>-27281.25</v>
      </c>
      <c r="C6" s="76">
        <v>-9093.75</v>
      </c>
      <c r="D6" s="2">
        <f>'Revenue Requirement'!$D$27*'Table 1'!H6</f>
        <v>0</v>
      </c>
      <c r="E6" s="2">
        <f t="shared" si="0"/>
        <v>-36375</v>
      </c>
      <c r="F6" t="s">
        <v>59</v>
      </c>
      <c r="G6" s="1">
        <v>0</v>
      </c>
      <c r="H6" s="57">
        <f t="shared" si="1"/>
        <v>0</v>
      </c>
      <c r="I6" s="12"/>
      <c r="J6" s="64"/>
      <c r="K6" s="63"/>
    </row>
    <row r="7" spans="1:11" ht="15">
      <c r="A7" s="54">
        <v>38961</v>
      </c>
      <c r="B7" s="2">
        <f t="shared" si="2"/>
        <v>-36375</v>
      </c>
      <c r="C7" s="76">
        <v>-9093.75</v>
      </c>
      <c r="D7" s="2">
        <f>'Revenue Requirement'!$D$27*'Table 1'!H7</f>
        <v>0</v>
      </c>
      <c r="E7" s="2">
        <f t="shared" si="0"/>
        <v>-45468.75</v>
      </c>
      <c r="F7" t="s">
        <v>59</v>
      </c>
      <c r="G7" s="1">
        <v>0</v>
      </c>
      <c r="H7" s="57">
        <f t="shared" si="1"/>
        <v>0</v>
      </c>
      <c r="I7" s="12"/>
      <c r="J7" s="64"/>
      <c r="K7" s="63"/>
    </row>
    <row r="8" spans="1:11" ht="15">
      <c r="A8" s="54">
        <v>38991</v>
      </c>
      <c r="B8" s="2">
        <f t="shared" si="2"/>
        <v>-45468.75</v>
      </c>
      <c r="C8" s="76">
        <v>-9093.75</v>
      </c>
      <c r="D8" s="2">
        <f>'Revenue Requirement'!$D$27*'Table 1'!H8</f>
        <v>0</v>
      </c>
      <c r="E8" s="2">
        <f t="shared" si="0"/>
        <v>-54562.5</v>
      </c>
      <c r="F8" t="s">
        <v>59</v>
      </c>
      <c r="G8" s="1">
        <v>0</v>
      </c>
      <c r="H8" s="57">
        <f t="shared" si="1"/>
        <v>0</v>
      </c>
      <c r="I8" s="12"/>
      <c r="J8" s="64"/>
      <c r="K8" s="63"/>
    </row>
    <row r="9" spans="1:11" ht="15">
      <c r="A9" s="54">
        <v>39022</v>
      </c>
      <c r="B9" s="2">
        <f t="shared" si="2"/>
        <v>-54562.5</v>
      </c>
      <c r="C9" s="76">
        <v>-9093.75</v>
      </c>
      <c r="D9" s="2">
        <f>'Revenue Requirement'!$D$27*'Table 1'!H9</f>
        <v>0</v>
      </c>
      <c r="E9" s="2">
        <f t="shared" si="0"/>
        <v>-63656.25</v>
      </c>
      <c r="F9" t="s">
        <v>59</v>
      </c>
      <c r="G9" s="1">
        <v>0</v>
      </c>
      <c r="H9" s="57">
        <f t="shared" si="1"/>
        <v>0</v>
      </c>
      <c r="I9" s="12"/>
      <c r="J9" s="64"/>
      <c r="K9" s="63"/>
    </row>
    <row r="10" spans="1:11" ht="15">
      <c r="A10" s="54">
        <v>39052</v>
      </c>
      <c r="B10" s="2">
        <f t="shared" si="2"/>
        <v>-63656.25</v>
      </c>
      <c r="C10" s="76">
        <v>-9093.75</v>
      </c>
      <c r="D10" s="2">
        <f>'Revenue Requirement'!$D$27*'Table 1'!H10</f>
        <v>0</v>
      </c>
      <c r="E10" s="2">
        <f t="shared" si="0"/>
        <v>-72750</v>
      </c>
      <c r="F10" t="s">
        <v>59</v>
      </c>
      <c r="G10" s="1">
        <v>64018</v>
      </c>
      <c r="H10" s="57">
        <f t="shared" si="1"/>
        <v>1</v>
      </c>
      <c r="I10" s="12"/>
      <c r="J10" s="64">
        <f>SUM(C3:C10)</f>
        <v>-72750</v>
      </c>
      <c r="K10" s="63"/>
    </row>
    <row r="11" spans="1:11" ht="15">
      <c r="A11" s="54">
        <v>39083</v>
      </c>
      <c r="B11" s="2">
        <f t="shared" si="2"/>
        <v>-72750</v>
      </c>
      <c r="C11" s="76">
        <v>-7457.41666666667</v>
      </c>
      <c r="D11" s="2">
        <f>'Revenue Requirement'!$F$27*H11</f>
        <v>0</v>
      </c>
      <c r="E11" s="2">
        <f t="shared" si="0"/>
        <v>-80207.41666666667</v>
      </c>
      <c r="F11" t="s">
        <v>59</v>
      </c>
      <c r="G11" s="1">
        <v>0</v>
      </c>
      <c r="H11" s="57">
        <f aca="true" t="shared" si="3" ref="H11:H22">G11/$G$77</f>
        <v>0</v>
      </c>
      <c r="I11" s="12"/>
      <c r="J11" s="64"/>
      <c r="K11" s="63"/>
    </row>
    <row r="12" spans="1:11" ht="15">
      <c r="A12" s="54">
        <v>39114</v>
      </c>
      <c r="B12" s="2">
        <f t="shared" si="2"/>
        <v>-80207.41666666667</v>
      </c>
      <c r="C12" s="76">
        <v>-7457.41666666667</v>
      </c>
      <c r="D12" s="2">
        <f>'Revenue Requirement'!$F$27*H12</f>
        <v>0</v>
      </c>
      <c r="E12" s="2">
        <f t="shared" si="0"/>
        <v>-87664.83333333334</v>
      </c>
      <c r="F12" t="s">
        <v>59</v>
      </c>
      <c r="G12" s="1">
        <v>0</v>
      </c>
      <c r="H12" s="57">
        <f t="shared" si="3"/>
        <v>0</v>
      </c>
      <c r="I12" s="12"/>
      <c r="J12" s="64"/>
      <c r="K12" s="63"/>
    </row>
    <row r="13" spans="1:11" ht="15">
      <c r="A13" s="54">
        <v>39142</v>
      </c>
      <c r="B13" s="2">
        <f t="shared" si="2"/>
        <v>-87664.83333333334</v>
      </c>
      <c r="C13" s="76">
        <v>-7457.41666666667</v>
      </c>
      <c r="D13" s="2">
        <f>'Revenue Requirement'!$F$27*H13</f>
        <v>0</v>
      </c>
      <c r="E13" s="2">
        <f t="shared" si="0"/>
        <v>-95122.25000000001</v>
      </c>
      <c r="F13" t="s">
        <v>59</v>
      </c>
      <c r="G13" s="1">
        <v>0</v>
      </c>
      <c r="H13" s="57">
        <f t="shared" si="3"/>
        <v>0</v>
      </c>
      <c r="I13" s="12"/>
      <c r="J13" s="64"/>
      <c r="K13" s="63"/>
    </row>
    <row r="14" spans="1:11" ht="15">
      <c r="A14" s="54">
        <v>39173</v>
      </c>
      <c r="B14" s="2">
        <f>E13</f>
        <v>-95122.25000000001</v>
      </c>
      <c r="C14" s="76">
        <v>-7457.41666666667</v>
      </c>
      <c r="D14" s="2">
        <f>'Revenue Requirement'!$F$27*H14</f>
        <v>0</v>
      </c>
      <c r="E14" s="2">
        <f t="shared" si="0"/>
        <v>-102579.66666666669</v>
      </c>
      <c r="F14" t="s">
        <v>59</v>
      </c>
      <c r="G14" s="1">
        <v>9139</v>
      </c>
      <c r="H14" s="57">
        <f t="shared" si="3"/>
        <v>0.0009404329037293685</v>
      </c>
      <c r="I14" s="12"/>
      <c r="J14" s="64"/>
      <c r="K14" s="63"/>
    </row>
    <row r="15" spans="1:11" ht="15">
      <c r="A15" s="54">
        <v>39203</v>
      </c>
      <c r="B15" s="2">
        <f t="shared" si="2"/>
        <v>-102579.66666666669</v>
      </c>
      <c r="C15" s="76">
        <v>-7457.41666666667</v>
      </c>
      <c r="D15" s="2">
        <f>'Revenue Requirement'!$F$27*H15</f>
        <v>0</v>
      </c>
      <c r="E15" s="2">
        <f t="shared" si="0"/>
        <v>-110037.08333333336</v>
      </c>
      <c r="F15" t="s">
        <v>59</v>
      </c>
      <c r="G15" s="1">
        <v>1426238</v>
      </c>
      <c r="H15" s="57">
        <f t="shared" si="3"/>
        <v>0.1467645413884634</v>
      </c>
      <c r="I15" s="12"/>
      <c r="J15" s="64"/>
      <c r="K15" s="63"/>
    </row>
    <row r="16" spans="1:11" ht="15">
      <c r="A16" s="54">
        <v>39234</v>
      </c>
      <c r="B16" s="2">
        <f t="shared" si="2"/>
        <v>-110037.08333333336</v>
      </c>
      <c r="C16" s="76">
        <v>-7457.41666666667</v>
      </c>
      <c r="D16" s="2">
        <f>'Revenue Requirement'!$F$27*H16</f>
        <v>0</v>
      </c>
      <c r="E16" s="2">
        <f t="shared" si="0"/>
        <v>-117494.50000000003</v>
      </c>
      <c r="F16" t="s">
        <v>59</v>
      </c>
      <c r="G16" s="1">
        <v>1279030</v>
      </c>
      <c r="H16" s="57">
        <f t="shared" si="3"/>
        <v>0.13161635811981334</v>
      </c>
      <c r="I16" s="12"/>
      <c r="J16" s="64"/>
      <c r="K16" s="63"/>
    </row>
    <row r="17" spans="1:11" ht="15">
      <c r="A17" s="54">
        <v>39264</v>
      </c>
      <c r="B17" s="2">
        <f t="shared" si="2"/>
        <v>-117494.50000000003</v>
      </c>
      <c r="C17" s="76">
        <v>-7457.41666666667</v>
      </c>
      <c r="D17" s="2">
        <f>'Revenue Requirement'!$F$27*H17</f>
        <v>0</v>
      </c>
      <c r="E17" s="2">
        <f t="shared" si="0"/>
        <v>-124951.9166666667</v>
      </c>
      <c r="F17" t="s">
        <v>59</v>
      </c>
      <c r="G17" s="1">
        <v>1363150</v>
      </c>
      <c r="H17" s="57">
        <f t="shared" si="3"/>
        <v>0.14027258044848329</v>
      </c>
      <c r="I17" s="12"/>
      <c r="J17" s="64"/>
      <c r="K17" s="63"/>
    </row>
    <row r="18" spans="1:11" ht="15">
      <c r="A18" s="54">
        <v>39295</v>
      </c>
      <c r="B18" s="2">
        <f t="shared" si="2"/>
        <v>-124951.9166666667</v>
      </c>
      <c r="C18" s="76">
        <v>-7457.41666666667</v>
      </c>
      <c r="D18" s="2">
        <f>'Revenue Requirement'!$F$27*H18</f>
        <v>0</v>
      </c>
      <c r="E18" s="2">
        <f t="shared" si="0"/>
        <v>-132409.33333333337</v>
      </c>
      <c r="F18" t="s">
        <v>59</v>
      </c>
      <c r="G18" s="1">
        <v>1996394</v>
      </c>
      <c r="H18" s="57">
        <f t="shared" si="3"/>
        <v>0.20543545315766373</v>
      </c>
      <c r="I18" s="12"/>
      <c r="J18" s="64"/>
      <c r="K18" s="63"/>
    </row>
    <row r="19" spans="1:11" ht="15">
      <c r="A19" s="54">
        <v>39326</v>
      </c>
      <c r="B19" s="2">
        <f t="shared" si="2"/>
        <v>-132409.33333333337</v>
      </c>
      <c r="C19" s="76">
        <v>-7457.41666666667</v>
      </c>
      <c r="D19" s="2">
        <f>'Revenue Requirement'!$F$27*H19</f>
        <v>0</v>
      </c>
      <c r="E19" s="2">
        <f t="shared" si="0"/>
        <v>-139866.75000000003</v>
      </c>
      <c r="F19" t="s">
        <v>59</v>
      </c>
      <c r="G19" s="1">
        <v>2085794</v>
      </c>
      <c r="H19" s="57">
        <f t="shared" si="3"/>
        <v>0.21463500470525163</v>
      </c>
      <c r="I19" s="12"/>
      <c r="J19" s="64"/>
      <c r="K19" s="63"/>
    </row>
    <row r="20" spans="1:11" ht="15">
      <c r="A20" s="54">
        <v>39356</v>
      </c>
      <c r="B20" s="2">
        <f t="shared" si="2"/>
        <v>-139866.75000000003</v>
      </c>
      <c r="C20" s="76">
        <v>-7457.41666666667</v>
      </c>
      <c r="D20" s="2">
        <f>'Revenue Requirement'!$F$27*H20</f>
        <v>0</v>
      </c>
      <c r="E20" s="2">
        <f t="shared" si="0"/>
        <v>-147324.1666666667</v>
      </c>
      <c r="F20" t="s">
        <v>59</v>
      </c>
      <c r="G20" s="1">
        <v>938868</v>
      </c>
      <c r="H20" s="57">
        <f t="shared" si="3"/>
        <v>0.0966125789975473</v>
      </c>
      <c r="I20" s="12"/>
      <c r="J20" s="64"/>
      <c r="K20" s="63"/>
    </row>
    <row r="21" spans="1:11" ht="15">
      <c r="A21" s="54">
        <v>39387</v>
      </c>
      <c r="B21" s="2">
        <f t="shared" si="2"/>
        <v>-147324.1666666667</v>
      </c>
      <c r="C21" s="76">
        <v>-7457.41666666667</v>
      </c>
      <c r="D21" s="2">
        <f>'Revenue Requirement'!$F$27*H21</f>
        <v>0</v>
      </c>
      <c r="E21" s="2">
        <f t="shared" si="0"/>
        <v>-154781.58333333334</v>
      </c>
      <c r="F21" t="s">
        <v>59</v>
      </c>
      <c r="G21" s="1">
        <v>571377</v>
      </c>
      <c r="H21" s="57">
        <f t="shared" si="3"/>
        <v>0.05879655665107511</v>
      </c>
      <c r="I21" s="12"/>
      <c r="J21" s="64"/>
      <c r="K21" s="63"/>
    </row>
    <row r="22" spans="1:11" ht="15">
      <c r="A22" s="54">
        <v>39417</v>
      </c>
      <c r="B22" s="2">
        <f t="shared" si="2"/>
        <v>-154781.58333333334</v>
      </c>
      <c r="C22" s="76">
        <v>-7457.41666666667</v>
      </c>
      <c r="D22" s="2">
        <f>'Revenue Requirement'!$F$27*H22</f>
        <v>0</v>
      </c>
      <c r="E22" s="2">
        <f t="shared" si="0"/>
        <v>-162239</v>
      </c>
      <c r="F22" t="s">
        <v>59</v>
      </c>
      <c r="G22" s="1">
        <v>47875</v>
      </c>
      <c r="H22" s="57">
        <f t="shared" si="3"/>
        <v>0.004926493627972811</v>
      </c>
      <c r="I22" s="12"/>
      <c r="J22" s="64">
        <f>SUM(C11:C22)</f>
        <v>-89489.00000000004</v>
      </c>
      <c r="K22" s="63"/>
    </row>
    <row r="23" spans="1:11" ht="15">
      <c r="A23" s="54">
        <v>39448</v>
      </c>
      <c r="B23" s="2">
        <f t="shared" si="2"/>
        <v>-162239</v>
      </c>
      <c r="C23" s="76">
        <v>-2347</v>
      </c>
      <c r="D23" s="2">
        <f>'Revenue Requirement'!$H$27/12</f>
        <v>6431.926988625276</v>
      </c>
      <c r="E23" s="2">
        <f t="shared" si="0"/>
        <v>-158154.0730113747</v>
      </c>
      <c r="I23" s="12"/>
      <c r="J23" s="64"/>
      <c r="K23" s="63"/>
    </row>
    <row r="24" spans="1:11" ht="15">
      <c r="A24" s="54">
        <v>39479</v>
      </c>
      <c r="B24" s="2">
        <f t="shared" si="2"/>
        <v>-158154.0730113747</v>
      </c>
      <c r="C24" s="76">
        <v>-2347</v>
      </c>
      <c r="D24" s="2">
        <f>'Revenue Requirement'!$H$27/12</f>
        <v>6431.926988625276</v>
      </c>
      <c r="E24" s="2">
        <f t="shared" si="0"/>
        <v>-154069.14602274942</v>
      </c>
      <c r="I24" s="12"/>
      <c r="J24" s="64"/>
      <c r="K24" s="63"/>
    </row>
    <row r="25" spans="1:11" ht="15">
      <c r="A25" s="54">
        <v>39508</v>
      </c>
      <c r="B25" s="2">
        <f t="shared" si="2"/>
        <v>-154069.14602274942</v>
      </c>
      <c r="C25" s="76">
        <v>-2347</v>
      </c>
      <c r="D25" s="2">
        <f>'Revenue Requirement'!$H$27/12</f>
        <v>6431.926988625276</v>
      </c>
      <c r="E25" s="2">
        <f t="shared" si="0"/>
        <v>-149984.21903412414</v>
      </c>
      <c r="I25" s="12"/>
      <c r="J25" s="64"/>
      <c r="K25" s="63"/>
    </row>
    <row r="26" spans="1:11" ht="15">
      <c r="A26" s="54">
        <v>39539</v>
      </c>
      <c r="B26" s="2">
        <f t="shared" si="2"/>
        <v>-149984.21903412414</v>
      </c>
      <c r="C26" s="76">
        <v>-2347</v>
      </c>
      <c r="D26" s="2">
        <f>'Revenue Requirement'!$H$27/12</f>
        <v>6431.926988625276</v>
      </c>
      <c r="E26" s="2">
        <f t="shared" si="0"/>
        <v>-145899.29204549885</v>
      </c>
      <c r="I26" s="12"/>
      <c r="J26" s="64"/>
      <c r="K26" s="63"/>
    </row>
    <row r="27" spans="1:11" ht="15">
      <c r="A27" s="54">
        <v>39569</v>
      </c>
      <c r="B27" s="2">
        <f t="shared" si="2"/>
        <v>-145899.29204549885</v>
      </c>
      <c r="C27" s="76">
        <v>-2347</v>
      </c>
      <c r="D27" s="2">
        <f>'Revenue Requirement'!$H$27/12</f>
        <v>6431.926988625276</v>
      </c>
      <c r="E27" s="2">
        <f t="shared" si="0"/>
        <v>-141814.36505687356</v>
      </c>
      <c r="I27" s="12"/>
      <c r="J27" s="64"/>
      <c r="K27" s="63"/>
    </row>
    <row r="28" spans="1:11" ht="15">
      <c r="A28" s="54">
        <v>39600</v>
      </c>
      <c r="B28" s="2">
        <f t="shared" si="2"/>
        <v>-141814.36505687356</v>
      </c>
      <c r="C28" s="76">
        <v>-2347</v>
      </c>
      <c r="D28" s="2">
        <f>'Revenue Requirement'!$H$27/12</f>
        <v>6431.926988625276</v>
      </c>
      <c r="E28" s="2">
        <f t="shared" si="0"/>
        <v>-137729.43806824827</v>
      </c>
      <c r="I28" s="12"/>
      <c r="J28" s="64"/>
      <c r="K28" s="63"/>
    </row>
    <row r="29" spans="1:11" ht="15">
      <c r="A29" s="54">
        <v>39630</v>
      </c>
      <c r="B29" s="2">
        <f t="shared" si="2"/>
        <v>-137729.43806824827</v>
      </c>
      <c r="C29" s="76">
        <v>-2347</v>
      </c>
      <c r="D29" s="2">
        <f>'Revenue Requirement'!$H$27/12</f>
        <v>6431.926988625276</v>
      </c>
      <c r="E29" s="2">
        <f t="shared" si="0"/>
        <v>-133644.511079623</v>
      </c>
      <c r="I29" s="12"/>
      <c r="J29" s="64"/>
      <c r="K29" s="63"/>
    </row>
    <row r="30" spans="1:11" ht="15">
      <c r="A30" s="54">
        <v>39661</v>
      </c>
      <c r="B30" s="2">
        <f t="shared" si="2"/>
        <v>-133644.511079623</v>
      </c>
      <c r="C30" s="76">
        <v>-2347</v>
      </c>
      <c r="D30" s="2">
        <f>'Revenue Requirement'!$H$27/12</f>
        <v>6431.926988625276</v>
      </c>
      <c r="E30" s="2">
        <f t="shared" si="0"/>
        <v>-129559.58409099771</v>
      </c>
      <c r="I30" s="12"/>
      <c r="J30" s="64"/>
      <c r="K30" s="63"/>
    </row>
    <row r="31" spans="1:11" ht="15">
      <c r="A31" s="54">
        <v>39692</v>
      </c>
      <c r="B31" s="2">
        <f t="shared" si="2"/>
        <v>-129559.58409099771</v>
      </c>
      <c r="C31" s="76">
        <v>-2347</v>
      </c>
      <c r="D31" s="2">
        <f>'Revenue Requirement'!$H$27/12</f>
        <v>6431.926988625276</v>
      </c>
      <c r="E31" s="2">
        <f t="shared" si="0"/>
        <v>-125474.65710237242</v>
      </c>
      <c r="I31" s="12"/>
      <c r="J31" s="64"/>
      <c r="K31" s="63"/>
    </row>
    <row r="32" spans="1:11" ht="15">
      <c r="A32" s="54">
        <v>39722</v>
      </c>
      <c r="B32" s="2">
        <f t="shared" si="2"/>
        <v>-125474.65710237242</v>
      </c>
      <c r="C32" s="76">
        <v>-2347</v>
      </c>
      <c r="D32" s="2">
        <f>'Revenue Requirement'!$H$27/12</f>
        <v>6431.926988625276</v>
      </c>
      <c r="E32" s="2">
        <f t="shared" si="0"/>
        <v>-121389.73011374715</v>
      </c>
      <c r="I32" s="12"/>
      <c r="J32" s="64"/>
      <c r="K32" s="63"/>
    </row>
    <row r="33" spans="1:11" ht="15">
      <c r="A33" s="54">
        <v>39753</v>
      </c>
      <c r="B33" s="2">
        <f t="shared" si="2"/>
        <v>-121389.73011374715</v>
      </c>
      <c r="C33" s="76">
        <v>-2347</v>
      </c>
      <c r="D33" s="2">
        <f>'Revenue Requirement'!$H$27/12</f>
        <v>6431.926988625276</v>
      </c>
      <c r="E33" s="2">
        <f t="shared" si="0"/>
        <v>-117304.80312512188</v>
      </c>
      <c r="I33" s="12"/>
      <c r="J33" s="64"/>
      <c r="K33" s="63"/>
    </row>
    <row r="34" spans="1:11" ht="15">
      <c r="A34" s="54">
        <v>39783</v>
      </c>
      <c r="B34" s="2">
        <f t="shared" si="2"/>
        <v>-117304.80312512188</v>
      </c>
      <c r="C34" s="76">
        <v>-2347</v>
      </c>
      <c r="D34" s="2">
        <f>'Revenue Requirement'!$H$27/12</f>
        <v>6431.926988625276</v>
      </c>
      <c r="E34" s="2">
        <f t="shared" si="0"/>
        <v>-113219.8761364966</v>
      </c>
      <c r="I34" s="12"/>
      <c r="J34" s="64">
        <f>SUM(C23:C34)</f>
        <v>-28164</v>
      </c>
      <c r="K34" s="63"/>
    </row>
    <row r="35" spans="1:11" ht="15">
      <c r="A35" s="54">
        <v>39814</v>
      </c>
      <c r="B35" s="2">
        <f t="shared" si="2"/>
        <v>-113219.8761364966</v>
      </c>
      <c r="C35" s="76">
        <v>-5978</v>
      </c>
      <c r="D35" s="2">
        <f>'Revenue Requirement'!$J$27/12</f>
        <v>48931.845837996334</v>
      </c>
      <c r="E35" s="2">
        <f t="shared" si="0"/>
        <v>-70266.03029850026</v>
      </c>
      <c r="I35" s="12"/>
      <c r="J35" s="64"/>
      <c r="K35" s="63"/>
    </row>
    <row r="36" spans="1:11" ht="15">
      <c r="A36" s="54">
        <v>39845</v>
      </c>
      <c r="B36" s="2">
        <f t="shared" si="2"/>
        <v>-70266.03029850026</v>
      </c>
      <c r="C36" s="76">
        <v>-5957</v>
      </c>
      <c r="D36" s="2">
        <f>'Revenue Requirement'!$J$27/12</f>
        <v>48931.845837996334</v>
      </c>
      <c r="E36" s="2">
        <f t="shared" si="0"/>
        <v>-27291.18446050393</v>
      </c>
      <c r="I36" s="12"/>
      <c r="J36" s="64"/>
      <c r="K36" s="63"/>
    </row>
    <row r="37" spans="1:11" ht="15">
      <c r="A37" s="54">
        <v>39873</v>
      </c>
      <c r="B37" s="2">
        <f t="shared" si="2"/>
        <v>-27291.18446050393</v>
      </c>
      <c r="C37" s="76">
        <v>-6356</v>
      </c>
      <c r="D37" s="2">
        <f>'Revenue Requirement'!$J$27/12</f>
        <v>48931.845837996334</v>
      </c>
      <c r="E37" s="2">
        <f t="shared" si="0"/>
        <v>15284.661377492404</v>
      </c>
      <c r="I37" s="12"/>
      <c r="J37" s="64"/>
      <c r="K37" s="63"/>
    </row>
    <row r="38" spans="1:11" ht="15">
      <c r="A38" s="54">
        <v>39904</v>
      </c>
      <c r="B38" s="2">
        <f t="shared" si="2"/>
        <v>15284.661377492404</v>
      </c>
      <c r="C38" s="76">
        <v>-5253</v>
      </c>
      <c r="D38" s="2">
        <f>'Revenue Requirement'!$J$27/12</f>
        <v>48931.845837996334</v>
      </c>
      <c r="E38" s="2">
        <f t="shared" si="0"/>
        <v>58963.50721548874</v>
      </c>
      <c r="I38" s="12"/>
      <c r="J38" s="64"/>
      <c r="K38" s="63"/>
    </row>
    <row r="39" spans="1:11" ht="15">
      <c r="A39" s="54">
        <v>39934</v>
      </c>
      <c r="B39" s="2">
        <f aca="true" t="shared" si="4" ref="B39:B74">E38</f>
        <v>58963.50721548874</v>
      </c>
      <c r="C39" s="76">
        <v>-6871</v>
      </c>
      <c r="D39" s="2">
        <f>'Revenue Requirement'!$J$27/12</f>
        <v>48931.845837996334</v>
      </c>
      <c r="E39" s="2">
        <f aca="true" t="shared" si="5" ref="E39:E75">B39+C39+D39</f>
        <v>101024.35305348507</v>
      </c>
      <c r="I39" s="12"/>
      <c r="J39" s="64"/>
      <c r="K39" s="63"/>
    </row>
    <row r="40" spans="1:11" ht="15">
      <c r="A40" s="54">
        <v>39965</v>
      </c>
      <c r="B40" s="2">
        <f t="shared" si="4"/>
        <v>101024.35305348507</v>
      </c>
      <c r="C40" s="76">
        <f>-13480+654</f>
        <v>-12826</v>
      </c>
      <c r="D40" s="2">
        <f>'Revenue Requirement'!$J$27/12</f>
        <v>48931.845837996334</v>
      </c>
      <c r="E40" s="2">
        <f t="shared" si="5"/>
        <v>137130.1988914814</v>
      </c>
      <c r="I40" s="12"/>
      <c r="J40" s="64"/>
      <c r="K40" s="63"/>
    </row>
    <row r="41" spans="1:11" ht="15">
      <c r="A41" s="54">
        <v>39995</v>
      </c>
      <c r="B41" s="2">
        <f t="shared" si="4"/>
        <v>137130.1988914814</v>
      </c>
      <c r="C41" s="76">
        <v>-21852</v>
      </c>
      <c r="D41" s="2">
        <f>'Revenue Requirement'!$J$27/12</f>
        <v>48931.845837996334</v>
      </c>
      <c r="E41" s="2">
        <f t="shared" si="5"/>
        <v>164210.04472947776</v>
      </c>
      <c r="I41" s="12"/>
      <c r="J41" s="64"/>
      <c r="K41" s="63"/>
    </row>
    <row r="42" spans="1:11" ht="15">
      <c r="A42" s="54">
        <v>40026</v>
      </c>
      <c r="B42" s="2">
        <f t="shared" si="4"/>
        <v>164210.04472947776</v>
      </c>
      <c r="C42" s="76">
        <v>-17879</v>
      </c>
      <c r="D42" s="2">
        <f>'Revenue Requirement'!$J$27/12</f>
        <v>48931.845837996334</v>
      </c>
      <c r="E42" s="2">
        <f t="shared" si="5"/>
        <v>195262.8905674741</v>
      </c>
      <c r="I42" s="12"/>
      <c r="J42" s="64"/>
      <c r="K42" s="63"/>
    </row>
    <row r="43" spans="1:11" ht="15">
      <c r="A43" s="54">
        <v>40057</v>
      </c>
      <c r="B43" s="2">
        <f t="shared" si="4"/>
        <v>195262.8905674741</v>
      </c>
      <c r="C43" s="76">
        <v>-21711</v>
      </c>
      <c r="D43" s="2">
        <f>'Revenue Requirement'!$J$27/12</f>
        <v>48931.845837996334</v>
      </c>
      <c r="E43" s="2">
        <f t="shared" si="5"/>
        <v>222483.73640547044</v>
      </c>
      <c r="I43" s="12"/>
      <c r="J43" s="64"/>
      <c r="K43" s="63"/>
    </row>
    <row r="44" spans="1:11" ht="15">
      <c r="A44" s="54">
        <v>40087</v>
      </c>
      <c r="B44" s="2">
        <f t="shared" si="4"/>
        <v>222483.73640547044</v>
      </c>
      <c r="C44" s="76">
        <v>-20757</v>
      </c>
      <c r="D44" s="2">
        <f>'Revenue Requirement'!$J$27/12</f>
        <v>48931.845837996334</v>
      </c>
      <c r="E44" s="2">
        <f t="shared" si="5"/>
        <v>250658.58224346678</v>
      </c>
      <c r="I44" s="12"/>
      <c r="J44" s="64"/>
      <c r="K44" s="63"/>
    </row>
    <row r="45" spans="1:11" ht="15">
      <c r="A45" s="54">
        <v>40118</v>
      </c>
      <c r="B45" s="2">
        <f t="shared" si="4"/>
        <v>250658.58224346678</v>
      </c>
      <c r="C45" s="76">
        <v>-20828</v>
      </c>
      <c r="D45" s="2">
        <f>'Revenue Requirement'!$J$27/12</f>
        <v>48931.845837996334</v>
      </c>
      <c r="E45" s="2">
        <f>B45+C45+D45</f>
        <v>278762.4280814631</v>
      </c>
      <c r="I45" s="12"/>
      <c r="J45" s="12"/>
      <c r="K45" s="12"/>
    </row>
    <row r="46" spans="1:11" ht="15">
      <c r="A46" s="54">
        <v>40148</v>
      </c>
      <c r="B46" s="2">
        <f>E45</f>
        <v>278762.4280814631</v>
      </c>
      <c r="C46" s="76">
        <f>-20817-21788</f>
        <v>-42605</v>
      </c>
      <c r="D46" s="2">
        <f>'Revenue Requirement'!$J$27/12</f>
        <v>48931.845837996334</v>
      </c>
      <c r="E46" s="2">
        <f t="shared" si="5"/>
        <v>285089.27391945943</v>
      </c>
      <c r="I46" s="12"/>
      <c r="J46" s="64">
        <f>SUM(C35:C46)</f>
        <v>-188873</v>
      </c>
      <c r="K46" s="12"/>
    </row>
    <row r="47" spans="1:11" ht="15">
      <c r="A47" s="54">
        <v>40179</v>
      </c>
      <c r="B47" s="2">
        <f>E46</f>
        <v>285089.27391945943</v>
      </c>
      <c r="C47" s="76">
        <v>-18914</v>
      </c>
      <c r="D47" s="2">
        <f>'Revenue Requirement'!$L$27/12</f>
        <v>58824.19625343958</v>
      </c>
      <c r="E47" s="2">
        <f t="shared" si="5"/>
        <v>324999.470172899</v>
      </c>
      <c r="I47" s="12"/>
      <c r="J47" s="12"/>
      <c r="K47" s="12"/>
    </row>
    <row r="48" spans="1:11" ht="15">
      <c r="A48" s="54">
        <v>40210</v>
      </c>
      <c r="B48" s="2">
        <f t="shared" si="4"/>
        <v>324999.470172899</v>
      </c>
      <c r="C48" s="76">
        <v>-20718</v>
      </c>
      <c r="D48" s="2">
        <f>'Revenue Requirement'!$L$27/12</f>
        <v>58824.19625343958</v>
      </c>
      <c r="E48" s="2">
        <f t="shared" si="5"/>
        <v>363105.6664263386</v>
      </c>
      <c r="I48" s="12"/>
      <c r="J48" s="12"/>
      <c r="K48" s="12"/>
    </row>
    <row r="49" spans="1:5" ht="15">
      <c r="A49" s="54">
        <v>40238</v>
      </c>
      <c r="B49" s="2">
        <f t="shared" si="4"/>
        <v>363105.6664263386</v>
      </c>
      <c r="C49" s="76">
        <v>-22753</v>
      </c>
      <c r="D49" s="2">
        <f>'Revenue Requirement'!$L$27/12</f>
        <v>58824.19625343958</v>
      </c>
      <c r="E49" s="2">
        <f t="shared" si="5"/>
        <v>399176.8626797782</v>
      </c>
    </row>
    <row r="50" spans="1:5" ht="15">
      <c r="A50" s="54">
        <v>40269</v>
      </c>
      <c r="B50" s="2">
        <f t="shared" si="4"/>
        <v>399176.8626797782</v>
      </c>
      <c r="C50" s="76">
        <v>-20537</v>
      </c>
      <c r="D50" s="2">
        <f>'Revenue Requirement'!$L$27/12</f>
        <v>58824.19625343958</v>
      </c>
      <c r="E50" s="2">
        <f t="shared" si="5"/>
        <v>437464.0589332178</v>
      </c>
    </row>
    <row r="51" spans="1:5" ht="15">
      <c r="A51" s="54">
        <v>40299</v>
      </c>
      <c r="B51" s="2">
        <f t="shared" si="4"/>
        <v>437464.0589332178</v>
      </c>
      <c r="C51" s="76">
        <v>-19729</v>
      </c>
      <c r="D51" s="2">
        <f>'Revenue Requirement'!$L$27/12</f>
        <v>58824.19625343958</v>
      </c>
      <c r="E51" s="2">
        <f t="shared" si="5"/>
        <v>476559.25518665736</v>
      </c>
    </row>
    <row r="52" spans="1:5" ht="15">
      <c r="A52" s="54">
        <v>40330</v>
      </c>
      <c r="B52" s="2">
        <f t="shared" si="4"/>
        <v>476559.25518665736</v>
      </c>
      <c r="C52" s="76">
        <v>-22087</v>
      </c>
      <c r="D52" s="2">
        <f>'Revenue Requirement'!$L$27/12</f>
        <v>58824.19625343958</v>
      </c>
      <c r="E52" s="2">
        <f t="shared" si="5"/>
        <v>513296.45144009695</v>
      </c>
    </row>
    <row r="53" spans="1:5" ht="15">
      <c r="A53" s="54">
        <v>40360</v>
      </c>
      <c r="B53" s="2">
        <f t="shared" si="4"/>
        <v>513296.45144009695</v>
      </c>
      <c r="C53" s="76">
        <v>-21019</v>
      </c>
      <c r="D53" s="2">
        <f>'Revenue Requirement'!$L$27/12</f>
        <v>58824.19625343958</v>
      </c>
      <c r="E53" s="2">
        <f t="shared" si="5"/>
        <v>551101.6476935365</v>
      </c>
    </row>
    <row r="54" spans="1:5" ht="15">
      <c r="A54" s="54">
        <v>40391</v>
      </c>
      <c r="B54" s="2">
        <f t="shared" si="4"/>
        <v>551101.6476935365</v>
      </c>
      <c r="C54" s="76">
        <v>-20620</v>
      </c>
      <c r="D54" s="2">
        <f>'Revenue Requirement'!$L$27/12</f>
        <v>58824.19625343958</v>
      </c>
      <c r="E54" s="2">
        <f t="shared" si="5"/>
        <v>589305.843946976</v>
      </c>
    </row>
    <row r="55" spans="1:5" ht="15">
      <c r="A55" s="54">
        <v>40422</v>
      </c>
      <c r="B55" s="2">
        <f t="shared" si="4"/>
        <v>589305.843946976</v>
      </c>
      <c r="C55" s="76">
        <v>-21125.06</v>
      </c>
      <c r="D55" s="2">
        <f>'Revenue Requirement'!$L$27/12</f>
        <v>58824.19625343958</v>
      </c>
      <c r="E55" s="2">
        <f t="shared" si="5"/>
        <v>627004.9802004155</v>
      </c>
    </row>
    <row r="56" spans="1:5" ht="15">
      <c r="A56" s="54">
        <v>40452</v>
      </c>
      <c r="B56" s="2">
        <f t="shared" si="4"/>
        <v>627004.9802004155</v>
      </c>
      <c r="C56" s="76">
        <v>-20328.94</v>
      </c>
      <c r="D56" s="2">
        <f>'Revenue Requirement'!$L$27/12</f>
        <v>58824.19625343958</v>
      </c>
      <c r="E56" s="2">
        <f t="shared" si="5"/>
        <v>665500.2364538551</v>
      </c>
    </row>
    <row r="57" spans="1:5" ht="15">
      <c r="A57" s="54">
        <v>40483</v>
      </c>
      <c r="B57" s="2">
        <f t="shared" si="4"/>
        <v>665500.2364538551</v>
      </c>
      <c r="C57" s="76">
        <v>-23147.43</v>
      </c>
      <c r="D57" s="2">
        <f>'Revenue Requirement'!$L$27/12</f>
        <v>58824.19625343958</v>
      </c>
      <c r="E57" s="2">
        <f t="shared" si="5"/>
        <v>701177.0027072945</v>
      </c>
    </row>
    <row r="58" spans="1:10" ht="15">
      <c r="A58" s="54">
        <v>40513</v>
      </c>
      <c r="B58" s="2">
        <f t="shared" si="4"/>
        <v>701177.0027072945</v>
      </c>
      <c r="C58" s="76">
        <v>-18376.99</v>
      </c>
      <c r="D58" s="2">
        <f>'Revenue Requirement'!$L$27/12</f>
        <v>58824.19625343958</v>
      </c>
      <c r="E58" s="2">
        <f t="shared" si="5"/>
        <v>741624.2089607341</v>
      </c>
      <c r="J58" s="64">
        <f>SUM(C47:C58)</f>
        <v>-249355.41999999998</v>
      </c>
    </row>
    <row r="59" spans="1:5" ht="15">
      <c r="A59" s="54">
        <v>40544</v>
      </c>
      <c r="B59" s="2">
        <f>E58</f>
        <v>741624.2089607341</v>
      </c>
      <c r="C59" s="76">
        <v>-20073</v>
      </c>
      <c r="D59" s="2">
        <f>'Revenue Requirement'!$N$27/12</f>
        <v>72596.56984061656</v>
      </c>
      <c r="E59" s="2">
        <f t="shared" si="5"/>
        <v>794147.7788013506</v>
      </c>
    </row>
    <row r="60" spans="1:5" ht="15">
      <c r="A60" s="54">
        <v>40575</v>
      </c>
      <c r="B60" s="2">
        <f t="shared" si="4"/>
        <v>794147.7788013506</v>
      </c>
      <c r="C60" s="76">
        <v>-22580.94</v>
      </c>
      <c r="D60" s="2">
        <f>'Revenue Requirement'!$N$27/12</f>
        <v>72596.56984061656</v>
      </c>
      <c r="E60" s="2">
        <f t="shared" si="5"/>
        <v>844163.4086419672</v>
      </c>
    </row>
    <row r="61" spans="1:5" ht="15">
      <c r="A61" s="54">
        <v>40603</v>
      </c>
      <c r="B61" s="2">
        <f t="shared" si="4"/>
        <v>844163.4086419672</v>
      </c>
      <c r="C61" s="76">
        <v>-23156.83</v>
      </c>
      <c r="D61" s="2">
        <f>'Revenue Requirement'!$N$27/12</f>
        <v>72596.56984061656</v>
      </c>
      <c r="E61" s="2">
        <f t="shared" si="5"/>
        <v>893603.1484825838</v>
      </c>
    </row>
    <row r="62" spans="1:5" ht="15">
      <c r="A62" s="54">
        <v>40634</v>
      </c>
      <c r="B62" s="2">
        <f t="shared" si="4"/>
        <v>893603.1484825838</v>
      </c>
      <c r="C62" s="76">
        <f>-20009.53+180.55</f>
        <v>-19828.98</v>
      </c>
      <c r="D62" s="2">
        <f>'Revenue Requirement'!$N$27/12</f>
        <v>72596.56984061656</v>
      </c>
      <c r="E62" s="2">
        <f t="shared" si="5"/>
        <v>946370.7383232004</v>
      </c>
    </row>
    <row r="63" spans="1:16" ht="15">
      <c r="A63" s="54">
        <v>40664</v>
      </c>
      <c r="B63" s="2">
        <f t="shared" si="4"/>
        <v>946370.7383232004</v>
      </c>
      <c r="C63" s="75">
        <v>-30597.25000000005</v>
      </c>
      <c r="D63" s="2">
        <f>'Revenue Requirement'!$N$27/12</f>
        <v>72596.56984061656</v>
      </c>
      <c r="E63" s="2">
        <f t="shared" si="5"/>
        <v>988370.0581638169</v>
      </c>
      <c r="L63" s="75">
        <v>-20398.1666666667</v>
      </c>
      <c r="M63">
        <v>1.5</v>
      </c>
      <c r="N63" s="84">
        <f>L63*M63</f>
        <v>-30597.25000000005</v>
      </c>
      <c r="P63" s="77">
        <v>20909.31633264293</v>
      </c>
    </row>
    <row r="64" spans="1:16" ht="15">
      <c r="A64" s="54">
        <v>40695</v>
      </c>
      <c r="B64" s="2">
        <f t="shared" si="4"/>
        <v>988370.0581638169</v>
      </c>
      <c r="C64" s="75">
        <v>-30624</v>
      </c>
      <c r="D64" s="2">
        <f>'Revenue Requirement'!$N$27/12</f>
        <v>72596.56984061656</v>
      </c>
      <c r="E64" s="2">
        <f t="shared" si="5"/>
        <v>1030342.6280044335</v>
      </c>
      <c r="L64" s="75">
        <v>-20416</v>
      </c>
      <c r="M64">
        <v>1.5</v>
      </c>
      <c r="N64" s="84">
        <f aca="true" t="shared" si="6" ref="N64:N74">L64*M64</f>
        <v>-30624</v>
      </c>
      <c r="P64" s="77">
        <v>20935.37959917152</v>
      </c>
    </row>
    <row r="65" spans="1:16" ht="15">
      <c r="A65" s="54">
        <v>40725</v>
      </c>
      <c r="B65" s="2">
        <f t="shared" si="4"/>
        <v>1030342.6280044335</v>
      </c>
      <c r="C65" s="75">
        <v>-30650.74999999995</v>
      </c>
      <c r="D65" s="2">
        <f>'Revenue Requirement'!$N$27/12</f>
        <v>72596.56984061656</v>
      </c>
      <c r="E65" s="2">
        <f t="shared" si="5"/>
        <v>1072288.4478450501</v>
      </c>
      <c r="L65" s="75">
        <v>-20433.8333333333</v>
      </c>
      <c r="M65">
        <v>1.5</v>
      </c>
      <c r="N65" s="84">
        <f t="shared" si="6"/>
        <v>-30650.74999999995</v>
      </c>
      <c r="P65" s="77">
        <v>20961.4428657001</v>
      </c>
    </row>
    <row r="66" spans="1:16" ht="15">
      <c r="A66" s="54">
        <v>40756</v>
      </c>
      <c r="B66" s="2">
        <f t="shared" si="4"/>
        <v>1072288.4478450501</v>
      </c>
      <c r="C66" s="75">
        <v>-30677.50000000005</v>
      </c>
      <c r="D66" s="2">
        <f>'Revenue Requirement'!$N$27/12</f>
        <v>72596.56984061656</v>
      </c>
      <c r="E66" s="2">
        <f t="shared" si="5"/>
        <v>1114207.5176856667</v>
      </c>
      <c r="L66" s="75">
        <v>-20451.6666666667</v>
      </c>
      <c r="M66">
        <v>1.5</v>
      </c>
      <c r="N66" s="84">
        <f t="shared" si="6"/>
        <v>-30677.50000000005</v>
      </c>
      <c r="P66" s="77">
        <v>20987.50613222869</v>
      </c>
    </row>
    <row r="67" spans="1:16" ht="15">
      <c r="A67" s="54">
        <v>40787</v>
      </c>
      <c r="B67" s="2">
        <f t="shared" si="4"/>
        <v>1114207.5176856667</v>
      </c>
      <c r="C67" s="75">
        <v>-30704.25</v>
      </c>
      <c r="D67" s="2">
        <f>'Revenue Requirement'!$N$27/12</f>
        <v>72596.56984061656</v>
      </c>
      <c r="E67" s="2">
        <f t="shared" si="5"/>
        <v>1156099.8375262832</v>
      </c>
      <c r="L67" s="75">
        <v>-20469.5</v>
      </c>
      <c r="M67">
        <v>1.5</v>
      </c>
      <c r="N67" s="84">
        <f t="shared" si="6"/>
        <v>-30704.25</v>
      </c>
      <c r="P67" s="77">
        <v>21013.569398757274</v>
      </c>
    </row>
    <row r="68" spans="1:16" ht="15">
      <c r="A68" s="54">
        <v>40817</v>
      </c>
      <c r="B68" s="2">
        <f t="shared" si="4"/>
        <v>1156099.8375262832</v>
      </c>
      <c r="C68" s="75">
        <v>-30730.99999999995</v>
      </c>
      <c r="D68" s="2">
        <f>'Revenue Requirement'!$N$27/12</f>
        <v>72596.56984061656</v>
      </c>
      <c r="E68" s="2">
        <f t="shared" si="5"/>
        <v>1197965.4073668998</v>
      </c>
      <c r="L68" s="75">
        <v>-20487.3333333333</v>
      </c>
      <c r="M68">
        <v>1.5</v>
      </c>
      <c r="N68" s="84">
        <f t="shared" si="6"/>
        <v>-30730.99999999995</v>
      </c>
      <c r="P68" s="77">
        <v>21039.632665285862</v>
      </c>
    </row>
    <row r="69" spans="1:16" ht="15">
      <c r="A69" s="54">
        <v>40848</v>
      </c>
      <c r="B69" s="2">
        <f t="shared" si="4"/>
        <v>1197965.4073668998</v>
      </c>
      <c r="C69" s="75">
        <v>-30757.75000000005</v>
      </c>
      <c r="D69" s="2">
        <f>'Revenue Requirement'!$N$27/12</f>
        <v>72596.56984061656</v>
      </c>
      <c r="E69" s="2">
        <f t="shared" si="5"/>
        <v>1239804.2272075163</v>
      </c>
      <c r="L69" s="75">
        <v>-20505.1666666667</v>
      </c>
      <c r="M69">
        <v>1.5</v>
      </c>
      <c r="N69" s="84">
        <f t="shared" si="6"/>
        <v>-30757.75000000005</v>
      </c>
      <c r="P69" s="77">
        <v>21065.695931814447</v>
      </c>
    </row>
    <row r="70" spans="1:16" ht="15">
      <c r="A70" s="54">
        <v>40878</v>
      </c>
      <c r="B70" s="2">
        <f t="shared" si="4"/>
        <v>1239804.2272075163</v>
      </c>
      <c r="C70" s="75">
        <v>-30784.5</v>
      </c>
      <c r="D70" s="2">
        <f>'Revenue Requirement'!$N$27/12</f>
        <v>72596.56984061656</v>
      </c>
      <c r="E70" s="2">
        <f t="shared" si="5"/>
        <v>1281616.2970481329</v>
      </c>
      <c r="J70" s="64">
        <f>SUM(C59:C70)</f>
        <v>-331166.75000000006</v>
      </c>
      <c r="L70" s="75">
        <v>-20523</v>
      </c>
      <c r="M70">
        <v>1.5</v>
      </c>
      <c r="N70" s="84">
        <f t="shared" si="6"/>
        <v>-30784.5</v>
      </c>
      <c r="P70" s="77">
        <v>21091.75919834302</v>
      </c>
    </row>
    <row r="71" spans="1:16" ht="15">
      <c r="A71" s="54">
        <v>40909</v>
      </c>
      <c r="B71" s="2">
        <f t="shared" si="4"/>
        <v>1281616.2970481329</v>
      </c>
      <c r="C71" s="75">
        <v>-30816.49999999995</v>
      </c>
      <c r="D71" s="2">
        <f>'Revenue Requirement'!$N$27/12</f>
        <v>72596.56984061656</v>
      </c>
      <c r="E71" s="2">
        <f>B71+C71+D71</f>
        <v>1323396.3668887494</v>
      </c>
      <c r="J71" s="64"/>
      <c r="L71" s="75">
        <v>-20544.3333333333</v>
      </c>
      <c r="M71">
        <v>1.5</v>
      </c>
      <c r="N71" s="84">
        <f t="shared" si="6"/>
        <v>-30816.49999999995</v>
      </c>
      <c r="P71" s="77">
        <v>21129.302282528017</v>
      </c>
    </row>
    <row r="72" spans="1:16" ht="15">
      <c r="A72" s="54">
        <v>40940</v>
      </c>
      <c r="B72" s="2">
        <f t="shared" si="4"/>
        <v>1323396.3668887494</v>
      </c>
      <c r="C72" s="75">
        <v>-30848.50000000005</v>
      </c>
      <c r="D72" s="2">
        <f>'Revenue Requirement'!$N$27/12</f>
        <v>72596.56984061656</v>
      </c>
      <c r="E72" s="2">
        <f>B72+C72+D72</f>
        <v>1365144.436729366</v>
      </c>
      <c r="J72" s="64"/>
      <c r="L72" s="75">
        <v>-20565.6666666667</v>
      </c>
      <c r="M72">
        <v>1.5</v>
      </c>
      <c r="N72" s="84">
        <f t="shared" si="6"/>
        <v>-30848.50000000005</v>
      </c>
      <c r="P72" s="77">
        <v>21166.84536671302</v>
      </c>
    </row>
    <row r="73" spans="1:16" ht="15">
      <c r="A73" s="54">
        <v>40969</v>
      </c>
      <c r="B73" s="2">
        <f t="shared" si="4"/>
        <v>1365144.436729366</v>
      </c>
      <c r="C73" s="75">
        <v>-30880.5</v>
      </c>
      <c r="D73" s="2">
        <f>'Revenue Requirement'!$N$27/12</f>
        <v>72596.56984061656</v>
      </c>
      <c r="E73" s="2">
        <f>B73+C73+D73</f>
        <v>1406860.5065699825</v>
      </c>
      <c r="J73" s="64"/>
      <c r="L73" s="75">
        <v>-20587</v>
      </c>
      <c r="M73">
        <v>1.5</v>
      </c>
      <c r="N73" s="84">
        <f t="shared" si="6"/>
        <v>-30880.5</v>
      </c>
      <c r="P73" s="77">
        <v>21204.388450898015</v>
      </c>
    </row>
    <row r="74" spans="1:16" ht="15">
      <c r="A74" s="54">
        <v>41000</v>
      </c>
      <c r="B74" s="2">
        <f t="shared" si="4"/>
        <v>1406860.5065699825</v>
      </c>
      <c r="C74" s="75">
        <v>-30912.49999999995</v>
      </c>
      <c r="D74" s="2">
        <f>'Revenue Requirement'!$N$27/12</f>
        <v>72596.56984061656</v>
      </c>
      <c r="E74" s="2">
        <f>B74+C74+D74</f>
        <v>1448544.576410599</v>
      </c>
      <c r="J74" s="64"/>
      <c r="L74" s="75">
        <v>-20608.3333333333</v>
      </c>
      <c r="M74">
        <v>1.5</v>
      </c>
      <c r="N74" s="84">
        <f t="shared" si="6"/>
        <v>-30912.49999999995</v>
      </c>
      <c r="P74" s="77">
        <v>21241.931535083007</v>
      </c>
    </row>
    <row r="75" spans="5:16" ht="15">
      <c r="E75" s="2">
        <f t="shared" si="5"/>
        <v>0</v>
      </c>
      <c r="P75" s="77">
        <v>21279.474619268003</v>
      </c>
    </row>
    <row r="76" spans="1:16" ht="15">
      <c r="A76" s="56">
        <v>2006</v>
      </c>
      <c r="C76" s="2">
        <f>SUM(C3:C10)</f>
        <v>-72750</v>
      </c>
      <c r="D76" s="2">
        <f>SUM(D3:D10)</f>
        <v>0</v>
      </c>
      <c r="F76" s="56">
        <v>2006</v>
      </c>
      <c r="G76" s="2">
        <f>SUM(G3:G10)</f>
        <v>64018</v>
      </c>
      <c r="L76" s="84"/>
      <c r="P76" s="77">
        <v>21317.017703453</v>
      </c>
    </row>
    <row r="77" spans="1:16" ht="15">
      <c r="A77" s="56">
        <v>2007</v>
      </c>
      <c r="C77" s="2">
        <f>SUM(C11:C22)</f>
        <v>-89489.00000000004</v>
      </c>
      <c r="D77" s="2">
        <f>SUM(D11:D22)</f>
        <v>0</v>
      </c>
      <c r="F77" s="56">
        <v>2007</v>
      </c>
      <c r="G77" s="2">
        <f>SUM(G11:G22)</f>
        <v>9717865</v>
      </c>
      <c r="P77" s="77">
        <v>21354.560787638</v>
      </c>
    </row>
    <row r="78" spans="1:16" ht="15">
      <c r="A78" s="56">
        <v>2008</v>
      </c>
      <c r="C78" s="3">
        <f>SUM(C23:C34)</f>
        <v>-28164</v>
      </c>
      <c r="D78" s="3">
        <f>SUM(D23:D34)</f>
        <v>77183.1238635033</v>
      </c>
      <c r="G78" s="2"/>
      <c r="P78" s="77">
        <v>21392.103871822997</v>
      </c>
    </row>
    <row r="79" spans="1:16" ht="15">
      <c r="A79" s="56">
        <v>2009</v>
      </c>
      <c r="C79" s="3">
        <f>SUM(C35:C46)</f>
        <v>-188873</v>
      </c>
      <c r="D79" s="3">
        <f>SUM(D35:D46)</f>
        <v>587182.150055956</v>
      </c>
      <c r="G79" s="2"/>
      <c r="P79" s="77">
        <v>21429.646956007993</v>
      </c>
    </row>
    <row r="80" spans="1:16" ht="15">
      <c r="A80" s="56">
        <v>2010</v>
      </c>
      <c r="C80" s="3">
        <f>SUM(C47:C58)</f>
        <v>-249355.41999999998</v>
      </c>
      <c r="D80" s="3">
        <f>SUM(D47:D58)</f>
        <v>705890.3550412748</v>
      </c>
      <c r="G80" s="2"/>
      <c r="P80" s="77">
        <v>21467.190040192985</v>
      </c>
    </row>
    <row r="81" spans="1:16" ht="15">
      <c r="A81" s="56">
        <v>2011</v>
      </c>
      <c r="C81" s="3">
        <f>SUM(C59:C70)</f>
        <v>-331166.75000000006</v>
      </c>
      <c r="D81" s="3">
        <f>SUM(D59:D70)</f>
        <v>871158.8380873987</v>
      </c>
      <c r="G81" s="2"/>
      <c r="P81" s="77">
        <v>21504.733124377984</v>
      </c>
    </row>
    <row r="82" spans="1:16" ht="15">
      <c r="A82" s="56">
        <v>2012</v>
      </c>
      <c r="C82" s="3">
        <f>SUM(C71:C74)</f>
        <v>-123457.99999999994</v>
      </c>
      <c r="D82" s="3">
        <f>SUM(D71:D74)</f>
        <v>290386.27936246624</v>
      </c>
      <c r="G82" s="2"/>
      <c r="P82" s="77">
        <v>21542.276208562973</v>
      </c>
    </row>
    <row r="83" spans="3:7" ht="15.75" thickBot="1">
      <c r="C83" s="58">
        <f>SUM(C76:C82)</f>
        <v>-1083256.1700000002</v>
      </c>
      <c r="D83" s="58">
        <f>SUM(D76:D82)</f>
        <v>2531800.746410599</v>
      </c>
      <c r="G83" s="58">
        <f>SUM(G76:G77)</f>
        <v>9781883</v>
      </c>
    </row>
  </sheetData>
  <sheetProtection/>
  <printOptions/>
  <pageMargins left="0.75" right="0.75" top="1" bottom="1" header="0.5" footer="0.5"/>
  <pageSetup horizontalDpi="600" verticalDpi="600" orientation="portrait" scale="97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36">
      <selection activeCell="O63" sqref="O63"/>
    </sheetView>
  </sheetViews>
  <sheetFormatPr defaultColWidth="8.88671875" defaultRowHeight="15"/>
  <cols>
    <col min="1" max="1" width="10.5546875" style="0" customWidth="1"/>
    <col min="2" max="6" width="11.3359375" style="0" customWidth="1"/>
    <col min="7" max="7" width="9.77734375" style="0" bestFit="1" customWidth="1"/>
    <col min="8" max="8" width="8.99609375" style="0" hidden="1" customWidth="1"/>
    <col min="9" max="9" width="9.99609375" style="0" hidden="1" customWidth="1"/>
    <col min="10" max="10" width="0" style="0" hidden="1" customWidth="1"/>
    <col min="11" max="11" width="15.88671875" style="0" customWidth="1"/>
  </cols>
  <sheetData>
    <row r="1" ht="15">
      <c r="A1" t="s">
        <v>60</v>
      </c>
    </row>
    <row r="2" spans="1:9" ht="60">
      <c r="A2" s="60" t="s">
        <v>54</v>
      </c>
      <c r="B2" s="60" t="s">
        <v>61</v>
      </c>
      <c r="C2" s="60" t="s">
        <v>62</v>
      </c>
      <c r="D2" s="60" t="s">
        <v>63</v>
      </c>
      <c r="E2" s="60" t="s">
        <v>64</v>
      </c>
      <c r="F2" s="60" t="s">
        <v>65</v>
      </c>
      <c r="G2" s="53" t="s">
        <v>59</v>
      </c>
      <c r="H2" s="53" t="s">
        <v>89</v>
      </c>
      <c r="I2" s="60" t="s">
        <v>90</v>
      </c>
    </row>
    <row r="3" spans="1:10" ht="15">
      <c r="A3" s="54">
        <v>38838</v>
      </c>
      <c r="B3" s="2">
        <f>'Table 1'!B3</f>
        <v>0</v>
      </c>
      <c r="C3" s="55">
        <v>31</v>
      </c>
      <c r="D3" s="72">
        <v>0.0414</v>
      </c>
      <c r="E3" s="2">
        <f>B3*D3/365*C3</f>
        <v>0</v>
      </c>
      <c r="F3" s="2">
        <f>E3</f>
        <v>0</v>
      </c>
      <c r="G3" t="s">
        <v>59</v>
      </c>
      <c r="H3" s="77"/>
      <c r="I3" s="77"/>
      <c r="J3" s="77"/>
    </row>
    <row r="4" spans="1:10" ht="15">
      <c r="A4" s="54">
        <v>38869</v>
      </c>
      <c r="B4" s="2">
        <f>'Table 1'!B4</f>
        <v>-9093.75</v>
      </c>
      <c r="C4" s="55">
        <v>30</v>
      </c>
      <c r="D4" s="72">
        <v>0.0414</v>
      </c>
      <c r="E4" s="2">
        <f>B3*D4/365*C4</f>
        <v>0</v>
      </c>
      <c r="F4" s="2">
        <f>E4+F3</f>
        <v>0</v>
      </c>
      <c r="G4" t="s">
        <v>59</v>
      </c>
      <c r="H4" s="77"/>
      <c r="I4" s="77"/>
      <c r="J4" s="77">
        <f>B3*D4</f>
        <v>0</v>
      </c>
    </row>
    <row r="5" spans="1:10" ht="15">
      <c r="A5" s="54">
        <v>38899</v>
      </c>
      <c r="B5" s="2">
        <f>'Table 1'!B5</f>
        <v>-18187.5</v>
      </c>
      <c r="C5" s="55">
        <v>31</v>
      </c>
      <c r="D5" s="72">
        <v>0.0459</v>
      </c>
      <c r="E5" s="2">
        <f aca="true" t="shared" si="0" ref="E5:E68">B4*D5/365*C5</f>
        <v>-35.45067636986302</v>
      </c>
      <c r="F5" s="2">
        <f aca="true" t="shared" si="1" ref="F5:F38">E5+F4</f>
        <v>-35.45067636986302</v>
      </c>
      <c r="G5" t="s">
        <v>59</v>
      </c>
      <c r="H5" s="77"/>
      <c r="I5" s="77"/>
      <c r="J5" s="87">
        <f>J4/365</f>
        <v>0</v>
      </c>
    </row>
    <row r="6" spans="1:10" ht="15">
      <c r="A6" s="54">
        <v>38930</v>
      </c>
      <c r="B6" s="2">
        <f>'Table 1'!B6</f>
        <v>-27281.25</v>
      </c>
      <c r="C6" s="55">
        <v>31</v>
      </c>
      <c r="D6" s="72">
        <v>0.0459</v>
      </c>
      <c r="E6" s="2">
        <f t="shared" si="0"/>
        <v>-70.90135273972604</v>
      </c>
      <c r="F6" s="2">
        <f t="shared" si="1"/>
        <v>-106.35202910958905</v>
      </c>
      <c r="G6" t="s">
        <v>59</v>
      </c>
      <c r="H6" s="77"/>
      <c r="I6" s="77"/>
      <c r="J6" s="77">
        <f>J5*C4</f>
        <v>0</v>
      </c>
    </row>
    <row r="7" spans="1:10" ht="15">
      <c r="A7" s="54">
        <v>38961</v>
      </c>
      <c r="B7" s="2">
        <f>'Table 1'!B7</f>
        <v>-36375</v>
      </c>
      <c r="C7" s="55">
        <v>30</v>
      </c>
      <c r="D7" s="72">
        <v>0.0459</v>
      </c>
      <c r="E7" s="2">
        <f t="shared" si="0"/>
        <v>-102.92131849315071</v>
      </c>
      <c r="F7" s="2">
        <f t="shared" si="1"/>
        <v>-209.27334760273976</v>
      </c>
      <c r="G7" t="s">
        <v>59</v>
      </c>
      <c r="H7" s="77"/>
      <c r="I7" s="77"/>
      <c r="J7" s="77"/>
    </row>
    <row r="8" spans="1:10" ht="15">
      <c r="A8" s="54">
        <v>38991</v>
      </c>
      <c r="B8" s="2">
        <f>'Table 1'!B8</f>
        <v>-45468.75</v>
      </c>
      <c r="C8" s="55">
        <v>31</v>
      </c>
      <c r="D8" s="72">
        <v>0.0459</v>
      </c>
      <c r="E8" s="2">
        <f t="shared" si="0"/>
        <v>-141.80270547945207</v>
      </c>
      <c r="F8" s="2">
        <f t="shared" si="1"/>
        <v>-351.07605308219183</v>
      </c>
      <c r="G8" t="s">
        <v>59</v>
      </c>
      <c r="H8" s="77"/>
      <c r="I8" s="77"/>
      <c r="J8" s="77"/>
    </row>
    <row r="9" spans="1:10" ht="15">
      <c r="A9" s="54">
        <v>39022</v>
      </c>
      <c r="B9" s="2">
        <f>'Table 1'!B9</f>
        <v>-54562.5</v>
      </c>
      <c r="C9" s="55">
        <v>30</v>
      </c>
      <c r="D9" s="72">
        <v>0.0459</v>
      </c>
      <c r="E9" s="2">
        <f t="shared" si="0"/>
        <v>-171.5355308219178</v>
      </c>
      <c r="F9" s="2">
        <f t="shared" si="1"/>
        <v>-522.6115839041097</v>
      </c>
      <c r="G9" t="s">
        <v>59</v>
      </c>
      <c r="H9" s="77"/>
      <c r="I9" s="77"/>
      <c r="J9" s="77"/>
    </row>
    <row r="10" spans="1:10" ht="15">
      <c r="A10" s="54">
        <v>39052</v>
      </c>
      <c r="B10" s="2">
        <f>'Table 1'!B10</f>
        <v>-63656.25</v>
      </c>
      <c r="C10" s="55">
        <v>31</v>
      </c>
      <c r="D10" s="72">
        <v>0.0459</v>
      </c>
      <c r="E10" s="2">
        <f t="shared" si="0"/>
        <v>-212.7040582191781</v>
      </c>
      <c r="F10" s="2">
        <f t="shared" si="1"/>
        <v>-735.3156421232878</v>
      </c>
      <c r="G10" t="s">
        <v>59</v>
      </c>
      <c r="H10" s="77">
        <f>SUM(E3:E10)</f>
        <v>-735.3156421232878</v>
      </c>
      <c r="I10" s="77">
        <f>'Table 1'!J10</f>
        <v>-72750</v>
      </c>
      <c r="J10" s="77">
        <f>H10+I10</f>
        <v>-73485.31564212329</v>
      </c>
    </row>
    <row r="11" spans="1:10" ht="15">
      <c r="A11" s="54">
        <v>39083</v>
      </c>
      <c r="B11" s="2">
        <f>'Table 1'!B11</f>
        <v>-72750</v>
      </c>
      <c r="C11" s="55">
        <v>31</v>
      </c>
      <c r="D11" s="72">
        <v>0.0459</v>
      </c>
      <c r="E11" s="2">
        <f t="shared" si="0"/>
        <v>-248.15473458904108</v>
      </c>
      <c r="F11" s="2">
        <f t="shared" si="1"/>
        <v>-983.470376712329</v>
      </c>
      <c r="G11" t="s">
        <v>59</v>
      </c>
      <c r="H11" s="77"/>
      <c r="I11" s="77"/>
      <c r="J11" s="77"/>
    </row>
    <row r="12" spans="1:10" ht="15">
      <c r="A12" s="54">
        <v>39114</v>
      </c>
      <c r="B12" s="2">
        <f>'Table 1'!B12</f>
        <v>-80207.41666666667</v>
      </c>
      <c r="C12" s="55">
        <v>28</v>
      </c>
      <c r="D12" s="72">
        <v>0.0459</v>
      </c>
      <c r="E12" s="2">
        <f t="shared" si="0"/>
        <v>-256.15972602739726</v>
      </c>
      <c r="F12" s="2">
        <f t="shared" si="1"/>
        <v>-1239.6301027397262</v>
      </c>
      <c r="G12" t="s">
        <v>59</v>
      </c>
      <c r="H12" s="77"/>
      <c r="I12" s="77"/>
      <c r="J12" s="77"/>
    </row>
    <row r="13" spans="1:10" ht="15">
      <c r="A13" s="54">
        <v>39142</v>
      </c>
      <c r="B13" s="2">
        <f>'Table 1'!B13</f>
        <v>-87664.83333333334</v>
      </c>
      <c r="C13" s="55">
        <v>31</v>
      </c>
      <c r="D13" s="72">
        <v>0.0459</v>
      </c>
      <c r="E13" s="2">
        <f t="shared" si="0"/>
        <v>-312.6770771917809</v>
      </c>
      <c r="F13" s="2">
        <f t="shared" si="1"/>
        <v>-1552.307179931507</v>
      </c>
      <c r="G13" t="s">
        <v>59</v>
      </c>
      <c r="H13" s="77"/>
      <c r="I13" s="77"/>
      <c r="J13" s="77"/>
    </row>
    <row r="14" spans="1:10" ht="15">
      <c r="A14" s="54">
        <v>39173</v>
      </c>
      <c r="B14" s="2">
        <f>'Table 1'!B14</f>
        <v>-95122.25000000001</v>
      </c>
      <c r="C14" s="55">
        <v>30</v>
      </c>
      <c r="D14" s="72">
        <v>0.0459</v>
      </c>
      <c r="E14" s="2">
        <f t="shared" si="0"/>
        <v>-330.72459041095897</v>
      </c>
      <c r="F14" s="2">
        <f t="shared" si="1"/>
        <v>-1883.0317703424662</v>
      </c>
      <c r="G14" t="s">
        <v>59</v>
      </c>
      <c r="H14" s="77"/>
      <c r="I14" s="77"/>
      <c r="J14" s="77"/>
    </row>
    <row r="15" spans="1:10" ht="15">
      <c r="A15" s="54">
        <v>39203</v>
      </c>
      <c r="B15" s="2">
        <f>'Table 1'!B15</f>
        <v>-102579.66666666669</v>
      </c>
      <c r="C15" s="55">
        <v>31</v>
      </c>
      <c r="D15" s="72">
        <v>0.0459</v>
      </c>
      <c r="E15" s="2">
        <f t="shared" si="0"/>
        <v>-370.82040965753436</v>
      </c>
      <c r="F15" s="2">
        <f t="shared" si="1"/>
        <v>-2253.8521800000008</v>
      </c>
      <c r="G15" t="s">
        <v>59</v>
      </c>
      <c r="H15" s="77"/>
      <c r="I15" s="77"/>
      <c r="J15" s="77"/>
    </row>
    <row r="16" spans="1:10" ht="15">
      <c r="A16" s="54">
        <v>39234</v>
      </c>
      <c r="B16" s="2">
        <f>'Table 1'!B16</f>
        <v>-110037.08333333336</v>
      </c>
      <c r="C16" s="55">
        <v>30</v>
      </c>
      <c r="D16" s="72">
        <v>0.0459</v>
      </c>
      <c r="E16" s="2">
        <f t="shared" si="0"/>
        <v>-386.99233150684944</v>
      </c>
      <c r="F16" s="2">
        <f t="shared" si="1"/>
        <v>-2640.8445115068503</v>
      </c>
      <c r="G16" t="s">
        <v>59</v>
      </c>
      <c r="H16" s="77"/>
      <c r="I16" s="77"/>
      <c r="J16" s="77"/>
    </row>
    <row r="17" spans="1:10" ht="15">
      <c r="A17" s="54">
        <v>39264</v>
      </c>
      <c r="B17" s="2">
        <f>'Table 1'!B17</f>
        <v>-117494.50000000003</v>
      </c>
      <c r="C17" s="55">
        <v>31</v>
      </c>
      <c r="D17" s="72">
        <v>0.0459</v>
      </c>
      <c r="E17" s="2">
        <f t="shared" si="0"/>
        <v>-428.96374212328783</v>
      </c>
      <c r="F17" s="2">
        <f t="shared" si="1"/>
        <v>-3069.808253630138</v>
      </c>
      <c r="G17" t="s">
        <v>59</v>
      </c>
      <c r="H17" s="77"/>
      <c r="I17" s="77"/>
      <c r="J17" s="77"/>
    </row>
    <row r="18" spans="1:10" ht="15">
      <c r="A18" s="54">
        <v>39295</v>
      </c>
      <c r="B18" s="2">
        <f>'Table 1'!B18</f>
        <v>-124951.9166666667</v>
      </c>
      <c r="C18" s="55">
        <v>31</v>
      </c>
      <c r="D18" s="72">
        <v>0.0459</v>
      </c>
      <c r="E18" s="2">
        <f t="shared" si="0"/>
        <v>-458.03540835616457</v>
      </c>
      <c r="F18" s="2">
        <f t="shared" si="1"/>
        <v>-3527.843661986303</v>
      </c>
      <c r="G18" t="s">
        <v>59</v>
      </c>
      <c r="H18" s="77"/>
      <c r="I18" s="77"/>
      <c r="J18" s="77"/>
    </row>
    <row r="19" spans="1:10" ht="15">
      <c r="A19" s="54">
        <v>39326</v>
      </c>
      <c r="B19" s="2">
        <f>'Table 1'!B19</f>
        <v>-132409.33333333337</v>
      </c>
      <c r="C19" s="55">
        <v>30</v>
      </c>
      <c r="D19" s="72">
        <v>0.0459</v>
      </c>
      <c r="E19" s="2">
        <f t="shared" si="0"/>
        <v>-471.3939431506851</v>
      </c>
      <c r="F19" s="2">
        <f t="shared" si="1"/>
        <v>-3999.237605136988</v>
      </c>
      <c r="G19" t="s">
        <v>59</v>
      </c>
      <c r="H19" s="77"/>
      <c r="I19" s="77"/>
      <c r="J19" s="77"/>
    </row>
    <row r="20" spans="1:10" ht="15">
      <c r="A20" s="54">
        <v>39356</v>
      </c>
      <c r="B20" s="2">
        <f>'Table 1'!B20</f>
        <v>-139866.75000000003</v>
      </c>
      <c r="C20" s="55">
        <v>31</v>
      </c>
      <c r="D20" s="72">
        <v>0.0514</v>
      </c>
      <c r="E20" s="2">
        <f t="shared" si="0"/>
        <v>-578.0302239269407</v>
      </c>
      <c r="F20" s="2">
        <f t="shared" si="1"/>
        <v>-4577.267829063929</v>
      </c>
      <c r="G20" t="s">
        <v>59</v>
      </c>
      <c r="H20" s="77"/>
      <c r="I20" s="77"/>
      <c r="J20" s="77"/>
    </row>
    <row r="21" spans="1:10" ht="15">
      <c r="A21" s="54">
        <v>39387</v>
      </c>
      <c r="B21" s="2">
        <f>'Table 1'!B21</f>
        <v>-147324.1666666667</v>
      </c>
      <c r="C21" s="55">
        <v>30</v>
      </c>
      <c r="D21" s="72">
        <v>0.0514</v>
      </c>
      <c r="E21" s="2">
        <f t="shared" si="0"/>
        <v>-590.8891191780824</v>
      </c>
      <c r="F21" s="2">
        <f t="shared" si="1"/>
        <v>-5168.156948242011</v>
      </c>
      <c r="G21" t="s">
        <v>59</v>
      </c>
      <c r="H21" s="77"/>
      <c r="I21" s="77"/>
      <c r="J21" s="77"/>
    </row>
    <row r="22" spans="1:10" ht="15">
      <c r="A22" s="54">
        <v>39417</v>
      </c>
      <c r="B22" s="2">
        <f>'Table 1'!B22</f>
        <v>-154781.58333333334</v>
      </c>
      <c r="C22" s="55">
        <v>31</v>
      </c>
      <c r="D22" s="72">
        <v>0.0514</v>
      </c>
      <c r="E22" s="2">
        <f t="shared" si="0"/>
        <v>-643.1406223744293</v>
      </c>
      <c r="F22" s="2">
        <f t="shared" si="1"/>
        <v>-5811.29757061644</v>
      </c>
      <c r="G22" s="55" t="s">
        <v>59</v>
      </c>
      <c r="H22" s="77">
        <f>SUM(E11:E22)</f>
        <v>-5075.981928493153</v>
      </c>
      <c r="I22" s="77">
        <f>'Table 1'!J22</f>
        <v>-89489.00000000004</v>
      </c>
      <c r="J22" s="77">
        <f>H22+I22</f>
        <v>-94564.9819284932</v>
      </c>
    </row>
    <row r="23" spans="1:10" ht="15">
      <c r="A23" s="54">
        <v>39448</v>
      </c>
      <c r="B23" s="2">
        <f>'Table 1'!B23</f>
        <v>-162239</v>
      </c>
      <c r="C23" s="55">
        <v>31</v>
      </c>
      <c r="D23" s="72">
        <v>0.0514</v>
      </c>
      <c r="E23" s="2">
        <f t="shared" si="0"/>
        <v>-675.6958215981736</v>
      </c>
      <c r="F23" s="2">
        <f t="shared" si="1"/>
        <v>-6486.993392214614</v>
      </c>
      <c r="H23" s="77"/>
      <c r="I23" s="77"/>
      <c r="J23" s="77"/>
    </row>
    <row r="24" spans="1:10" ht="15">
      <c r="A24" s="54">
        <v>39479</v>
      </c>
      <c r="B24" s="2">
        <f>'Table 1'!B24</f>
        <v>-158154.0730113747</v>
      </c>
      <c r="C24" s="55">
        <v>29</v>
      </c>
      <c r="D24" s="72">
        <v>0.0514</v>
      </c>
      <c r="E24" s="2">
        <f t="shared" si="0"/>
        <v>-662.5574065753425</v>
      </c>
      <c r="F24" s="2">
        <f>E24+F23</f>
        <v>-7149.550798789956</v>
      </c>
      <c r="H24" s="77"/>
      <c r="I24" s="77"/>
      <c r="J24" s="77"/>
    </row>
    <row r="25" spans="1:10" ht="15">
      <c r="A25" s="54">
        <v>39508</v>
      </c>
      <c r="B25" s="2">
        <f>'Table 1'!B25</f>
        <v>-154069.14602274942</v>
      </c>
      <c r="C25" s="55">
        <v>31</v>
      </c>
      <c r="D25" s="72">
        <v>0.0514</v>
      </c>
      <c r="E25" s="2">
        <f t="shared" si="0"/>
        <v>-690.4183559899301</v>
      </c>
      <c r="F25" s="2">
        <f t="shared" si="1"/>
        <v>-7839.969154779887</v>
      </c>
      <c r="H25" s="77"/>
      <c r="I25" s="77"/>
      <c r="J25" s="77"/>
    </row>
    <row r="26" spans="1:10" ht="15">
      <c r="A26" s="54">
        <v>39539</v>
      </c>
      <c r="B26" s="2">
        <f>'Table 1'!B26</f>
        <v>-149984.21903412414</v>
      </c>
      <c r="C26" s="55">
        <v>30</v>
      </c>
      <c r="D26" s="72">
        <v>0.0408</v>
      </c>
      <c r="E26" s="2">
        <f t="shared" si="0"/>
        <v>-516.6592732379323</v>
      </c>
      <c r="F26" s="2">
        <f t="shared" si="1"/>
        <v>-8356.628428017819</v>
      </c>
      <c r="H26" s="77"/>
      <c r="I26" s="77"/>
      <c r="J26" s="77"/>
    </row>
    <row r="27" spans="1:10" ht="15">
      <c r="A27" s="54">
        <v>39569</v>
      </c>
      <c r="B27" s="2">
        <f>'Table 1'!B27</f>
        <v>-145899.29204549885</v>
      </c>
      <c r="C27" s="55">
        <v>31</v>
      </c>
      <c r="D27" s="72">
        <v>0.0408</v>
      </c>
      <c r="E27" s="2">
        <f t="shared" si="0"/>
        <v>-519.7261376283842</v>
      </c>
      <c r="F27" s="2">
        <f t="shared" si="1"/>
        <v>-8876.354565646203</v>
      </c>
      <c r="H27" s="77"/>
      <c r="I27" s="77"/>
      <c r="J27" s="77"/>
    </row>
    <row r="28" spans="1:10" ht="15">
      <c r="A28" s="54">
        <v>39600</v>
      </c>
      <c r="B28" s="2">
        <f>'Table 1'!B28</f>
        <v>-141814.36505687356</v>
      </c>
      <c r="C28" s="55">
        <v>30</v>
      </c>
      <c r="D28" s="72">
        <v>0.0408</v>
      </c>
      <c r="E28" s="2">
        <f t="shared" si="0"/>
        <v>-489.262283462166</v>
      </c>
      <c r="F28" s="2">
        <f t="shared" si="1"/>
        <v>-9365.616849108368</v>
      </c>
      <c r="H28" s="77"/>
      <c r="I28" s="77"/>
      <c r="J28" s="77"/>
    </row>
    <row r="29" spans="1:10" ht="15">
      <c r="A29" s="54">
        <v>39630</v>
      </c>
      <c r="B29" s="2">
        <f>'Table 1'!B29</f>
        <v>-137729.43806824827</v>
      </c>
      <c r="C29" s="55">
        <v>31</v>
      </c>
      <c r="D29" s="72">
        <v>0.0335</v>
      </c>
      <c r="E29" s="2">
        <f t="shared" si="0"/>
        <v>-403.4910085248307</v>
      </c>
      <c r="F29" s="2">
        <f t="shared" si="1"/>
        <v>-9769.107857633198</v>
      </c>
      <c r="H29" s="77"/>
      <c r="I29" s="77"/>
      <c r="J29" s="77"/>
    </row>
    <row r="30" spans="1:10" ht="15">
      <c r="A30" s="54">
        <v>39661</v>
      </c>
      <c r="B30" s="2">
        <f>'Table 1'!B30</f>
        <v>-133644.511079623</v>
      </c>
      <c r="C30" s="55">
        <v>31</v>
      </c>
      <c r="D30" s="72">
        <v>0.0335</v>
      </c>
      <c r="E30" s="2">
        <f t="shared" si="0"/>
        <v>-391.86855187363244</v>
      </c>
      <c r="F30" s="2">
        <f t="shared" si="1"/>
        <v>-10160.976409506831</v>
      </c>
      <c r="H30" s="77"/>
      <c r="I30" s="77"/>
      <c r="J30" s="77"/>
    </row>
    <row r="31" spans="1:10" ht="15">
      <c r="A31" s="54">
        <v>39692</v>
      </c>
      <c r="B31" s="2">
        <f>'Table 1'!B31</f>
        <v>-129559.58409099771</v>
      </c>
      <c r="C31" s="55">
        <v>30</v>
      </c>
      <c r="D31" s="72">
        <v>0.0335</v>
      </c>
      <c r="E31" s="2">
        <f t="shared" si="0"/>
        <v>-367.9800921507428</v>
      </c>
      <c r="F31" s="2">
        <f t="shared" si="1"/>
        <v>-10528.956501657574</v>
      </c>
      <c r="H31" s="77"/>
      <c r="I31" s="77"/>
      <c r="J31" s="77"/>
    </row>
    <row r="32" spans="1:10" ht="15">
      <c r="A32" s="54">
        <v>39722</v>
      </c>
      <c r="B32" s="2">
        <f>'Table 1'!B32</f>
        <v>-125474.65710237242</v>
      </c>
      <c r="C32" s="55">
        <v>31</v>
      </c>
      <c r="D32" s="72">
        <v>0.0335</v>
      </c>
      <c r="E32" s="2">
        <f t="shared" si="0"/>
        <v>-368.6236385712359</v>
      </c>
      <c r="F32" s="2">
        <f t="shared" si="1"/>
        <v>-10897.58014022881</v>
      </c>
      <c r="H32" s="77"/>
      <c r="I32" s="77"/>
      <c r="J32" s="77"/>
    </row>
    <row r="33" spans="1:10" ht="15">
      <c r="A33" s="54">
        <v>39753</v>
      </c>
      <c r="B33" s="2">
        <f>'Table 1'!B33</f>
        <v>-121389.73011374715</v>
      </c>
      <c r="C33" s="55">
        <v>30</v>
      </c>
      <c r="D33" s="72">
        <v>0.0335</v>
      </c>
      <c r="E33" s="2">
        <f t="shared" si="0"/>
        <v>-345.48501476132685</v>
      </c>
      <c r="F33" s="2">
        <f t="shared" si="1"/>
        <v>-11243.065154990138</v>
      </c>
      <c r="H33" s="77"/>
      <c r="I33" s="77"/>
      <c r="J33" s="77"/>
    </row>
    <row r="34" spans="1:10" ht="15">
      <c r="A34" s="54">
        <v>39783</v>
      </c>
      <c r="B34" s="2">
        <f>'Table 1'!B34</f>
        <v>-117304.80312512188</v>
      </c>
      <c r="C34" s="55">
        <v>31</v>
      </c>
      <c r="D34" s="72">
        <v>0.0335</v>
      </c>
      <c r="E34" s="2">
        <f t="shared" si="0"/>
        <v>-345.3787252688395</v>
      </c>
      <c r="F34" s="2">
        <f t="shared" si="1"/>
        <v>-11588.443880258978</v>
      </c>
      <c r="G34" s="61"/>
      <c r="H34" s="77">
        <f>SUM(E23:E34)</f>
        <v>-5777.146309642538</v>
      </c>
      <c r="I34" s="77">
        <f>'Table 1'!J34</f>
        <v>-28164</v>
      </c>
      <c r="J34" s="77">
        <f>H34+I34</f>
        <v>-33941.146309642536</v>
      </c>
    </row>
    <row r="35" spans="1:10" ht="15">
      <c r="A35" s="54">
        <v>39814</v>
      </c>
      <c r="B35" s="2">
        <f>'Table 1'!B35</f>
        <v>-113219.8761364966</v>
      </c>
      <c r="C35" s="55">
        <v>31</v>
      </c>
      <c r="D35" s="72">
        <v>0.0245</v>
      </c>
      <c r="E35" s="2">
        <f t="shared" si="0"/>
        <v>-244.0904054069317</v>
      </c>
      <c r="F35" s="2">
        <f t="shared" si="1"/>
        <v>-11832.53428566591</v>
      </c>
      <c r="G35" s="67"/>
      <c r="H35" s="77"/>
      <c r="I35" s="77"/>
      <c r="J35" s="77"/>
    </row>
    <row r="36" spans="1:10" ht="15">
      <c r="A36" s="54">
        <v>39845</v>
      </c>
      <c r="B36" s="2">
        <f>'Table 1'!B36</f>
        <v>-70266.03029850026</v>
      </c>
      <c r="C36" s="55">
        <v>28</v>
      </c>
      <c r="D36" s="72">
        <v>0.0245</v>
      </c>
      <c r="E36" s="2">
        <f t="shared" si="0"/>
        <v>-212.79132884831967</v>
      </c>
      <c r="F36" s="2">
        <f t="shared" si="1"/>
        <v>-12045.32561451423</v>
      </c>
      <c r="H36" s="77"/>
      <c r="I36" s="77"/>
      <c r="J36" s="77"/>
    </row>
    <row r="37" spans="1:10" ht="15">
      <c r="A37" s="54">
        <v>39873</v>
      </c>
      <c r="B37" s="2">
        <f>'Table 1'!B37</f>
        <v>-27291.18446050393</v>
      </c>
      <c r="C37" s="55">
        <v>31</v>
      </c>
      <c r="D37" s="72">
        <v>0.0245</v>
      </c>
      <c r="E37" s="2">
        <f t="shared" si="0"/>
        <v>-146.21109592249576</v>
      </c>
      <c r="F37" s="2">
        <f t="shared" si="1"/>
        <v>-12191.536710436725</v>
      </c>
      <c r="H37" s="77"/>
      <c r="I37" s="77"/>
      <c r="J37" s="77"/>
    </row>
    <row r="38" spans="1:10" ht="15">
      <c r="A38" s="54">
        <v>39904</v>
      </c>
      <c r="B38" s="2">
        <f>'Table 1'!B38</f>
        <v>15284.661377492404</v>
      </c>
      <c r="C38" s="55">
        <v>30</v>
      </c>
      <c r="D38" s="72">
        <v>0.01</v>
      </c>
      <c r="E38" s="2">
        <f t="shared" si="0"/>
        <v>-22.43111051548268</v>
      </c>
      <c r="F38" s="2">
        <f t="shared" si="1"/>
        <v>-12213.967820952208</v>
      </c>
      <c r="H38" s="77"/>
      <c r="I38" s="77"/>
      <c r="J38" s="77"/>
    </row>
    <row r="39" spans="1:10" ht="15">
      <c r="A39" s="54">
        <v>39934</v>
      </c>
      <c r="B39" s="2">
        <f>'Table 1'!B39</f>
        <v>58963.50721548874</v>
      </c>
      <c r="C39" s="55">
        <v>31</v>
      </c>
      <c r="D39" s="72">
        <v>0.01</v>
      </c>
      <c r="E39" s="2">
        <f t="shared" si="0"/>
        <v>12.981493224719575</v>
      </c>
      <c r="F39" s="2">
        <f aca="true" t="shared" si="2" ref="F39:F47">E39+F38</f>
        <v>-12200.986327727489</v>
      </c>
      <c r="H39" s="77"/>
      <c r="I39" s="77"/>
      <c r="J39" s="77"/>
    </row>
    <row r="40" spans="1:10" ht="15">
      <c r="A40" s="54">
        <v>39965</v>
      </c>
      <c r="B40" s="2">
        <f>'Table 1'!B40</f>
        <v>101024.35305348507</v>
      </c>
      <c r="C40" s="55">
        <v>30</v>
      </c>
      <c r="D40" s="72">
        <v>0.01</v>
      </c>
      <c r="E40" s="2">
        <f t="shared" si="0"/>
        <v>48.4631566154702</v>
      </c>
      <c r="F40" s="2">
        <f t="shared" si="2"/>
        <v>-12152.52317111202</v>
      </c>
      <c r="H40" s="77"/>
      <c r="I40" s="77"/>
      <c r="J40" s="77"/>
    </row>
    <row r="41" spans="1:10" ht="15">
      <c r="A41" s="54">
        <v>39995</v>
      </c>
      <c r="B41" s="2">
        <f>'Table 1'!B41</f>
        <v>137130.1988914814</v>
      </c>
      <c r="C41" s="55">
        <v>31</v>
      </c>
      <c r="D41" s="72">
        <v>0.0055</v>
      </c>
      <c r="E41" s="2">
        <f t="shared" si="0"/>
        <v>47.1908279332033</v>
      </c>
      <c r="F41" s="2">
        <f t="shared" si="2"/>
        <v>-12105.332343178816</v>
      </c>
      <c r="H41" s="77"/>
      <c r="I41" s="77"/>
      <c r="J41" s="77"/>
    </row>
    <row r="42" spans="1:10" ht="15">
      <c r="A42" s="54">
        <v>40026</v>
      </c>
      <c r="B42" s="2">
        <f>'Table 1'!B42</f>
        <v>164210.04472947776</v>
      </c>
      <c r="C42" s="55">
        <v>31</v>
      </c>
      <c r="D42" s="72">
        <v>0.0055</v>
      </c>
      <c r="E42" s="2">
        <f t="shared" si="0"/>
        <v>64.05670934519885</v>
      </c>
      <c r="F42" s="2">
        <f t="shared" si="2"/>
        <v>-12041.275633833617</v>
      </c>
      <c r="H42" s="77"/>
      <c r="I42" s="77"/>
      <c r="J42" s="77"/>
    </row>
    <row r="43" spans="1:10" ht="15">
      <c r="A43" s="54">
        <v>40057</v>
      </c>
      <c r="B43" s="2">
        <f>'Table 1'!B43</f>
        <v>195262.8905674741</v>
      </c>
      <c r="C43" s="55">
        <v>30</v>
      </c>
      <c r="D43" s="72">
        <v>0.0055</v>
      </c>
      <c r="E43" s="2">
        <f t="shared" si="0"/>
        <v>74.23193802839405</v>
      </c>
      <c r="F43" s="2">
        <f t="shared" si="2"/>
        <v>-11967.043695805223</v>
      </c>
      <c r="H43" s="77"/>
      <c r="I43" s="77"/>
      <c r="J43" s="77"/>
    </row>
    <row r="44" spans="1:10" ht="15">
      <c r="A44" s="54">
        <v>40087</v>
      </c>
      <c r="B44" s="2">
        <f>'Table 1'!B44</f>
        <v>222483.73640547044</v>
      </c>
      <c r="C44" s="55">
        <v>31</v>
      </c>
      <c r="D44" s="72">
        <v>0.0055</v>
      </c>
      <c r="E44" s="2">
        <f t="shared" si="0"/>
        <v>91.21184340206666</v>
      </c>
      <c r="F44" s="2">
        <f t="shared" si="2"/>
        <v>-11875.831852403157</v>
      </c>
      <c r="H44" s="77"/>
      <c r="I44" s="77"/>
      <c r="J44" s="77"/>
    </row>
    <row r="45" spans="1:10" ht="15">
      <c r="A45" s="54">
        <v>40118</v>
      </c>
      <c r="B45" s="2">
        <f>'Table 1'!B45</f>
        <v>250658.58224346678</v>
      </c>
      <c r="C45" s="55">
        <v>30</v>
      </c>
      <c r="D45" s="72">
        <v>0.0055</v>
      </c>
      <c r="E45" s="2">
        <f t="shared" si="0"/>
        <v>100.5748397449387</v>
      </c>
      <c r="F45" s="2">
        <f t="shared" si="2"/>
        <v>-11775.257012658218</v>
      </c>
      <c r="H45" s="77"/>
      <c r="I45" s="77"/>
      <c r="J45" s="77"/>
    </row>
    <row r="46" spans="1:10" ht="15">
      <c r="A46" s="54">
        <v>40148</v>
      </c>
      <c r="B46" s="2">
        <f>'Table 1'!B46</f>
        <v>278762.4280814631</v>
      </c>
      <c r="C46" s="55">
        <v>31</v>
      </c>
      <c r="D46" s="72">
        <v>0.0055</v>
      </c>
      <c r="E46" s="2">
        <f t="shared" si="0"/>
        <v>117.08846102057831</v>
      </c>
      <c r="F46" s="2">
        <f>E46+F45</f>
        <v>-11658.16855163764</v>
      </c>
      <c r="H46" s="77">
        <f>SUM(E35:E46)</f>
        <v>-69.72467137866025</v>
      </c>
      <c r="I46" s="77">
        <f>'Table 1'!J46</f>
        <v>-188873</v>
      </c>
      <c r="J46" s="77">
        <f>H46+I46</f>
        <v>-188942.72467137867</v>
      </c>
    </row>
    <row r="47" spans="1:10" ht="15">
      <c r="A47" s="54">
        <v>40179</v>
      </c>
      <c r="B47" s="2">
        <f>'Table 1'!B47</f>
        <v>285089.27391945943</v>
      </c>
      <c r="C47" s="55">
        <v>31</v>
      </c>
      <c r="D47" s="72">
        <v>0.0055</v>
      </c>
      <c r="E47" s="2">
        <f t="shared" si="0"/>
        <v>130.21642188462866</v>
      </c>
      <c r="F47" s="2">
        <f t="shared" si="2"/>
        <v>-11527.952129753012</v>
      </c>
      <c r="H47" s="77"/>
      <c r="I47" s="77"/>
      <c r="J47" s="77"/>
    </row>
    <row r="48" spans="1:10" ht="15">
      <c r="A48" s="54">
        <v>40210</v>
      </c>
      <c r="B48" s="2">
        <f>'Table 1'!B48</f>
        <v>324999.470172899</v>
      </c>
      <c r="C48" s="55">
        <v>28</v>
      </c>
      <c r="D48" s="72">
        <v>0.0055</v>
      </c>
      <c r="E48" s="2">
        <f t="shared" si="0"/>
        <v>120.2842415988952</v>
      </c>
      <c r="F48" s="2">
        <f aca="true" t="shared" si="3" ref="F48:F70">E48+F47</f>
        <v>-11407.667888154117</v>
      </c>
      <c r="H48" s="77"/>
      <c r="I48" s="77"/>
      <c r="J48" s="77"/>
    </row>
    <row r="49" spans="1:10" ht="15">
      <c r="A49" s="54">
        <v>40238</v>
      </c>
      <c r="B49" s="2">
        <f>'Table 1'!B49</f>
        <v>363105.6664263386</v>
      </c>
      <c r="C49" s="55">
        <v>31</v>
      </c>
      <c r="D49" s="72">
        <v>0.0055</v>
      </c>
      <c r="E49" s="2">
        <f t="shared" si="0"/>
        <v>151.81482099857337</v>
      </c>
      <c r="F49" s="2">
        <f t="shared" si="3"/>
        <v>-11255.853067155544</v>
      </c>
      <c r="H49" s="77"/>
      <c r="I49" s="77"/>
      <c r="J49" s="77"/>
    </row>
    <row r="50" spans="1:10" ht="15">
      <c r="A50" s="54">
        <v>40269</v>
      </c>
      <c r="B50" s="2">
        <f>'Table 1'!B50</f>
        <v>399176.8626797782</v>
      </c>
      <c r="C50" s="55">
        <v>30</v>
      </c>
      <c r="D50" s="72">
        <v>0.0055</v>
      </c>
      <c r="E50" s="2">
        <f t="shared" si="0"/>
        <v>164.1436574256051</v>
      </c>
      <c r="F50" s="2">
        <f t="shared" si="3"/>
        <v>-11091.709409729938</v>
      </c>
      <c r="H50" s="77"/>
      <c r="I50" s="77"/>
      <c r="J50" s="77"/>
    </row>
    <row r="51" spans="1:10" ht="15">
      <c r="A51" s="54">
        <v>40299</v>
      </c>
      <c r="B51" s="2">
        <f>'Table 1'!B51</f>
        <v>437464.0589332178</v>
      </c>
      <c r="C51" s="55">
        <v>31</v>
      </c>
      <c r="D51" s="72">
        <v>0.0055</v>
      </c>
      <c r="E51" s="2">
        <f t="shared" si="0"/>
        <v>186.46480845726626</v>
      </c>
      <c r="F51" s="2">
        <f t="shared" si="3"/>
        <v>-10905.244601272672</v>
      </c>
      <c r="H51" s="77"/>
      <c r="I51" s="77"/>
      <c r="J51" s="77"/>
    </row>
    <row r="52" spans="1:10" ht="15">
      <c r="A52" s="54">
        <v>40330</v>
      </c>
      <c r="B52" s="2">
        <f>'Table 1'!B52</f>
        <v>476559.25518665736</v>
      </c>
      <c r="C52" s="55">
        <v>30</v>
      </c>
      <c r="D52" s="72">
        <v>0.0055</v>
      </c>
      <c r="E52" s="2">
        <f t="shared" si="0"/>
        <v>197.75772527118062</v>
      </c>
      <c r="F52" s="2">
        <f t="shared" si="3"/>
        <v>-10707.486876001492</v>
      </c>
      <c r="H52" s="77"/>
      <c r="I52" s="77"/>
      <c r="J52" s="77"/>
    </row>
    <row r="53" spans="1:10" ht="15">
      <c r="A53" s="54">
        <v>40360</v>
      </c>
      <c r="B53" s="2">
        <f>'Table 1'!B53</f>
        <v>513296.45144009695</v>
      </c>
      <c r="C53" s="55">
        <v>31</v>
      </c>
      <c r="D53" s="72">
        <v>0.0089</v>
      </c>
      <c r="E53" s="2">
        <f t="shared" si="0"/>
        <v>360.2265712493117</v>
      </c>
      <c r="F53" s="2">
        <f t="shared" si="3"/>
        <v>-10347.26030475218</v>
      </c>
      <c r="H53" s="77"/>
      <c r="I53" s="77"/>
      <c r="J53" s="77"/>
    </row>
    <row r="54" spans="1:10" ht="15">
      <c r="A54" s="54">
        <v>40391</v>
      </c>
      <c r="B54" s="2">
        <f>'Table 1'!B54</f>
        <v>551101.6476935365</v>
      </c>
      <c r="C54" s="55">
        <v>31</v>
      </c>
      <c r="D54" s="72">
        <v>0.0089</v>
      </c>
      <c r="E54" s="2">
        <f t="shared" si="0"/>
        <v>387.995865622802</v>
      </c>
      <c r="F54" s="2">
        <f t="shared" si="3"/>
        <v>-9959.264439129378</v>
      </c>
      <c r="H54" s="77"/>
      <c r="I54" s="77"/>
      <c r="J54" s="77"/>
    </row>
    <row r="55" spans="1:10" ht="15">
      <c r="A55" s="54">
        <v>40422</v>
      </c>
      <c r="B55" s="2">
        <f>'Table 1'!B55</f>
        <v>589305.843946976</v>
      </c>
      <c r="C55" s="55">
        <v>30</v>
      </c>
      <c r="D55" s="72">
        <v>0.0089</v>
      </c>
      <c r="E55" s="2">
        <f t="shared" si="0"/>
        <v>403.1346299566418</v>
      </c>
      <c r="F55" s="2">
        <f t="shared" si="3"/>
        <v>-9556.129809172737</v>
      </c>
      <c r="H55" s="77"/>
      <c r="I55" s="77"/>
      <c r="J55" s="77"/>
    </row>
    <row r="56" spans="1:12" ht="15">
      <c r="A56" s="54">
        <v>40452</v>
      </c>
      <c r="B56" s="2">
        <f>'Table 1'!B56</f>
        <v>627004.9802004155</v>
      </c>
      <c r="C56" s="55">
        <v>31</v>
      </c>
      <c r="D56" s="72">
        <v>0.012</v>
      </c>
      <c r="E56" s="2">
        <f t="shared" si="0"/>
        <v>600.6075998582878</v>
      </c>
      <c r="F56" s="2">
        <f t="shared" si="3"/>
        <v>-8955.52220931445</v>
      </c>
      <c r="H56" s="77"/>
      <c r="I56" s="77"/>
      <c r="J56" s="77"/>
      <c r="K56" t="s">
        <v>94</v>
      </c>
      <c r="L56" t="s">
        <v>95</v>
      </c>
    </row>
    <row r="57" spans="1:10" ht="15">
      <c r="A57" s="54">
        <v>40483</v>
      </c>
      <c r="B57" s="2">
        <f>'Table 1'!B57</f>
        <v>665500.2364538551</v>
      </c>
      <c r="C57" s="55">
        <v>30</v>
      </c>
      <c r="D57" s="72">
        <v>0.012</v>
      </c>
      <c r="E57" s="2">
        <f t="shared" si="0"/>
        <v>618.4158708826017</v>
      </c>
      <c r="F57" s="2">
        <f t="shared" si="3"/>
        <v>-8337.106338431848</v>
      </c>
      <c r="H57" s="77"/>
      <c r="I57" s="77"/>
      <c r="J57" s="77"/>
    </row>
    <row r="58" spans="1:11" ht="15">
      <c r="A58" s="54">
        <v>40513</v>
      </c>
      <c r="B58" s="2">
        <f>'Table 1'!B58</f>
        <v>701177.0027072945</v>
      </c>
      <c r="C58" s="55">
        <v>31</v>
      </c>
      <c r="D58" s="72">
        <v>0.012</v>
      </c>
      <c r="E58" s="2">
        <f>B57*D58/365*C58</f>
        <v>678.2632546872167</v>
      </c>
      <c r="F58" s="2">
        <f t="shared" si="3"/>
        <v>-7658.843083744631</v>
      </c>
      <c r="H58" s="77">
        <f>SUM(E47:E58)</f>
        <v>3999.3254678930107</v>
      </c>
      <c r="I58" s="77">
        <f>'Table 1'!J58</f>
        <v>-249355.41999999998</v>
      </c>
      <c r="J58" s="77">
        <f>H58+I58</f>
        <v>-245356.09453210697</v>
      </c>
      <c r="K58" s="77">
        <f>'Revenue Requirement'!L23+'Revenue Requirement'!L24</f>
        <v>478551.29833551665</v>
      </c>
    </row>
    <row r="59" spans="1:12" ht="15">
      <c r="A59" s="54">
        <v>40544</v>
      </c>
      <c r="B59" s="2">
        <f>'Table 1'!B59</f>
        <v>741624.2089607341</v>
      </c>
      <c r="C59" s="55">
        <v>31</v>
      </c>
      <c r="D59" s="72">
        <v>0.0147</v>
      </c>
      <c r="E59" s="2">
        <f t="shared" si="0"/>
        <v>875.4146852978469</v>
      </c>
      <c r="F59" s="2">
        <f t="shared" si="3"/>
        <v>-6783.428398446785</v>
      </c>
      <c r="H59" s="77"/>
      <c r="I59" s="77"/>
      <c r="J59" s="77"/>
      <c r="K59" s="90">
        <f>K58</f>
        <v>478551.29833551665</v>
      </c>
      <c r="L59" s="2">
        <f>K58*D59/365*C59</f>
        <v>597.4680182232738</v>
      </c>
    </row>
    <row r="60" spans="1:12" ht="15">
      <c r="A60" s="54">
        <v>40575</v>
      </c>
      <c r="B60" s="2">
        <f>'Table 1'!B60</f>
        <v>794147.7788013506</v>
      </c>
      <c r="C60" s="55">
        <v>28</v>
      </c>
      <c r="D60" s="72">
        <v>0.0147</v>
      </c>
      <c r="E60" s="2">
        <f t="shared" si="0"/>
        <v>836.3082860499674</v>
      </c>
      <c r="F60" s="2">
        <f t="shared" si="3"/>
        <v>-5947.120112396818</v>
      </c>
      <c r="H60" s="77"/>
      <c r="I60" s="77"/>
      <c r="J60" s="77"/>
      <c r="K60" s="90">
        <f aca="true" t="shared" si="4" ref="K60:K74">K59</f>
        <v>478551.29833551665</v>
      </c>
      <c r="L60" s="2">
        <f aca="true" t="shared" si="5" ref="L60:L74">K59*D60/365*C60</f>
        <v>539.6485325887634</v>
      </c>
    </row>
    <row r="61" spans="1:12" ht="15">
      <c r="A61" s="54">
        <v>40603</v>
      </c>
      <c r="B61" s="2">
        <f>'Table 1'!B61</f>
        <v>844163.4086419672</v>
      </c>
      <c r="C61" s="55">
        <v>31</v>
      </c>
      <c r="D61" s="72">
        <v>0.0147</v>
      </c>
      <c r="E61" s="2">
        <f t="shared" si="0"/>
        <v>991.4880624651382</v>
      </c>
      <c r="F61" s="2">
        <f t="shared" si="3"/>
        <v>-4955.632049931679</v>
      </c>
      <c r="H61" s="77"/>
      <c r="I61" s="77"/>
      <c r="J61" s="77"/>
      <c r="K61" s="90">
        <f t="shared" si="4"/>
        <v>478551.29833551665</v>
      </c>
      <c r="L61" s="2">
        <f t="shared" si="5"/>
        <v>597.4680182232738</v>
      </c>
    </row>
    <row r="62" spans="1:12" ht="15">
      <c r="A62" s="54">
        <v>40634</v>
      </c>
      <c r="B62" s="2">
        <f>'Table 1'!B62</f>
        <v>893603.1484825838</v>
      </c>
      <c r="C62" s="55">
        <v>30</v>
      </c>
      <c r="D62" s="72">
        <v>0.0147</v>
      </c>
      <c r="E62" s="2">
        <f t="shared" si="0"/>
        <v>1019.9344197564589</v>
      </c>
      <c r="F62" s="2">
        <f t="shared" si="3"/>
        <v>-3935.69763017522</v>
      </c>
      <c r="H62" s="77"/>
      <c r="I62" s="77"/>
      <c r="J62" s="77"/>
      <c r="K62" s="90">
        <f t="shared" si="4"/>
        <v>478551.29833551665</v>
      </c>
      <c r="L62" s="2">
        <f t="shared" si="5"/>
        <v>578.1948563451036</v>
      </c>
    </row>
    <row r="63" spans="1:12" ht="15">
      <c r="A63" s="54">
        <v>40664</v>
      </c>
      <c r="B63" s="2">
        <f>'Table 1'!B63</f>
        <v>946370.7383232004</v>
      </c>
      <c r="C63" s="55">
        <v>31</v>
      </c>
      <c r="D63" s="72">
        <v>0.0147</v>
      </c>
      <c r="E63" s="2">
        <f t="shared" si="0"/>
        <v>1115.6574103109958</v>
      </c>
      <c r="F63" s="2">
        <f t="shared" si="3"/>
        <v>-2820.040219864224</v>
      </c>
      <c r="H63" s="77"/>
      <c r="I63" s="77"/>
      <c r="J63" s="77"/>
      <c r="K63" s="90">
        <f t="shared" si="4"/>
        <v>478551.29833551665</v>
      </c>
      <c r="L63" s="2">
        <f t="shared" si="5"/>
        <v>597.4680182232738</v>
      </c>
    </row>
    <row r="64" spans="1:12" ht="15">
      <c r="A64" s="54">
        <v>40695</v>
      </c>
      <c r="B64" s="2">
        <f>'Table 1'!B64</f>
        <v>988370.0581638169</v>
      </c>
      <c r="C64" s="55">
        <v>30</v>
      </c>
      <c r="D64" s="72">
        <v>0.0147</v>
      </c>
      <c r="E64" s="2">
        <f t="shared" si="0"/>
        <v>1143.4232756178942</v>
      </c>
      <c r="F64" s="2">
        <f t="shared" si="3"/>
        <v>-1676.61694424633</v>
      </c>
      <c r="H64" s="77"/>
      <c r="I64" s="77"/>
      <c r="J64" s="77"/>
      <c r="K64" s="90">
        <f t="shared" si="4"/>
        <v>478551.29833551665</v>
      </c>
      <c r="L64" s="2">
        <f t="shared" si="5"/>
        <v>578.1948563451036</v>
      </c>
    </row>
    <row r="65" spans="1:12" ht="15">
      <c r="A65" s="54">
        <v>40725</v>
      </c>
      <c r="B65" s="2">
        <f>'Table 1'!B65</f>
        <v>1030342.6280044335</v>
      </c>
      <c r="C65" s="55">
        <v>31</v>
      </c>
      <c r="D65" s="72">
        <v>0.0147</v>
      </c>
      <c r="E65" s="2">
        <f t="shared" si="0"/>
        <v>1233.9732479595928</v>
      </c>
      <c r="F65" s="2">
        <f t="shared" si="3"/>
        <v>-442.64369628673717</v>
      </c>
      <c r="H65" s="77"/>
      <c r="I65" s="77"/>
      <c r="J65" s="77"/>
      <c r="K65" s="90">
        <f t="shared" si="4"/>
        <v>478551.29833551665</v>
      </c>
      <c r="L65" s="2">
        <f t="shared" si="5"/>
        <v>597.4680182232738</v>
      </c>
    </row>
    <row r="66" spans="1:12" ht="15">
      <c r="A66" s="54">
        <v>40756</v>
      </c>
      <c r="B66" s="2">
        <f>'Table 1'!B66</f>
        <v>1072288.4478450501</v>
      </c>
      <c r="C66" s="55">
        <v>31</v>
      </c>
      <c r="D66" s="72">
        <v>0.0147</v>
      </c>
      <c r="E66" s="2">
        <f t="shared" si="0"/>
        <v>1286.3757139222473</v>
      </c>
      <c r="F66" s="2">
        <f t="shared" si="3"/>
        <v>843.7320176355101</v>
      </c>
      <c r="H66" s="77"/>
      <c r="I66" s="77"/>
      <c r="J66" s="77"/>
      <c r="K66" s="90">
        <f t="shared" si="4"/>
        <v>478551.29833551665</v>
      </c>
      <c r="L66" s="2">
        <f t="shared" si="5"/>
        <v>597.4680182232738</v>
      </c>
    </row>
    <row r="67" spans="1:12" ht="15">
      <c r="A67" s="54">
        <v>40787</v>
      </c>
      <c r="B67" s="2">
        <f>'Table 1'!B67</f>
        <v>1114207.5176856667</v>
      </c>
      <c r="C67" s="55">
        <v>30</v>
      </c>
      <c r="D67" s="72">
        <v>0.0147</v>
      </c>
      <c r="E67" s="2">
        <f t="shared" si="0"/>
        <v>1295.5594671223757</v>
      </c>
      <c r="F67" s="2">
        <f t="shared" si="3"/>
        <v>2139.291484757886</v>
      </c>
      <c r="H67" s="77"/>
      <c r="I67" s="77"/>
      <c r="J67" s="77"/>
      <c r="K67" s="90">
        <f t="shared" si="4"/>
        <v>478551.29833551665</v>
      </c>
      <c r="L67" s="2">
        <f t="shared" si="5"/>
        <v>578.1948563451036</v>
      </c>
    </row>
    <row r="68" spans="1:12" ht="15">
      <c r="A68" s="54">
        <v>40817</v>
      </c>
      <c r="B68" s="2">
        <f>'Table 1'!B68</f>
        <v>1156099.8375262832</v>
      </c>
      <c r="C68" s="55">
        <v>31</v>
      </c>
      <c r="D68" s="72">
        <v>0.0147</v>
      </c>
      <c r="E68" s="2">
        <f t="shared" si="0"/>
        <v>1391.0804542722144</v>
      </c>
      <c r="F68" s="2">
        <f t="shared" si="3"/>
        <v>3530.3719390301003</v>
      </c>
      <c r="H68" s="77"/>
      <c r="I68" s="77"/>
      <c r="J68" s="77"/>
      <c r="K68" s="90">
        <f t="shared" si="4"/>
        <v>478551.29833551665</v>
      </c>
      <c r="L68" s="2">
        <f t="shared" si="5"/>
        <v>597.4680182232738</v>
      </c>
    </row>
    <row r="69" spans="1:12" ht="15">
      <c r="A69" s="54">
        <v>40848</v>
      </c>
      <c r="B69" s="2">
        <f>'Table 1'!B69</f>
        <v>1197965.4073668998</v>
      </c>
      <c r="C69" s="55">
        <v>30</v>
      </c>
      <c r="D69" s="72">
        <v>0.0147</v>
      </c>
      <c r="E69" s="2">
        <f aca="true" t="shared" si="6" ref="E69:E74">B68*D69/365*C69</f>
        <v>1396.8219954769613</v>
      </c>
      <c r="F69" s="2">
        <f t="shared" si="3"/>
        <v>4927.193934507061</v>
      </c>
      <c r="H69" s="77"/>
      <c r="I69" s="77"/>
      <c r="J69" s="77"/>
      <c r="K69" s="90">
        <f t="shared" si="4"/>
        <v>478551.29833551665</v>
      </c>
      <c r="L69" s="2">
        <f t="shared" si="5"/>
        <v>578.1948563451036</v>
      </c>
    </row>
    <row r="70" spans="1:12" ht="15">
      <c r="A70" s="54">
        <v>40878</v>
      </c>
      <c r="B70" s="2">
        <f>'Table 1'!B70</f>
        <v>1239804.2272075163</v>
      </c>
      <c r="C70" s="55">
        <v>31</v>
      </c>
      <c r="D70" s="72">
        <v>0.0147</v>
      </c>
      <c r="E70" s="2">
        <f t="shared" si="6"/>
        <v>1495.6516058550583</v>
      </c>
      <c r="F70" s="2">
        <f t="shared" si="3"/>
        <v>6422.845540362119</v>
      </c>
      <c r="H70" s="77"/>
      <c r="I70" s="77"/>
      <c r="J70" s="77"/>
      <c r="K70" s="90">
        <f t="shared" si="4"/>
        <v>478551.29833551665</v>
      </c>
      <c r="L70" s="2">
        <f t="shared" si="5"/>
        <v>597.4680182232738</v>
      </c>
    </row>
    <row r="71" spans="1:12" ht="15">
      <c r="A71" s="54">
        <v>40909</v>
      </c>
      <c r="B71" s="2">
        <f>'Table 1'!B71</f>
        <v>1281616.2970481329</v>
      </c>
      <c r="C71" s="55">
        <v>31</v>
      </c>
      <c r="D71" s="72">
        <v>0.0147</v>
      </c>
      <c r="E71" s="2">
        <f t="shared" si="6"/>
        <v>1547.8870858588086</v>
      </c>
      <c r="F71" s="2">
        <f>E71+F70</f>
        <v>7970.732626220928</v>
      </c>
      <c r="K71" s="90">
        <f t="shared" si="4"/>
        <v>478551.29833551665</v>
      </c>
      <c r="L71" s="2">
        <f t="shared" si="5"/>
        <v>597.4680182232738</v>
      </c>
    </row>
    <row r="72" spans="1:12" ht="15">
      <c r="A72" s="54">
        <v>40940</v>
      </c>
      <c r="B72" s="2">
        <f>'Table 1'!B72</f>
        <v>1323396.3668887494</v>
      </c>
      <c r="C72" s="55">
        <v>29</v>
      </c>
      <c r="D72" s="72">
        <v>0.0147</v>
      </c>
      <c r="E72" s="2">
        <f t="shared" si="6"/>
        <v>1496.857609401696</v>
      </c>
      <c r="F72" s="2">
        <f>E72+F71</f>
        <v>9467.590235622623</v>
      </c>
      <c r="K72" s="90">
        <f t="shared" si="4"/>
        <v>478551.29833551665</v>
      </c>
      <c r="L72" s="2">
        <f t="shared" si="5"/>
        <v>558.9216944669336</v>
      </c>
    </row>
    <row r="73" spans="1:12" ht="15">
      <c r="A73" s="54">
        <v>40969</v>
      </c>
      <c r="B73" s="2">
        <f>'Table 1'!B73</f>
        <v>1365144.436729366</v>
      </c>
      <c r="C73" s="55">
        <v>31</v>
      </c>
      <c r="D73" s="72">
        <v>0.0147</v>
      </c>
      <c r="E73" s="2">
        <f t="shared" si="6"/>
        <v>1652.2512997019264</v>
      </c>
      <c r="F73" s="2">
        <f>E73+F72</f>
        <v>11119.84153532455</v>
      </c>
      <c r="K73" s="90">
        <f t="shared" si="4"/>
        <v>478551.29833551665</v>
      </c>
      <c r="L73" s="2">
        <f t="shared" si="5"/>
        <v>597.4680182232738</v>
      </c>
    </row>
    <row r="74" spans="1:12" ht="15">
      <c r="A74" s="54">
        <v>41000</v>
      </c>
      <c r="B74" s="2">
        <f>'Table 1'!B74</f>
        <v>1406860.5065699825</v>
      </c>
      <c r="C74" s="55">
        <v>30</v>
      </c>
      <c r="D74" s="72">
        <v>0.0147</v>
      </c>
      <c r="E74" s="2">
        <f t="shared" si="6"/>
        <v>1649.393689308631</v>
      </c>
      <c r="F74" s="2">
        <f>E74+F73</f>
        <v>12769.23522463318</v>
      </c>
      <c r="K74" s="90">
        <f t="shared" si="4"/>
        <v>478551.29833551665</v>
      </c>
      <c r="L74" s="2">
        <f t="shared" si="5"/>
        <v>578.1948563451036</v>
      </c>
    </row>
    <row r="75" ht="15.75" thickBot="1">
      <c r="L75" s="4">
        <f>SUM(L59:L74)</f>
        <v>9366.75667279068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Tracy Rehberg-Rawlingson</cp:lastModifiedBy>
  <cp:lastPrinted>2011-08-09T16:23:36Z</cp:lastPrinted>
  <dcterms:created xsi:type="dcterms:W3CDTF">2009-03-31T14:51:00Z</dcterms:created>
  <dcterms:modified xsi:type="dcterms:W3CDTF">2011-11-28T19:23:20Z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