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780" tabRatio="855" activeTab="0"/>
  </bookViews>
  <sheets>
    <sheet name="G-28 Summary" sheetId="1" r:id="rId1"/>
    <sheet name="G-34a Principal trueup" sheetId="2" r:id="rId2"/>
    <sheet name="G-34b Interest Trueup" sheetId="3" r:id="rId3"/>
    <sheet name="G-29 2002  PILS Recoveries" sheetId="4" r:id="rId4"/>
    <sheet name="G-30 2003 PILS Recoveries" sheetId="5" r:id="rId5"/>
    <sheet name="G-31 2004 PILS Recoveries" sheetId="6" r:id="rId6"/>
    <sheet name="G-32 2005 PILS Recoveries" sheetId="7" r:id="rId7"/>
    <sheet name="G-33 2006  PILS Recoveries" sheetId="8" r:id="rId8"/>
    <sheet name="G-35 Customer Count" sheetId="9" r:id="rId9"/>
    <sheet name="G-36 Monthly Volumes" sheetId="10" r:id="rId10"/>
  </sheets>
  <definedNames>
    <definedName name="_xlnm.Print_Area" localSheetId="0">'G-28 Summary'!$A$1:$G$63</definedName>
    <definedName name="_xlnm.Print_Area" localSheetId="1">'G-34a Principal trueup'!$A$1:$P$77</definedName>
    <definedName name="_xlnm.Print_Titles" localSheetId="3">'G-29 2002  PILS Recoveries'!$1:$2</definedName>
    <definedName name="_xlnm.Print_Titles" localSheetId="4">'G-30 2003 PILS Recoveries'!$2:$3</definedName>
    <definedName name="_xlnm.Print_Titles" localSheetId="5">'G-31 2004 PILS Recoveries'!$1:$2</definedName>
    <definedName name="_xlnm.Print_Titles" localSheetId="6">'G-32 2005 PILS Recoveries'!$1:$2</definedName>
    <definedName name="_xlnm.Print_Titles" localSheetId="7">'G-33 2006  PILS Recoveries'!$1:$2</definedName>
    <definedName name="_xlnm.Print_Titles" localSheetId="1">'G-34a Principal trueup'!$1:$2</definedName>
    <definedName name="_xlnm.Print_Titles" localSheetId="2">'G-34b Interest Trueup'!$1:$2</definedName>
  </definedNames>
  <calcPr fullCalcOnLoad="1"/>
</workbook>
</file>

<file path=xl/sharedStrings.xml><?xml version="1.0" encoding="utf-8"?>
<sst xmlns="http://schemas.openxmlformats.org/spreadsheetml/2006/main" count="1581" uniqueCount="160">
  <si>
    <t>Residential</t>
  </si>
  <si>
    <t>General Service  &lt; 50 kW</t>
  </si>
  <si>
    <t>General Service &gt; 50</t>
  </si>
  <si>
    <t>Large User</t>
  </si>
  <si>
    <t>Sentinel Lights</t>
  </si>
  <si>
    <t>Streetlighting</t>
  </si>
  <si>
    <t>Total PILS  billed to (collected from) customers</t>
  </si>
  <si>
    <t>TOTAL 2005</t>
  </si>
  <si>
    <t>USL</t>
  </si>
  <si>
    <t>*kWh</t>
  </si>
  <si>
    <t>*kW</t>
  </si>
  <si>
    <t>TOTAL</t>
  </si>
  <si>
    <t>2001 PILS Fixed Proxy Rate</t>
  </si>
  <si>
    <t>2001  PILS  billed to (collected from) customers</t>
  </si>
  <si>
    <t>2002 PILS Fixed Proxy Rate</t>
  </si>
  <si>
    <t>2002   PILS  billed to (collected from) customers</t>
  </si>
  <si>
    <t>2002 PILS Variable Proxy Rate</t>
  </si>
  <si>
    <t>2004 PILS Variable Proxy Rate</t>
  </si>
  <si>
    <t>2004  PILS  billed to (collected from) customers</t>
  </si>
  <si>
    <t>2001 PILS Variable Proxy Rate</t>
  </si>
  <si>
    <t>2005 PILS Variable Proxy Rate</t>
  </si>
  <si>
    <t>2005 PILS  billed to (collected from) customers</t>
  </si>
  <si>
    <t>TOTAL 2002</t>
  </si>
  <si>
    <t>Billing Period</t>
  </si>
  <si>
    <t>Rate Class</t>
  </si>
  <si>
    <t>TOTAL 2003</t>
  </si>
  <si>
    <t>TOTAL 2004</t>
  </si>
  <si>
    <t>No. of Months Billed</t>
  </si>
  <si>
    <t>TOTAL 2006</t>
  </si>
  <si>
    <t>GRAND TOTAL</t>
  </si>
  <si>
    <t>Year</t>
  </si>
  <si>
    <t>Month</t>
  </si>
  <si>
    <t>Data</t>
  </si>
  <si>
    <t xml:space="preserve"> Residential</t>
  </si>
  <si>
    <t xml:space="preserve">  GS &lt; 50</t>
  </si>
  <si>
    <t>May</t>
  </si>
  <si>
    <t>June</t>
  </si>
  <si>
    <t>kWH</t>
  </si>
  <si>
    <t>Unbilled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</si>
  <si>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</si>
  <si>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</si>
  <si>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</si>
  <si>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</si>
  <si>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</si>
  <si>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</si>
  <si>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</si>
  <si>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</si>
  <si>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</si>
  <si>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</si>
  <si>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</si>
  <si>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Street Light</t>
  </si>
  <si>
    <t>Total</t>
  </si>
  <si>
    <t xml:space="preserve">kW </t>
  </si>
  <si>
    <t>GS&gt;50</t>
  </si>
  <si>
    <t>Large</t>
  </si>
  <si>
    <t>TOTAL KWH</t>
  </si>
  <si>
    <t>Streetlight</t>
  </si>
  <si>
    <t>Sentinel</t>
  </si>
  <si>
    <t>Monthly Customers Billed</t>
  </si>
  <si>
    <t>TOTAL RESIDENTIAL</t>
  </si>
  <si>
    <t>TOTAL GS &lt; 50kW</t>
  </si>
  <si>
    <t>TOTAL USL</t>
  </si>
  <si>
    <t>TOTAL GS&gt; 50 kW</t>
  </si>
  <si>
    <t>TOTAL Large User</t>
  </si>
  <si>
    <t>TOTAL Sentinel Lights</t>
  </si>
  <si>
    <t>TOTAL Streetlights</t>
  </si>
  <si>
    <t>Mon</t>
  </si>
  <si>
    <t>Accrual</t>
  </si>
  <si>
    <t>Monthly Variance</t>
  </si>
  <si>
    <t>Cumulative Balance</t>
  </si>
  <si>
    <t>Adjusted Cumulative Balance</t>
  </si>
  <si>
    <t>Sept</t>
  </si>
  <si>
    <t>Adjusted Monthly Variance</t>
  </si>
  <si>
    <t>PILS Revenue</t>
  </si>
  <si>
    <t>SIMPIL True-Up Adjustments</t>
  </si>
  <si>
    <t>Adjusted PILS Revenue</t>
  </si>
  <si>
    <t>Dec (includes unbilled)</t>
  </si>
  <si>
    <t>*</t>
  </si>
  <si>
    <t>deferred acct variance adjmen</t>
  </si>
  <si>
    <t>**</t>
  </si>
  <si>
    <t>true up adj</t>
  </si>
  <si>
    <t>deferred acct variance adj</t>
  </si>
  <si>
    <t>Q4 01 Pil's-re 2003 &amp;Q1 200</t>
  </si>
  <si>
    <t>Opening Balance</t>
  </si>
  <si>
    <t>Closing Balance</t>
  </si>
  <si>
    <t>Interest Rate</t>
  </si>
  <si>
    <t>Adjusted Monthly Interest</t>
  </si>
  <si>
    <t>Adjusted Cumulative Interest</t>
  </si>
  <si>
    <t>Monthly Average</t>
  </si>
  <si>
    <t>kWh</t>
  </si>
  <si>
    <t>kW</t>
  </si>
  <si>
    <t>TOTAL KW</t>
  </si>
  <si>
    <t>Total 2002</t>
  </si>
  <si>
    <t>Total 2003</t>
  </si>
  <si>
    <t>Total 2004</t>
  </si>
  <si>
    <t>Total 2005</t>
  </si>
  <si>
    <t>Total 2006</t>
  </si>
  <si>
    <t>Approved PILS Proxy Amount by Rate Year</t>
  </si>
  <si>
    <t>2002 Mar 1 - 2003 Feb 28</t>
  </si>
  <si>
    <t>2003 Mar 1 - 2004 Mar 31</t>
  </si>
  <si>
    <t>2004 Apr 1 - 2005 Mar 31</t>
  </si>
  <si>
    <t>2005 Apr 1 - 2006 Apr 30</t>
  </si>
  <si>
    <t>2002/2003 PILS Fixed Proxy Rate</t>
  </si>
  <si>
    <t>2002/2003 PILS Variable Proxy Rate</t>
  </si>
  <si>
    <t>2002/2003   PILS  billed to (collected from) customers</t>
  </si>
  <si>
    <t xml:space="preserve">2001  PILS  </t>
  </si>
  <si>
    <t xml:space="preserve">2002   PILS </t>
  </si>
  <si>
    <t>2003   PILS</t>
  </si>
  <si>
    <t xml:space="preserve">2004  PILS  </t>
  </si>
  <si>
    <t xml:space="preserve">2005 PILS </t>
  </si>
  <si>
    <t>Historical</t>
  </si>
  <si>
    <t>Adjusted</t>
  </si>
  <si>
    <t>2002 Proxy</t>
  </si>
  <si>
    <t>2005 Proxy</t>
  </si>
  <si>
    <t>2001 Proxy</t>
  </si>
  <si>
    <t xml:space="preserve">2001  PILS </t>
  </si>
  <si>
    <t>2002 PILS</t>
  </si>
  <si>
    <t>2004 PILS</t>
  </si>
  <si>
    <t>2005 PILS</t>
  </si>
  <si>
    <t>Total PILS Billed To Customers</t>
  </si>
  <si>
    <t>Cumulative  PILS Billed To Customers</t>
  </si>
  <si>
    <t>PILS Billed To Customers  - Fiscal Year</t>
  </si>
  <si>
    <t xml:space="preserve">PILS Billed To Customers  - Rate Slivers </t>
  </si>
  <si>
    <t>2003 PILS</t>
  </si>
  <si>
    <t>Fiscal Year</t>
  </si>
  <si>
    <t>PILS Slivers  Billed To Customers  - Fiscal Year</t>
  </si>
  <si>
    <t>Billed to Customers</t>
  </si>
  <si>
    <t>ok</t>
  </si>
  <si>
    <t>2002 PILS  billed to (collected from) customers</t>
  </si>
  <si>
    <t>PILS Adjusted Principal Balance April 2006</t>
  </si>
  <si>
    <t>Carrying Charge Adjusted  Balance April 2006</t>
  </si>
  <si>
    <t>Approved  PILS Proxy Amount</t>
  </si>
  <si>
    <t>2003 Proxy</t>
  </si>
  <si>
    <t>2004 Proxy</t>
  </si>
  <si>
    <t>2002 - 2006  PILS in Rates / PILS  Billed -  Variance</t>
  </si>
  <si>
    <t xml:space="preserve">2003 PILS accrual should be the same as 2002 PILS  accrual </t>
  </si>
  <si>
    <t>Apr (includes unbilled)</t>
  </si>
  <si>
    <t xml:space="preserve">Historical   </t>
  </si>
  <si>
    <t xml:space="preserve"> Monthly Interest</t>
  </si>
  <si>
    <t xml:space="preserve"> Cumulative  Interest</t>
  </si>
  <si>
    <t>May 1 2006 to Dec 31 2010</t>
  </si>
  <si>
    <t>Jan 1 2011 to April 30 2012</t>
  </si>
  <si>
    <t>Variance</t>
  </si>
  <si>
    <t>Total to April 30 2006</t>
  </si>
  <si>
    <t xml:space="preserve">TOTAL   </t>
  </si>
  <si>
    <t>2002 Accrual recognized Jan 2003</t>
  </si>
  <si>
    <t xml:space="preserve">Variance  Before True-Ups and Adjustments </t>
  </si>
  <si>
    <t>Total To April 30, 2006</t>
  </si>
  <si>
    <t>Add Carrying Charges May 1 2006-April 30 2012</t>
  </si>
  <si>
    <t>Total to April 30, 2012</t>
  </si>
  <si>
    <t>Annual Variance</t>
  </si>
  <si>
    <t>Adjusted PILS Recovery Amount</t>
  </si>
  <si>
    <t>Adjusted 1562 PILS Balance</t>
  </si>
  <si>
    <t xml:space="preserve">Historical 1562 PILS Balance </t>
  </si>
  <si>
    <t>Initial Submission</t>
  </si>
  <si>
    <t>Adjusted Amount</t>
  </si>
  <si>
    <t>INITIAL SUBMISSION</t>
  </si>
  <si>
    <t>UPDATED</t>
  </si>
  <si>
    <t>Original Submission Variance</t>
  </si>
  <si>
    <t xml:space="preserve"> Updated Variance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</si>
</sst>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.000000_);_(&quot;$&quot;* \(#,##0.000000\);_(&quot;$&quot;* &quot;-&quot;??_);_(@_)"/>
    <numFmt numFmtId="167" formatCode="_(&quot;$&quot;* #,##0_);_(&quot;$&quot;* \(#,##0\);_(&quot;$&quot;* &quot;-&quot;??_);_(@_)"/>
    <numFmt numFmtId="168" formatCode="#,##0;[Red]#,##0"/>
    <numFmt numFmtId="169" formatCode="_-* #,##0.00_-;\-* #,##0.00_-;_-* &quot;-&quot;??_-;_-@_-"/>
    <numFmt numFmtId="170" formatCode="_(* #,##0.0000_);_(* \(#,##0.0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0" borderId="1" applyNumberFormat="0" applyAlignment="0" applyProtection="0"/>
    <xf numFmtId="0" fontId="12" fillId="13" borderId="2" applyNumberFormat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3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73" applyFont="1" applyAlignment="1">
      <alignment/>
    </xf>
    <xf numFmtId="0" fontId="0" fillId="0" borderId="0" xfId="0" applyBorder="1" applyAlignment="1">
      <alignment/>
    </xf>
    <xf numFmtId="44" fontId="0" fillId="0" borderId="0" xfId="73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73" applyNumberFormat="1" applyFont="1" applyBorder="1" applyAlignment="1">
      <alignment/>
    </xf>
    <xf numFmtId="0" fontId="40" fillId="0" borderId="0" xfId="0" applyFont="1" applyAlignment="1">
      <alignment/>
    </xf>
    <xf numFmtId="44" fontId="0" fillId="0" borderId="0" xfId="73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7" fontId="0" fillId="0" borderId="0" xfId="0" applyNumberFormat="1" applyAlignment="1">
      <alignment/>
    </xf>
    <xf numFmtId="165" fontId="0" fillId="0" borderId="19" xfId="73" applyNumberFormat="1" applyFont="1" applyBorder="1" applyAlignment="1">
      <alignment/>
    </xf>
    <xf numFmtId="44" fontId="0" fillId="0" borderId="20" xfId="73" applyFont="1" applyBorder="1" applyAlignment="1">
      <alignment/>
    </xf>
    <xf numFmtId="165" fontId="0" fillId="0" borderId="19" xfId="73" applyNumberFormat="1" applyFont="1" applyFill="1" applyBorder="1" applyAlignment="1">
      <alignment/>
    </xf>
    <xf numFmtId="0" fontId="39" fillId="0" borderId="21" xfId="0" applyFont="1" applyBorder="1" applyAlignment="1">
      <alignment wrapText="1"/>
    </xf>
    <xf numFmtId="0" fontId="0" fillId="0" borderId="19" xfId="0" applyBorder="1" applyAlignment="1">
      <alignment/>
    </xf>
    <xf numFmtId="0" fontId="39" fillId="0" borderId="22" xfId="0" applyFont="1" applyBorder="1" applyAlignment="1">
      <alignment wrapText="1"/>
    </xf>
    <xf numFmtId="0" fontId="39" fillId="0" borderId="0" xfId="0" applyFont="1" applyAlignment="1">
      <alignment/>
    </xf>
    <xf numFmtId="166" fontId="0" fillId="0" borderId="19" xfId="73" applyNumberFormat="1" applyFont="1" applyBorder="1" applyAlignment="1">
      <alignment/>
    </xf>
    <xf numFmtId="0" fontId="3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167" fontId="0" fillId="0" borderId="0" xfId="73" applyNumberFormat="1" applyFont="1" applyAlignment="1">
      <alignment/>
    </xf>
    <xf numFmtId="0" fontId="0" fillId="0" borderId="25" xfId="0" applyBorder="1" applyAlignment="1">
      <alignment/>
    </xf>
    <xf numFmtId="167" fontId="0" fillId="0" borderId="26" xfId="73" applyNumberFormat="1" applyFont="1" applyBorder="1" applyAlignment="1">
      <alignment/>
    </xf>
    <xf numFmtId="167" fontId="0" fillId="0" borderId="24" xfId="73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27" xfId="0" applyBorder="1" applyAlignment="1">
      <alignment/>
    </xf>
    <xf numFmtId="168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39" fillId="0" borderId="28" xfId="0" applyFont="1" applyBorder="1" applyAlignment="1">
      <alignment wrapText="1"/>
    </xf>
    <xf numFmtId="0" fontId="39" fillId="0" borderId="29" xfId="0" applyFont="1" applyBorder="1" applyAlignment="1">
      <alignment wrapText="1"/>
    </xf>
    <xf numFmtId="0" fontId="39" fillId="0" borderId="30" xfId="0" applyFont="1" applyBorder="1" applyAlignment="1">
      <alignment wrapText="1"/>
    </xf>
    <xf numFmtId="0" fontId="0" fillId="0" borderId="31" xfId="0" applyBorder="1" applyAlignment="1">
      <alignment/>
    </xf>
    <xf numFmtId="164" fontId="0" fillId="0" borderId="31" xfId="69" applyNumberFormat="1" applyFont="1" applyBorder="1" applyAlignment="1">
      <alignment/>
    </xf>
    <xf numFmtId="164" fontId="0" fillId="55" borderId="32" xfId="69" applyNumberFormat="1" applyFont="1" applyFill="1" applyBorder="1" applyAlignment="1">
      <alignment/>
    </xf>
    <xf numFmtId="164" fontId="0" fillId="55" borderId="31" xfId="69" applyNumberFormat="1" applyFont="1" applyFill="1" applyBorder="1" applyAlignment="1">
      <alignment/>
    </xf>
    <xf numFmtId="164" fontId="0" fillId="0" borderId="32" xfId="69" applyNumberFormat="1" applyFont="1" applyBorder="1" applyAlignment="1">
      <alignment/>
    </xf>
    <xf numFmtId="37" fontId="0" fillId="0" borderId="0" xfId="0" applyNumberFormat="1" applyAlignment="1">
      <alignment wrapText="1"/>
    </xf>
    <xf numFmtId="168" fontId="0" fillId="0" borderId="33" xfId="0" applyNumberFormat="1" applyFill="1" applyBorder="1" applyAlignment="1">
      <alignment/>
    </xf>
    <xf numFmtId="164" fontId="0" fillId="0" borderId="27" xfId="69" applyNumberFormat="1" applyFont="1" applyBorder="1" applyAlignment="1">
      <alignment/>
    </xf>
    <xf numFmtId="0" fontId="39" fillId="0" borderId="27" xfId="0" applyFont="1" applyBorder="1" applyAlignment="1">
      <alignment/>
    </xf>
    <xf numFmtId="168" fontId="39" fillId="0" borderId="27" xfId="0" applyNumberFormat="1" applyFont="1" applyBorder="1" applyAlignment="1">
      <alignment/>
    </xf>
    <xf numFmtId="164" fontId="39" fillId="0" borderId="27" xfId="69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7" fontId="0" fillId="0" borderId="26" xfId="0" applyNumberFormat="1" applyBorder="1" applyAlignment="1">
      <alignment/>
    </xf>
    <xf numFmtId="167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39" fillId="0" borderId="38" xfId="0" applyFont="1" applyBorder="1" applyAlignment="1">
      <alignment wrapText="1"/>
    </xf>
    <xf numFmtId="0" fontId="0" fillId="0" borderId="39" xfId="0" applyBorder="1" applyAlignment="1">
      <alignment/>
    </xf>
    <xf numFmtId="164" fontId="0" fillId="0" borderId="32" xfId="69" applyNumberFormat="1" applyFont="1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42" xfId="0" applyFill="1" applyBorder="1" applyAlignment="1">
      <alignment/>
    </xf>
    <xf numFmtId="164" fontId="0" fillId="18" borderId="42" xfId="69" applyNumberFormat="1" applyFont="1" applyFill="1" applyBorder="1" applyAlignment="1">
      <alignment/>
    </xf>
    <xf numFmtId="164" fontId="0" fillId="18" borderId="43" xfId="69" applyNumberFormat="1" applyFont="1" applyFill="1" applyBorder="1" applyAlignment="1">
      <alignment/>
    </xf>
    <xf numFmtId="165" fontId="0" fillId="18" borderId="44" xfId="73" applyNumberFormat="1" applyFont="1" applyFill="1" applyBorder="1" applyAlignment="1">
      <alignment/>
    </xf>
    <xf numFmtId="166" fontId="0" fillId="18" borderId="45" xfId="73" applyNumberFormat="1" applyFont="1" applyFill="1" applyBorder="1" applyAlignment="1">
      <alignment/>
    </xf>
    <xf numFmtId="44" fontId="0" fillId="18" borderId="46" xfId="73" applyFont="1" applyFill="1" applyBorder="1" applyAlignment="1">
      <alignment/>
    </xf>
    <xf numFmtId="166" fontId="0" fillId="18" borderId="44" xfId="73" applyNumberFormat="1" applyFont="1" applyFill="1" applyBorder="1" applyAlignment="1">
      <alignment/>
    </xf>
    <xf numFmtId="164" fontId="0" fillId="0" borderId="0" xfId="69" applyNumberFormat="1" applyFont="1" applyBorder="1" applyAlignment="1">
      <alignment/>
    </xf>
    <xf numFmtId="164" fontId="0" fillId="0" borderId="20" xfId="69" applyNumberFormat="1" applyFont="1" applyBorder="1" applyAlignment="1">
      <alignment/>
    </xf>
    <xf numFmtId="0" fontId="0" fillId="0" borderId="33" xfId="0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0" fillId="18" borderId="47" xfId="0" applyFill="1" applyBorder="1" applyAlignment="1">
      <alignment/>
    </xf>
    <xf numFmtId="9" fontId="0" fillId="0" borderId="0" xfId="136" applyFont="1" applyBorder="1" applyAlignment="1">
      <alignment/>
    </xf>
    <xf numFmtId="3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0" fillId="18" borderId="27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27" xfId="0" applyFill="1" applyBorder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Alignment="1">
      <alignment/>
    </xf>
    <xf numFmtId="0" fontId="0" fillId="0" borderId="47" xfId="0" applyBorder="1" applyAlignment="1">
      <alignment/>
    </xf>
    <xf numFmtId="8" fontId="0" fillId="0" borderId="47" xfId="0" applyNumberFormat="1" applyBorder="1" applyAlignment="1">
      <alignment/>
    </xf>
    <xf numFmtId="8" fontId="0" fillId="0" borderId="33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39" xfId="0" applyNumberFormat="1" applyBorder="1" applyAlignment="1">
      <alignment/>
    </xf>
    <xf numFmtId="8" fontId="0" fillId="0" borderId="37" xfId="0" applyNumberFormat="1" applyBorder="1" applyAlignment="1">
      <alignment/>
    </xf>
    <xf numFmtId="8" fontId="0" fillId="0" borderId="49" xfId="0" applyNumberFormat="1" applyBorder="1" applyAlignment="1">
      <alignment/>
    </xf>
    <xf numFmtId="0" fontId="39" fillId="0" borderId="0" xfId="0" applyFont="1" applyBorder="1" applyAlignment="1">
      <alignment/>
    </xf>
    <xf numFmtId="0" fontId="39" fillId="0" borderId="39" xfId="0" applyFont="1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39" fillId="0" borderId="33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39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8" fontId="0" fillId="0" borderId="33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8" fontId="0" fillId="0" borderId="39" xfId="0" applyNumberFormat="1" applyBorder="1" applyAlignment="1">
      <alignment wrapText="1"/>
    </xf>
    <xf numFmtId="10" fontId="0" fillId="0" borderId="0" xfId="136" applyNumberFormat="1" applyFont="1" applyBorder="1" applyAlignment="1">
      <alignment/>
    </xf>
    <xf numFmtId="10" fontId="0" fillId="0" borderId="0" xfId="136" applyNumberFormat="1" applyFont="1" applyFill="1" applyBorder="1" applyAlignment="1">
      <alignment/>
    </xf>
    <xf numFmtId="164" fontId="0" fillId="0" borderId="47" xfId="69" applyNumberFormat="1" applyFont="1" applyBorder="1" applyAlignment="1">
      <alignment/>
    </xf>
    <xf numFmtId="164" fontId="0" fillId="0" borderId="49" xfId="69" applyNumberFormat="1" applyFont="1" applyBorder="1" applyAlignment="1">
      <alignment/>
    </xf>
    <xf numFmtId="168" fontId="0" fillId="0" borderId="47" xfId="0" applyNumberFormat="1" applyBorder="1" applyAlignment="1">
      <alignment/>
    </xf>
    <xf numFmtId="0" fontId="42" fillId="0" borderId="0" xfId="0" applyFont="1" applyAlignment="1">
      <alignment/>
    </xf>
    <xf numFmtId="0" fontId="42" fillId="18" borderId="37" xfId="0" applyFont="1" applyFill="1" applyBorder="1" applyAlignment="1">
      <alignment/>
    </xf>
    <xf numFmtId="0" fontId="42" fillId="18" borderId="27" xfId="0" applyFont="1" applyFill="1" applyBorder="1" applyAlignment="1">
      <alignment/>
    </xf>
    <xf numFmtId="0" fontId="42" fillId="0" borderId="27" xfId="0" applyFont="1" applyBorder="1" applyAlignment="1">
      <alignment/>
    </xf>
    <xf numFmtId="0" fontId="43" fillId="0" borderId="27" xfId="0" applyFont="1" applyBorder="1" applyAlignment="1">
      <alignment/>
    </xf>
    <xf numFmtId="0" fontId="42" fillId="0" borderId="47" xfId="0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168" fontId="42" fillId="0" borderId="0" xfId="0" applyNumberFormat="1" applyFont="1" applyBorder="1" applyAlignment="1">
      <alignment/>
    </xf>
    <xf numFmtId="0" fontId="0" fillId="0" borderId="31" xfId="0" applyFill="1" applyBorder="1" applyAlignment="1">
      <alignment/>
    </xf>
    <xf numFmtId="0" fontId="39" fillId="0" borderId="31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0" xfId="0" applyFill="1" applyAlignment="1">
      <alignment/>
    </xf>
    <xf numFmtId="0" fontId="39" fillId="53" borderId="52" xfId="0" applyFont="1" applyFill="1" applyBorder="1" applyAlignment="1">
      <alignment/>
    </xf>
    <xf numFmtId="0" fontId="39" fillId="53" borderId="53" xfId="0" applyFont="1" applyFill="1" applyBorder="1" applyAlignment="1">
      <alignment/>
    </xf>
    <xf numFmtId="164" fontId="39" fillId="53" borderId="53" xfId="0" applyNumberFormat="1" applyFont="1" applyFill="1" applyBorder="1" applyAlignment="1">
      <alignment/>
    </xf>
    <xf numFmtId="44" fontId="39" fillId="53" borderId="54" xfId="73" applyFont="1" applyFill="1" applyBorder="1" applyAlignment="1">
      <alignment/>
    </xf>
    <xf numFmtId="0" fontId="39" fillId="53" borderId="27" xfId="0" applyFont="1" applyFill="1" applyBorder="1" applyAlignment="1">
      <alignment wrapText="1"/>
    </xf>
    <xf numFmtId="0" fontId="39" fillId="53" borderId="27" xfId="0" applyFont="1" applyFill="1" applyBorder="1" applyAlignment="1">
      <alignment/>
    </xf>
    <xf numFmtId="0" fontId="43" fillId="53" borderId="27" xfId="0" applyFont="1" applyFill="1" applyBorder="1" applyAlignment="1">
      <alignment/>
    </xf>
    <xf numFmtId="164" fontId="39" fillId="53" borderId="27" xfId="0" applyNumberFormat="1" applyFont="1" applyFill="1" applyBorder="1" applyAlignment="1">
      <alignment/>
    </xf>
    <xf numFmtId="0" fontId="39" fillId="53" borderId="27" xfId="0" applyFont="1" applyFill="1" applyBorder="1" applyAlignment="1">
      <alignment/>
    </xf>
    <xf numFmtId="0" fontId="43" fillId="53" borderId="27" xfId="0" applyFont="1" applyFill="1" applyBorder="1" applyAlignment="1">
      <alignment/>
    </xf>
    <xf numFmtId="168" fontId="39" fillId="53" borderId="27" xfId="0" applyNumberFormat="1" applyFont="1" applyFill="1" applyBorder="1" applyAlignment="1">
      <alignment/>
    </xf>
    <xf numFmtId="0" fontId="39" fillId="0" borderId="37" xfId="0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39" fillId="0" borderId="47" xfId="0" applyFont="1" applyBorder="1" applyAlignment="1">
      <alignment/>
    </xf>
    <xf numFmtId="0" fontId="39" fillId="0" borderId="49" xfId="0" applyFont="1" applyBorder="1" applyAlignment="1">
      <alignment/>
    </xf>
    <xf numFmtId="8" fontId="39" fillId="0" borderId="49" xfId="0" applyNumberFormat="1" applyFont="1" applyBorder="1" applyAlignment="1">
      <alignment/>
    </xf>
    <xf numFmtId="8" fontId="39" fillId="0" borderId="0" xfId="0" applyNumberFormat="1" applyFont="1" applyBorder="1" applyAlignment="1">
      <alignment/>
    </xf>
    <xf numFmtId="0" fontId="39" fillId="53" borderId="44" xfId="0" applyFont="1" applyFill="1" applyBorder="1" applyAlignment="1">
      <alignment/>
    </xf>
    <xf numFmtId="167" fontId="39" fillId="53" borderId="55" xfId="73" applyNumberFormat="1" applyFont="1" applyFill="1" applyBorder="1" applyAlignment="1">
      <alignment/>
    </xf>
    <xf numFmtId="0" fontId="39" fillId="53" borderId="55" xfId="0" applyFont="1" applyFill="1" applyBorder="1" applyAlignment="1">
      <alignment/>
    </xf>
    <xf numFmtId="0" fontId="39" fillId="53" borderId="26" xfId="0" applyFont="1" applyFill="1" applyBorder="1" applyAlignment="1">
      <alignment wrapText="1"/>
    </xf>
    <xf numFmtId="0" fontId="39" fillId="53" borderId="55" xfId="0" applyFont="1" applyFill="1" applyBorder="1" applyAlignment="1">
      <alignment wrapText="1"/>
    </xf>
    <xf numFmtId="167" fontId="39" fillId="53" borderId="55" xfId="0" applyNumberFormat="1" applyFont="1" applyFill="1" applyBorder="1" applyAlignment="1">
      <alignment/>
    </xf>
    <xf numFmtId="167" fontId="0" fillId="0" borderId="31" xfId="73" applyNumberFormat="1" applyFont="1" applyBorder="1" applyAlignment="1">
      <alignment/>
    </xf>
    <xf numFmtId="167" fontId="39" fillId="53" borderId="27" xfId="73" applyNumberFormat="1" applyFont="1" applyFill="1" applyBorder="1" applyAlignment="1">
      <alignment/>
    </xf>
    <xf numFmtId="0" fontId="39" fillId="53" borderId="28" xfId="0" applyFont="1" applyFill="1" applyBorder="1" applyAlignment="1">
      <alignment/>
    </xf>
    <xf numFmtId="0" fontId="39" fillId="53" borderId="29" xfId="0" applyFont="1" applyFill="1" applyBorder="1" applyAlignment="1">
      <alignment/>
    </xf>
    <xf numFmtId="0" fontId="39" fillId="53" borderId="30" xfId="0" applyFont="1" applyFill="1" applyBorder="1" applyAlignment="1">
      <alignment/>
    </xf>
    <xf numFmtId="167" fontId="0" fillId="0" borderId="32" xfId="73" applyNumberFormat="1" applyFont="1" applyBorder="1" applyAlignment="1">
      <alignment/>
    </xf>
    <xf numFmtId="0" fontId="39" fillId="53" borderId="56" xfId="0" applyFont="1" applyFill="1" applyBorder="1" applyAlignment="1">
      <alignment/>
    </xf>
    <xf numFmtId="167" fontId="39" fillId="53" borderId="57" xfId="73" applyNumberFormat="1" applyFont="1" applyFill="1" applyBorder="1" applyAlignment="1">
      <alignment/>
    </xf>
    <xf numFmtId="0" fontId="39" fillId="53" borderId="58" xfId="0" applyFont="1" applyFill="1" applyBorder="1" applyAlignment="1">
      <alignment/>
    </xf>
    <xf numFmtId="167" fontId="39" fillId="53" borderId="59" xfId="73" applyNumberFormat="1" applyFont="1" applyFill="1" applyBorder="1" applyAlignment="1">
      <alignment/>
    </xf>
    <xf numFmtId="167" fontId="39" fillId="53" borderId="60" xfId="73" applyNumberFormat="1" applyFont="1" applyFill="1" applyBorder="1" applyAlignment="1">
      <alignment/>
    </xf>
    <xf numFmtId="0" fontId="0" fillId="53" borderId="46" xfId="0" applyFill="1" applyBorder="1" applyAlignment="1">
      <alignment horizontal="centerContinuous"/>
    </xf>
    <xf numFmtId="8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8" fontId="0" fillId="0" borderId="3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61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8" fontId="0" fillId="0" borderId="37" xfId="0" applyNumberFormat="1" applyBorder="1" applyAlignment="1">
      <alignment horizontal="centerContinuous"/>
    </xf>
    <xf numFmtId="0" fontId="1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39" fillId="53" borderId="36" xfId="0" applyFont="1" applyFill="1" applyBorder="1" applyAlignment="1">
      <alignment wrapText="1"/>
    </xf>
    <xf numFmtId="0" fontId="39" fillId="53" borderId="36" xfId="0" applyFont="1" applyFill="1" applyBorder="1" applyAlignment="1">
      <alignment/>
    </xf>
    <xf numFmtId="0" fontId="39" fillId="53" borderId="24" xfId="0" applyFont="1" applyFill="1" applyBorder="1" applyAlignment="1">
      <alignment wrapText="1"/>
    </xf>
    <xf numFmtId="167" fontId="39" fillId="53" borderId="26" xfId="0" applyNumberFormat="1" applyFont="1" applyFill="1" applyBorder="1" applyAlignment="1">
      <alignment/>
    </xf>
    <xf numFmtId="167" fontId="39" fillId="53" borderId="24" xfId="0" applyNumberFormat="1" applyFont="1" applyFill="1" applyBorder="1" applyAlignment="1">
      <alignment/>
    </xf>
    <xf numFmtId="167" fontId="39" fillId="53" borderId="36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67" fontId="0" fillId="0" borderId="27" xfId="0" applyNumberFormat="1" applyFont="1" applyFill="1" applyBorder="1" applyAlignment="1">
      <alignment wrapText="1"/>
    </xf>
    <xf numFmtId="167" fontId="0" fillId="0" borderId="57" xfId="0" applyNumberFormat="1" applyFont="1" applyFill="1" applyBorder="1" applyAlignment="1">
      <alignment wrapText="1"/>
    </xf>
    <xf numFmtId="0" fontId="39" fillId="53" borderId="64" xfId="0" applyFont="1" applyFill="1" applyBorder="1" applyAlignment="1">
      <alignment wrapText="1"/>
    </xf>
    <xf numFmtId="167" fontId="39" fillId="53" borderId="65" xfId="73" applyNumberFormat="1" applyFont="1" applyFill="1" applyBorder="1" applyAlignment="1">
      <alignment wrapText="1"/>
    </xf>
    <xf numFmtId="0" fontId="39" fillId="53" borderId="44" xfId="0" applyFont="1" applyFill="1" applyBorder="1" applyAlignment="1">
      <alignment horizontal="centerContinuous"/>
    </xf>
    <xf numFmtId="0" fontId="39" fillId="53" borderId="45" xfId="0" applyFont="1" applyFill="1" applyBorder="1" applyAlignment="1">
      <alignment horizontal="centerContinuous"/>
    </xf>
    <xf numFmtId="0" fontId="39" fillId="53" borderId="41" xfId="0" applyFont="1" applyFill="1" applyBorder="1" applyAlignment="1">
      <alignment horizontal="centerContinuous"/>
    </xf>
    <xf numFmtId="0" fontId="39" fillId="53" borderId="46" xfId="0" applyFont="1" applyFill="1" applyBorder="1" applyAlignment="1">
      <alignment horizontal="centerContinuous"/>
    </xf>
    <xf numFmtId="0" fontId="0" fillId="0" borderId="66" xfId="0" applyFill="1" applyBorder="1" applyAlignment="1">
      <alignment/>
    </xf>
    <xf numFmtId="167" fontId="0" fillId="0" borderId="67" xfId="0" applyNumberFormat="1" applyFont="1" applyFill="1" applyBorder="1" applyAlignment="1">
      <alignment wrapText="1"/>
    </xf>
    <xf numFmtId="167" fontId="0" fillId="0" borderId="68" xfId="0" applyNumberFormat="1" applyFont="1" applyFill="1" applyBorder="1" applyAlignment="1">
      <alignment wrapText="1"/>
    </xf>
    <xf numFmtId="8" fontId="0" fillId="0" borderId="47" xfId="0" applyNumberFormat="1" applyFont="1" applyBorder="1" applyAlignment="1">
      <alignment/>
    </xf>
    <xf numFmtId="8" fontId="0" fillId="0" borderId="49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7" xfId="0" applyBorder="1" applyAlignment="1">
      <alignment/>
    </xf>
    <xf numFmtId="8" fontId="0" fillId="0" borderId="47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9" xfId="0" applyBorder="1" applyAlignment="1">
      <alignment wrapText="1"/>
    </xf>
    <xf numFmtId="8" fontId="0" fillId="0" borderId="47" xfId="0" applyNumberFormat="1" applyBorder="1" applyAlignment="1">
      <alignment wrapText="1"/>
    </xf>
    <xf numFmtId="8" fontId="0" fillId="0" borderId="37" xfId="0" applyNumberFormat="1" applyBorder="1" applyAlignment="1">
      <alignment wrapText="1"/>
    </xf>
    <xf numFmtId="8" fontId="0" fillId="0" borderId="49" xfId="0" applyNumberFormat="1" applyBorder="1" applyAlignment="1">
      <alignment wrapText="1"/>
    </xf>
    <xf numFmtId="44" fontId="0" fillId="0" borderId="33" xfId="73" applyFont="1" applyBorder="1" applyAlignment="1">
      <alignment/>
    </xf>
    <xf numFmtId="44" fontId="0" fillId="0" borderId="39" xfId="73" applyFont="1" applyBorder="1" applyAlignment="1">
      <alignment/>
    </xf>
    <xf numFmtId="8" fontId="0" fillId="0" borderId="47" xfId="0" applyNumberFormat="1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0" fontId="0" fillId="18" borderId="0" xfId="136" applyNumberFormat="1" applyFont="1" applyFill="1" applyBorder="1" applyAlignment="1">
      <alignment/>
    </xf>
    <xf numFmtId="8" fontId="0" fillId="0" borderId="63" xfId="0" applyNumberFormat="1" applyFont="1" applyBorder="1" applyAlignment="1">
      <alignment wrapText="1"/>
    </xf>
    <xf numFmtId="8" fontId="0" fillId="0" borderId="69" xfId="0" applyNumberFormat="1" applyFont="1" applyBorder="1" applyAlignment="1">
      <alignment wrapText="1"/>
    </xf>
    <xf numFmtId="8" fontId="0" fillId="0" borderId="31" xfId="0" applyNumberFormat="1" applyFont="1" applyBorder="1" applyAlignment="1">
      <alignment/>
    </xf>
    <xf numFmtId="8" fontId="39" fillId="0" borderId="27" xfId="0" applyNumberFormat="1" applyFont="1" applyBorder="1" applyAlignment="1">
      <alignment/>
    </xf>
    <xf numFmtId="8" fontId="0" fillId="0" borderId="31" xfId="0" applyNumberFormat="1" applyFont="1" applyFill="1" applyBorder="1" applyAlignment="1">
      <alignment/>
    </xf>
    <xf numFmtId="0" fontId="42" fillId="0" borderId="69" xfId="0" applyFont="1" applyFill="1" applyBorder="1" applyAlignment="1">
      <alignment/>
    </xf>
    <xf numFmtId="8" fontId="42" fillId="0" borderId="69" xfId="0" applyNumberFormat="1" applyFont="1" applyFill="1" applyBorder="1" applyAlignment="1">
      <alignment/>
    </xf>
    <xf numFmtId="0" fontId="42" fillId="0" borderId="31" xfId="0" applyFont="1" applyFill="1" applyBorder="1" applyAlignment="1">
      <alignment/>
    </xf>
    <xf numFmtId="8" fontId="42" fillId="0" borderId="31" xfId="0" applyNumberFormat="1" applyFont="1" applyFill="1" applyBorder="1" applyAlignment="1">
      <alignment/>
    </xf>
    <xf numFmtId="0" fontId="42" fillId="0" borderId="27" xfId="0" applyFont="1" applyFill="1" applyBorder="1" applyAlignment="1">
      <alignment/>
    </xf>
    <xf numFmtId="8" fontId="42" fillId="0" borderId="27" xfId="0" applyNumberFormat="1" applyFont="1" applyFill="1" applyBorder="1" applyAlignment="1">
      <alignment/>
    </xf>
    <xf numFmtId="0" fontId="41" fillId="0" borderId="31" xfId="0" applyFont="1" applyFill="1" applyBorder="1" applyAlignment="1">
      <alignment/>
    </xf>
    <xf numFmtId="8" fontId="41" fillId="0" borderId="31" xfId="0" applyNumberFormat="1" applyFont="1" applyFill="1" applyBorder="1" applyAlignment="1">
      <alignment/>
    </xf>
    <xf numFmtId="0" fontId="41" fillId="0" borderId="27" xfId="0" applyFont="1" applyFill="1" applyBorder="1" applyAlignment="1">
      <alignment/>
    </xf>
    <xf numFmtId="8" fontId="41" fillId="0" borderId="27" xfId="0" applyNumberFormat="1" applyFont="1" applyFill="1" applyBorder="1" applyAlignment="1">
      <alignment/>
    </xf>
    <xf numFmtId="8" fontId="0" fillId="0" borderId="27" xfId="0" applyNumberFormat="1" applyBorder="1" applyAlignment="1">
      <alignment/>
    </xf>
    <xf numFmtId="8" fontId="0" fillId="0" borderId="37" xfId="0" applyNumberFormat="1" applyFont="1" applyBorder="1" applyAlignment="1">
      <alignment/>
    </xf>
    <xf numFmtId="0" fontId="0" fillId="0" borderId="31" xfId="0" applyFont="1" applyBorder="1" applyAlignment="1">
      <alignment/>
    </xf>
    <xf numFmtId="8" fontId="0" fillId="18" borderId="31" xfId="0" applyNumberFormat="1" applyFont="1" applyFill="1" applyBorder="1" applyAlignment="1">
      <alignment/>
    </xf>
    <xf numFmtId="0" fontId="39" fillId="0" borderId="31" xfId="0" applyFont="1" applyBorder="1" applyAlignment="1">
      <alignment/>
    </xf>
    <xf numFmtId="0" fontId="39" fillId="0" borderId="61" xfId="0" applyFont="1" applyBorder="1" applyAlignment="1">
      <alignment/>
    </xf>
    <xf numFmtId="0" fontId="39" fillId="0" borderId="62" xfId="0" applyFont="1" applyBorder="1" applyAlignment="1">
      <alignment/>
    </xf>
    <xf numFmtId="0" fontId="39" fillId="0" borderId="63" xfId="0" applyFont="1" applyBorder="1" applyAlignment="1">
      <alignment/>
    </xf>
    <xf numFmtId="8" fontId="39" fillId="0" borderId="63" xfId="0" applyNumberFormat="1" applyFont="1" applyBorder="1" applyAlignment="1">
      <alignment/>
    </xf>
    <xf numFmtId="8" fontId="39" fillId="0" borderId="69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39" fillId="0" borderId="47" xfId="0" applyFont="1" applyBorder="1" applyAlignment="1">
      <alignment/>
    </xf>
    <xf numFmtId="8" fontId="0" fillId="53" borderId="31" xfId="0" applyNumberFormat="1" applyFont="1" applyFill="1" applyBorder="1" applyAlignment="1">
      <alignment/>
    </xf>
    <xf numFmtId="0" fontId="0" fillId="53" borderId="31" xfId="0" applyFill="1" applyBorder="1" applyAlignment="1">
      <alignment/>
    </xf>
    <xf numFmtId="0" fontId="0" fillId="53" borderId="31" xfId="0" applyFont="1" applyFill="1" applyBorder="1" applyAlignment="1">
      <alignment/>
    </xf>
    <xf numFmtId="8" fontId="0" fillId="0" borderId="27" xfId="0" applyNumberFormat="1" applyBorder="1" applyAlignment="1">
      <alignment wrapText="1"/>
    </xf>
    <xf numFmtId="8" fontId="0" fillId="0" borderId="31" xfId="0" applyNumberFormat="1" applyBorder="1" applyAlignment="1">
      <alignment wrapText="1"/>
    </xf>
    <xf numFmtId="8" fontId="0" fillId="0" borderId="31" xfId="0" applyNumberFormat="1" applyBorder="1" applyAlignment="1">
      <alignment/>
    </xf>
    <xf numFmtId="0" fontId="0" fillId="0" borderId="70" xfId="0" applyBorder="1" applyAlignment="1">
      <alignment/>
    </xf>
    <xf numFmtId="8" fontId="0" fillId="6" borderId="33" xfId="0" applyNumberFormat="1" applyFill="1" applyBorder="1" applyAlignment="1">
      <alignment/>
    </xf>
    <xf numFmtId="0" fontId="39" fillId="53" borderId="37" xfId="0" applyFont="1" applyFill="1" applyBorder="1" applyAlignment="1">
      <alignment/>
    </xf>
    <xf numFmtId="0" fontId="39" fillId="53" borderId="47" xfId="0" applyFont="1" applyFill="1" applyBorder="1" applyAlignment="1">
      <alignment/>
    </xf>
    <xf numFmtId="8" fontId="39" fillId="53" borderId="27" xfId="0" applyNumberFormat="1" applyFont="1" applyFill="1" applyBorder="1" applyAlignment="1">
      <alignment/>
    </xf>
    <xf numFmtId="8" fontId="39" fillId="53" borderId="0" xfId="0" applyNumberFormat="1" applyFont="1" applyFill="1" applyBorder="1" applyAlignment="1">
      <alignment/>
    </xf>
    <xf numFmtId="0" fontId="0" fillId="53" borderId="37" xfId="0" applyFill="1" applyBorder="1" applyAlignment="1">
      <alignment/>
    </xf>
    <xf numFmtId="0" fontId="0" fillId="53" borderId="47" xfId="0" applyFill="1" applyBorder="1" applyAlignment="1">
      <alignment/>
    </xf>
    <xf numFmtId="8" fontId="0" fillId="53" borderId="47" xfId="0" applyNumberFormat="1" applyFill="1" applyBorder="1" applyAlignment="1">
      <alignment/>
    </xf>
    <xf numFmtId="8" fontId="0" fillId="53" borderId="49" xfId="0" applyNumberFormat="1" applyFill="1" applyBorder="1" applyAlignment="1">
      <alignment/>
    </xf>
    <xf numFmtId="0" fontId="0" fillId="53" borderId="47" xfId="0" applyFill="1" applyBorder="1" applyAlignment="1">
      <alignment/>
    </xf>
    <xf numFmtId="8" fontId="39" fillId="53" borderId="37" xfId="0" applyNumberFormat="1" applyFont="1" applyFill="1" applyBorder="1" applyAlignment="1">
      <alignment horizontal="centerContinuous"/>
    </xf>
    <xf numFmtId="8" fontId="39" fillId="53" borderId="47" xfId="0" applyNumberFormat="1" applyFont="1" applyFill="1" applyBorder="1" applyAlignment="1">
      <alignment horizontal="centerContinuous"/>
    </xf>
    <xf numFmtId="8" fontId="39" fillId="53" borderId="49" xfId="0" applyNumberFormat="1" applyFont="1" applyFill="1" applyBorder="1" applyAlignment="1">
      <alignment horizontal="centerContinuous"/>
    </xf>
    <xf numFmtId="8" fontId="39" fillId="53" borderId="27" xfId="0" applyNumberFormat="1" applyFont="1" applyFill="1" applyBorder="1" applyAlignment="1">
      <alignment horizontal="centerContinuous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8" fontId="0" fillId="0" borderId="63" xfId="0" applyNumberFormat="1" applyFont="1" applyBorder="1" applyAlignment="1">
      <alignment/>
    </xf>
    <xf numFmtId="8" fontId="0" fillId="53" borderId="49" xfId="0" applyNumberFormat="1" applyFill="1" applyBorder="1" applyAlignment="1">
      <alignment/>
    </xf>
    <xf numFmtId="8" fontId="39" fillId="53" borderId="49" xfId="0" applyNumberFormat="1" applyFont="1" applyFill="1" applyBorder="1" applyAlignment="1">
      <alignment/>
    </xf>
    <xf numFmtId="8" fontId="39" fillId="0" borderId="39" xfId="0" applyNumberFormat="1" applyFont="1" applyBorder="1" applyAlignment="1">
      <alignment/>
    </xf>
    <xf numFmtId="8" fontId="0" fillId="53" borderId="27" xfId="0" applyNumberFormat="1" applyFill="1" applyBorder="1" applyAlignment="1">
      <alignment/>
    </xf>
    <xf numFmtId="0" fontId="0" fillId="0" borderId="0" xfId="0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 wrapText="1"/>
      <protection locked="0"/>
    </xf>
    <xf numFmtId="8" fontId="39" fillId="0" borderId="31" xfId="0" applyNumberFormat="1" applyFont="1" applyBorder="1" applyAlignment="1">
      <alignment/>
    </xf>
    <xf numFmtId="0" fontId="0" fillId="53" borderId="27" xfId="0" applyFill="1" applyBorder="1" applyAlignment="1">
      <alignment wrapText="1"/>
    </xf>
    <xf numFmtId="0" fontId="0" fillId="53" borderId="49" xfId="0" applyFill="1" applyBorder="1" applyAlignment="1">
      <alignment wrapText="1"/>
    </xf>
    <xf numFmtId="0" fontId="0" fillId="53" borderId="47" xfId="0" applyFill="1" applyBorder="1" applyAlignment="1">
      <alignment wrapText="1"/>
    </xf>
    <xf numFmtId="0" fontId="0" fillId="0" borderId="0" xfId="0" applyAlignment="1" applyProtection="1">
      <alignment vertical="top"/>
      <protection locked="0"/>
    </xf>
    <xf numFmtId="8" fontId="0" fillId="18" borderId="39" xfId="0" applyNumberFormat="1" applyFill="1" applyBorder="1" applyAlignment="1">
      <alignment/>
    </xf>
    <xf numFmtId="0" fontId="0" fillId="18" borderId="33" xfId="0" applyFill="1" applyBorder="1" applyAlignment="1">
      <alignment/>
    </xf>
    <xf numFmtId="3" fontId="0" fillId="18" borderId="0" xfId="0" applyNumberFormat="1" applyFill="1" applyBorder="1" applyAlignment="1">
      <alignment/>
    </xf>
    <xf numFmtId="0" fontId="0" fillId="18" borderId="0" xfId="0" applyFill="1" applyBorder="1" applyAlignment="1">
      <alignment/>
    </xf>
    <xf numFmtId="8" fontId="0" fillId="18" borderId="33" xfId="0" applyNumberFormat="1" applyFill="1" applyBorder="1" applyAlignment="1">
      <alignment/>
    </xf>
    <xf numFmtId="8" fontId="0" fillId="18" borderId="0" xfId="0" applyNumberFormat="1" applyFill="1" applyAlignment="1">
      <alignment/>
    </xf>
    <xf numFmtId="8" fontId="0" fillId="18" borderId="0" xfId="0" applyNumberFormat="1" applyFill="1" applyBorder="1" applyAlignment="1">
      <alignment/>
    </xf>
    <xf numFmtId="0" fontId="0" fillId="18" borderId="61" xfId="0" applyFill="1" applyBorder="1" applyAlignment="1">
      <alignment/>
    </xf>
    <xf numFmtId="0" fontId="0" fillId="18" borderId="62" xfId="0" applyFill="1" applyBorder="1" applyAlignment="1">
      <alignment/>
    </xf>
    <xf numFmtId="8" fontId="0" fillId="18" borderId="62" xfId="0" applyNumberFormat="1" applyFill="1" applyBorder="1" applyAlignment="1">
      <alignment/>
    </xf>
    <xf numFmtId="8" fontId="0" fillId="18" borderId="63" xfId="0" applyNumberFormat="1" applyFill="1" applyBorder="1" applyAlignment="1">
      <alignment/>
    </xf>
    <xf numFmtId="8" fontId="39" fillId="53" borderId="47" xfId="0" applyNumberFormat="1" applyFont="1" applyFill="1" applyBorder="1" applyAlignment="1">
      <alignment/>
    </xf>
    <xf numFmtId="37" fontId="2" fillId="56" borderId="0" xfId="69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8" fontId="0" fillId="0" borderId="63" xfId="0" applyNumberFormat="1" applyBorder="1" applyAlignment="1">
      <alignment/>
    </xf>
    <xf numFmtId="0" fontId="0" fillId="57" borderId="0" xfId="0" applyFill="1" applyAlignment="1">
      <alignment/>
    </xf>
    <xf numFmtId="0" fontId="39" fillId="57" borderId="37" xfId="0" applyFont="1" applyFill="1" applyBorder="1" applyAlignment="1">
      <alignment wrapText="1"/>
    </xf>
    <xf numFmtId="8" fontId="0" fillId="57" borderId="27" xfId="0" applyNumberFormat="1" applyFill="1" applyBorder="1" applyAlignment="1">
      <alignment wrapText="1"/>
    </xf>
    <xf numFmtId="8" fontId="0" fillId="57" borderId="47" xfId="0" applyNumberFormat="1" applyFill="1" applyBorder="1" applyAlignment="1">
      <alignment/>
    </xf>
    <xf numFmtId="8" fontId="0" fillId="57" borderId="0" xfId="0" applyNumberFormat="1" applyFill="1" applyBorder="1" applyAlignment="1">
      <alignment/>
    </xf>
  </cellXfs>
  <cellStyles count="13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Currency 2 2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 2" xfId="89"/>
    <cellStyle name="Hyperlink 2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0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2" xfId="105"/>
    <cellStyle name="Normal 2 2" xfId="106"/>
    <cellStyle name="Normal 20 2" xfId="107"/>
    <cellStyle name="Normal 21" xfId="108"/>
    <cellStyle name="Normal 22" xfId="109"/>
    <cellStyle name="Normal 22 2" xfId="110"/>
    <cellStyle name="Normal 23" xfId="111"/>
    <cellStyle name="Normal 24" xfId="112"/>
    <cellStyle name="Normal 25" xfId="113"/>
    <cellStyle name="Normal 25 2" xfId="114"/>
    <cellStyle name="Normal 26" xfId="115"/>
    <cellStyle name="Normal 26 2" xfId="116"/>
    <cellStyle name="Normal 27" xfId="117"/>
    <cellStyle name="Normal 27 2" xfId="118"/>
    <cellStyle name="Normal 28" xfId="119"/>
    <cellStyle name="Normal 28 2" xfId="120"/>
    <cellStyle name="Normal 29" xfId="121"/>
    <cellStyle name="Normal 29 2" xfId="122"/>
    <cellStyle name="Normal 3" xfId="123"/>
    <cellStyle name="Normal 3 2" xfId="124"/>
    <cellStyle name="Normal 30" xfId="125"/>
    <cellStyle name="Normal 30 2" xfId="126"/>
    <cellStyle name="Normal 4 2" xfId="127"/>
    <cellStyle name="Normal 5 2" xfId="128"/>
    <cellStyle name="Normal 6 2" xfId="129"/>
    <cellStyle name="Normal 7 2" xfId="130"/>
    <cellStyle name="Normal 8 2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Title" xfId="138"/>
    <cellStyle name="Title 2" xfId="139"/>
    <cellStyle name="Total" xfId="140"/>
    <cellStyle name="Total 2" xfId="141"/>
    <cellStyle name="Warning Text" xfId="142"/>
    <cellStyle name="Warning Text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R69"/>
  <sheetViews>
    <sheetView showGridLines="0" tabSelected="1" zoomScale="85" zoomScaleNormal="85" zoomScalePageLayoutView="0" workbookViewId="0" topLeftCell="A31">
      <selection activeCell="A65" sqref="A65"/>
    </sheetView>
  </sheetViews>
  <sheetFormatPr defaultColWidth="9.140625" defaultRowHeight="15"/>
  <cols>
    <col min="1" max="1" width="34.421875" style="0" customWidth="1"/>
    <col min="2" max="3" width="12.57421875" style="0" bestFit="1" customWidth="1"/>
    <col min="4" max="4" width="12.140625" style="0" customWidth="1"/>
    <col min="5" max="6" width="11.57421875" style="0" bestFit="1" customWidth="1"/>
    <col min="7" max="7" width="13.421875" style="0" customWidth="1"/>
    <col min="12" max="12" width="62.7109375" style="0" bestFit="1" customWidth="1"/>
  </cols>
  <sheetData>
    <row r="1" ht="15.75" thickBot="1"/>
    <row r="2" spans="2:6" ht="15.75" thickBot="1">
      <c r="B2" s="187" t="s">
        <v>122</v>
      </c>
      <c r="C2" s="188"/>
      <c r="D2" s="188"/>
      <c r="E2" s="188"/>
      <c r="F2" s="190"/>
    </row>
    <row r="3" spans="1:6" ht="15.75" thickBot="1">
      <c r="A3" s="145" t="s">
        <v>24</v>
      </c>
      <c r="B3" s="176" t="s">
        <v>115</v>
      </c>
      <c r="C3" s="176" t="s">
        <v>116</v>
      </c>
      <c r="D3" s="176" t="s">
        <v>117</v>
      </c>
      <c r="E3" s="176" t="s">
        <v>118</v>
      </c>
      <c r="F3" s="176" t="s">
        <v>51</v>
      </c>
    </row>
    <row r="4" spans="1:6" ht="15">
      <c r="A4" s="24" t="s">
        <v>0</v>
      </c>
      <c r="B4" s="25">
        <f>'G-29 2002  PILS Recoveries'!J14+'G-30 2003 PILS Recoveries'!J17+'G-31 2004 PILS Recoveries'!J16</f>
        <v>256811.9484897185</v>
      </c>
      <c r="C4" s="25">
        <f>'G-29 2002  PILS Recoveries'!M14+'G-30 2003 PILS Recoveries'!M17+'G-31 2004 PILS Recoveries'!M16</f>
        <v>774317.8062317532</v>
      </c>
      <c r="D4" s="25">
        <f>'G-31 2004 PILS Recoveries'!O16+'G-32 2005 PILS Recoveries'!O16</f>
        <v>370298.70638148085</v>
      </c>
      <c r="E4" s="25">
        <f>'G-32 2005 PILS Recoveries'!Q16+'G-33 2006  PILS Recoveries'!Q16</f>
        <v>277830.3026237673</v>
      </c>
      <c r="F4" s="25">
        <f aca="true" t="shared" si="0" ref="F4:F10">SUM(B4:E4)</f>
        <v>1679258.7637267197</v>
      </c>
    </row>
    <row r="5" spans="1:6" ht="15">
      <c r="A5" s="24" t="s">
        <v>1</v>
      </c>
      <c r="B5" s="25">
        <f>'G-29 2002  PILS Recoveries'!J27+'G-30 2003 PILS Recoveries'!J32+'G-31 2004 PILS Recoveries'!J31</f>
        <v>59081.58541778898</v>
      </c>
      <c r="C5" s="25">
        <f>'G-29 2002  PILS Recoveries'!M27+'G-30 2003 PILS Recoveries'!M32+'G-31 2004 PILS Recoveries'!M31</f>
        <v>178265.9795370297</v>
      </c>
      <c r="D5" s="25">
        <f>'G-31 2004 PILS Recoveries'!O31+'G-32 2005 PILS Recoveries'!O31</f>
        <v>87844.9201610053</v>
      </c>
      <c r="E5" s="25">
        <f>'G-32 2005 PILS Recoveries'!Q31+'G-33 2006  PILS Recoveries'!Q31</f>
        <v>62229.17416612545</v>
      </c>
      <c r="F5" s="25">
        <f t="shared" si="0"/>
        <v>387421.6592819494</v>
      </c>
    </row>
    <row r="6" spans="1:6" ht="15">
      <c r="A6" s="24" t="s">
        <v>8</v>
      </c>
      <c r="B6" s="25">
        <f>'G-29 2002  PILS Recoveries'!J40+'G-30 2003 PILS Recoveries'!J47+'G-31 2004 PILS Recoveries'!J46</f>
        <v>916.3791000000002</v>
      </c>
      <c r="C6" s="25">
        <f>'G-29 2002  PILS Recoveries'!M40+'G-30 2003 PILS Recoveries'!M47+'G-31 2004 PILS Recoveries'!M46</f>
        <v>2762.898533333333</v>
      </c>
      <c r="D6" s="25">
        <f>'G-31 2004 PILS Recoveries'!O46+'G-32 2005 PILS Recoveries'!O46</f>
        <v>584.1452025000001</v>
      </c>
      <c r="E6" s="25">
        <f>'G-32 2005 PILS Recoveries'!Q46+'G-33 2006  PILS Recoveries'!Q46</f>
        <v>1304.2767833333332</v>
      </c>
      <c r="F6" s="25">
        <f t="shared" si="0"/>
        <v>5567.699619166666</v>
      </c>
    </row>
    <row r="7" spans="1:6" ht="15">
      <c r="A7" s="24" t="s">
        <v>2</v>
      </c>
      <c r="B7" s="25">
        <f>'G-29 2002  PILS Recoveries'!J53+'G-30 2003 PILS Recoveries'!J62+'G-31 2004 PILS Recoveries'!J61</f>
        <v>101618.71748064</v>
      </c>
      <c r="C7" s="25">
        <f>'G-29 2002  PILS Recoveries'!M53+'G-30 2003 PILS Recoveries'!M62+'G-31 2004 PILS Recoveries'!M61</f>
        <v>306340.415127</v>
      </c>
      <c r="D7" s="25">
        <f>'G-31 2004 PILS Recoveries'!O61+'G-32 2005 PILS Recoveries'!O61</f>
        <v>131183.27714646002</v>
      </c>
      <c r="E7" s="25">
        <f>'G-32 2005 PILS Recoveries'!Q61+'G-33 2006  PILS Recoveries'!Q61</f>
        <v>105627.33068628359</v>
      </c>
      <c r="F7" s="25">
        <f t="shared" si="0"/>
        <v>644769.7404403836</v>
      </c>
    </row>
    <row r="8" spans="1:6" ht="15">
      <c r="A8" s="24" t="s">
        <v>3</v>
      </c>
      <c r="B8" s="25">
        <f>'G-29 2002  PILS Recoveries'!J66+'G-30 2003 PILS Recoveries'!J77+'G-31 2004 PILS Recoveries'!J76</f>
        <v>22609.912391520003</v>
      </c>
      <c r="C8" s="25">
        <f>'G-29 2002  PILS Recoveries'!M66+'G-30 2003 PILS Recoveries'!M77+'G-31 2004 PILS Recoveries'!M76</f>
        <v>68160.36974192</v>
      </c>
      <c r="D8" s="25">
        <f>'G-31 2004 PILS Recoveries'!O76+'G-32 2005 PILS Recoveries'!O76</f>
        <v>26366.26411804</v>
      </c>
      <c r="E8" s="25">
        <f>'G-32 2005 PILS Recoveries'!Q76+'G-33 2006  PILS Recoveries'!Q76</f>
        <v>18814.682414274223</v>
      </c>
      <c r="F8" s="25">
        <f t="shared" si="0"/>
        <v>135951.22866575423</v>
      </c>
    </row>
    <row r="9" spans="1:6" ht="15">
      <c r="A9" s="24" t="s">
        <v>4</v>
      </c>
      <c r="B9" s="25">
        <f>'G-29 2002  PILS Recoveries'!J79+'G-30 2003 PILS Recoveries'!J92+'G-31 2004 PILS Recoveries'!J91</f>
        <v>549.387565</v>
      </c>
      <c r="C9" s="25">
        <f>'G-29 2002  PILS Recoveries'!M79+'G-30 2003 PILS Recoveries'!M92+'G-31 2004 PILS Recoveries'!M91</f>
        <v>1656.1281440000002</v>
      </c>
      <c r="D9" s="25">
        <f>'G-31 2004 PILS Recoveries'!O91+'G-32 2005 PILS Recoveries'!O91</f>
        <v>0</v>
      </c>
      <c r="E9" s="25">
        <f>'G-32 2005 PILS Recoveries'!Q91+'G-33 2006  PILS Recoveries'!Q91</f>
        <v>0</v>
      </c>
      <c r="F9" s="25">
        <f t="shared" si="0"/>
        <v>2205.5157090000002</v>
      </c>
    </row>
    <row r="10" spans="1:6" ht="15.75" thickBot="1">
      <c r="A10" s="24" t="s">
        <v>5</v>
      </c>
      <c r="B10" s="25">
        <f>'G-29 2002  PILS Recoveries'!J92+'G-30 2003 PILS Recoveries'!J107+'G-31 2004 PILS Recoveries'!J106</f>
        <v>4218.645877759999</v>
      </c>
      <c r="C10" s="25">
        <f>'G-29 2002  PILS Recoveries'!M92+'G-30 2003 PILS Recoveries'!M107+'G-31 2004 PILS Recoveries'!M106</f>
        <v>12720.99186536</v>
      </c>
      <c r="D10" s="25">
        <f>'G-31 2004 PILS Recoveries'!O106+'G-32 2005 PILS Recoveries'!O106</f>
        <v>6503.0861481</v>
      </c>
      <c r="E10" s="25">
        <f>'G-32 2005 PILS Recoveries'!Q106+'G-33 2006  PILS Recoveries'!Q106</f>
        <v>4548.615616</v>
      </c>
      <c r="F10" s="25">
        <f t="shared" si="0"/>
        <v>27991.339507219996</v>
      </c>
    </row>
    <row r="11" spans="1:6" ht="15.75" thickBot="1">
      <c r="A11" s="143" t="s">
        <v>29</v>
      </c>
      <c r="B11" s="146">
        <f>SUM(B4:B10)</f>
        <v>445806.5763224275</v>
      </c>
      <c r="C11" s="146">
        <f>SUM(C4:C10)</f>
        <v>1344224.5891803962</v>
      </c>
      <c r="D11" s="146">
        <f>SUM(D4:D10)</f>
        <v>622780.399157586</v>
      </c>
      <c r="E11" s="146">
        <f>SUM(E4:E10)</f>
        <v>470354.3822897839</v>
      </c>
      <c r="F11" s="146">
        <f>SUM(F4:F10)</f>
        <v>2883165.9469501935</v>
      </c>
    </row>
    <row r="12" ht="15.75" thickBot="1"/>
    <row r="13" spans="2:6" ht="15.75" thickBot="1">
      <c r="B13" s="187" t="s">
        <v>121</v>
      </c>
      <c r="C13" s="188"/>
      <c r="D13" s="188"/>
      <c r="E13" s="188"/>
      <c r="F13" s="190"/>
    </row>
    <row r="14" spans="1:6" ht="15">
      <c r="A14" s="149" t="s">
        <v>31</v>
      </c>
      <c r="B14" s="150">
        <v>2002</v>
      </c>
      <c r="C14" s="150">
        <v>2003</v>
      </c>
      <c r="D14" s="150">
        <v>2004</v>
      </c>
      <c r="E14" s="150">
        <v>2005</v>
      </c>
      <c r="F14" s="151">
        <v>2006</v>
      </c>
    </row>
    <row r="15" spans="1:6" ht="15">
      <c r="A15" s="27" t="s">
        <v>39</v>
      </c>
      <c r="B15" s="147">
        <v>0</v>
      </c>
      <c r="C15" s="147">
        <f>'G-30 2003 PILS Recoveries'!R4+'G-30 2003 PILS Recoveries'!R19+'G-30 2003 PILS Recoveries'!R34+'G-30 2003 PILS Recoveries'!R49+'G-30 2003 PILS Recoveries'!R64+'G-30 2003 PILS Recoveries'!R79+'G-30 2003 PILS Recoveries'!R94</f>
        <v>85468.35361273644</v>
      </c>
      <c r="D15" s="147">
        <f>'G-31 2004 PILS Recoveries'!R3+'G-31 2004 PILS Recoveries'!R18+'G-31 2004 PILS Recoveries'!R33+'G-31 2004 PILS Recoveries'!R48+'G-31 2004 PILS Recoveries'!R63+'G-31 2004 PILS Recoveries'!R78+'G-31 2004 PILS Recoveries'!R93</f>
        <v>74662.89101737186</v>
      </c>
      <c r="E15" s="147">
        <f>'G-32 2005 PILS Recoveries'!R3+'G-32 2005 PILS Recoveries'!R18+'G-32 2005 PILS Recoveries'!R33+'G-32 2005 PILS Recoveries'!R48+'G-32 2005 PILS Recoveries'!R63+'G-32 2005 PILS Recoveries'!R78+'G-32 2005 PILS Recoveries'!R93</f>
        <v>56333.42316238001</v>
      </c>
      <c r="F15" s="152">
        <f>'G-33 2006  PILS Recoveries'!R3+'G-33 2006  PILS Recoveries'!R18+'G-33 2006  PILS Recoveries'!R33+'G-33 2006  PILS Recoveries'!R48+'G-33 2006  PILS Recoveries'!R63+'G-33 2006  PILS Recoveries'!R78+'G-33 2006  PILS Recoveries'!R93</f>
        <v>39775.52137843789</v>
      </c>
    </row>
    <row r="16" spans="1:6" ht="15">
      <c r="A16" s="27" t="s">
        <v>40</v>
      </c>
      <c r="B16" s="147">
        <v>0</v>
      </c>
      <c r="C16" s="147">
        <f>'G-30 2003 PILS Recoveries'!R5+'G-30 2003 PILS Recoveries'!R20+'G-30 2003 PILS Recoveries'!R35+'G-30 2003 PILS Recoveries'!R50+'G-30 2003 PILS Recoveries'!R65+'G-30 2003 PILS Recoveries'!R80+'G-30 2003 PILS Recoveries'!R95</f>
        <v>76513.28715880614</v>
      </c>
      <c r="D16" s="147">
        <f>'G-31 2004 PILS Recoveries'!R4+'G-31 2004 PILS Recoveries'!R19+'G-31 2004 PILS Recoveries'!R34+'G-31 2004 PILS Recoveries'!R49+'G-31 2004 PILS Recoveries'!R64+'G-31 2004 PILS Recoveries'!R79+'G-31 2004 PILS Recoveries'!R94</f>
        <v>74119.72187135398</v>
      </c>
      <c r="E16" s="147">
        <f>'G-32 2005 PILS Recoveries'!R4+'G-32 2005 PILS Recoveries'!R19+'G-32 2005 PILS Recoveries'!R34+'G-32 2005 PILS Recoveries'!R49+'G-32 2005 PILS Recoveries'!R64+'G-32 2005 PILS Recoveries'!R79+'G-32 2005 PILS Recoveries'!R94</f>
        <v>56703.37340434608</v>
      </c>
      <c r="F16" s="152">
        <f>'G-33 2006  PILS Recoveries'!R4+'G-33 2006  PILS Recoveries'!R19+'G-33 2006  PILS Recoveries'!R34+'G-33 2006  PILS Recoveries'!R49+'G-33 2006  PILS Recoveries'!R64+'G-33 2006  PILS Recoveries'!R79+'G-33 2006  PILS Recoveries'!R94</f>
        <v>41335.788358872305</v>
      </c>
    </row>
    <row r="17" spans="1:6" ht="15">
      <c r="A17" s="27" t="s">
        <v>41</v>
      </c>
      <c r="B17" s="147">
        <f>'G-29 2002  PILS Recoveries'!R3+'G-29 2002  PILS Recoveries'!R16+'G-29 2002  PILS Recoveries'!R29+'G-29 2002  PILS Recoveries'!R42+'G-29 2002  PILS Recoveries'!R55+'G-29 2002  PILS Recoveries'!R68+'G-29 2002  PILS Recoveries'!R81</f>
        <v>27106.951462000008</v>
      </c>
      <c r="C17" s="147">
        <f>'G-30 2003 PILS Recoveries'!R6+'G-30 2003 PILS Recoveries'!R21+'G-30 2003 PILS Recoveries'!R36+'G-30 2003 PILS Recoveries'!R51+'G-30 2003 PILS Recoveries'!R66+'G-30 2003 PILS Recoveries'!R81+'G-30 2003 PILS Recoveries'!R96</f>
        <v>88909.71710757671</v>
      </c>
      <c r="D17" s="147">
        <f>'G-31 2004 PILS Recoveries'!R5+'G-31 2004 PILS Recoveries'!R20+'G-31 2004 PILS Recoveries'!R35+'G-31 2004 PILS Recoveries'!R50+'G-31 2004 PILS Recoveries'!R65+'G-31 2004 PILS Recoveries'!R80+'G-31 2004 PILS Recoveries'!R95</f>
        <v>80234.00743607433</v>
      </c>
      <c r="E17" s="147">
        <f>'G-32 2005 PILS Recoveries'!R5+'G-32 2005 PILS Recoveries'!R20+'G-32 2005 PILS Recoveries'!R35+'G-32 2005 PILS Recoveries'!R50+'G-32 2005 PILS Recoveries'!R65+'G-32 2005 PILS Recoveries'!R80+'G-32 2005 PILS Recoveries'!R95</f>
        <v>51239.81095109444</v>
      </c>
      <c r="F17" s="152">
        <f>'G-33 2006  PILS Recoveries'!R5+'G-33 2006  PILS Recoveries'!R20+'G-33 2006  PILS Recoveries'!R35+'G-33 2006  PILS Recoveries'!R50+'G-33 2006  PILS Recoveries'!R65+'G-33 2006  PILS Recoveries'!R80+'G-33 2006  PILS Recoveries'!R95</f>
        <v>35860.9427306855</v>
      </c>
    </row>
    <row r="18" spans="1:6" ht="15">
      <c r="A18" s="27" t="s">
        <v>42</v>
      </c>
      <c r="B18" s="147">
        <f>'G-29 2002  PILS Recoveries'!R4+'G-29 2002  PILS Recoveries'!R17+'G-29 2002  PILS Recoveries'!R30+'G-29 2002  PILS Recoveries'!R43+'G-29 2002  PILS Recoveries'!R56+'G-29 2002  PILS Recoveries'!R69+'G-29 2002  PILS Recoveries'!R82</f>
        <v>62383.162840000005</v>
      </c>
      <c r="C18" s="147">
        <f>'G-30 2003 PILS Recoveries'!R7+'G-30 2003 PILS Recoveries'!R22+'G-30 2003 PILS Recoveries'!R37+'G-30 2003 PILS Recoveries'!R52+'G-30 2003 PILS Recoveries'!R67+'G-30 2003 PILS Recoveries'!R82+'G-30 2003 PILS Recoveries'!R97</f>
        <v>69986.01952417762</v>
      </c>
      <c r="D18" s="147">
        <f>'G-31 2004 PILS Recoveries'!R6+'G-31 2004 PILS Recoveries'!R21+'G-31 2004 PILS Recoveries'!R36+'G-31 2004 PILS Recoveries'!R51+'G-31 2004 PILS Recoveries'!R66+'G-31 2004 PILS Recoveries'!R81+'G-31 2004 PILS Recoveries'!R96</f>
        <v>43982.53106375001</v>
      </c>
      <c r="E18" s="147">
        <f>'G-32 2005 PILS Recoveries'!R6+'G-32 2005 PILS Recoveries'!R21+'G-32 2005 PILS Recoveries'!R36+'G-32 2005 PILS Recoveries'!R51+'G-32 2005 PILS Recoveries'!R66+'G-32 2005 PILS Recoveries'!R81+'G-32 2005 PILS Recoveries'!R96</f>
        <v>35784.6126468261</v>
      </c>
      <c r="F18" s="152">
        <f>'G-33 2006  PILS Recoveries'!R6+'G-33 2006  PILS Recoveries'!R21+'G-33 2006  PILS Recoveries'!R36+'G-33 2006  PILS Recoveries'!R51+'G-33 2006  PILS Recoveries'!R66+'G-33 2006  PILS Recoveries'!R81+'G-33 2006  PILS Recoveries'!R96</f>
        <v>33582.77676672134</v>
      </c>
    </row>
    <row r="19" spans="1:6" ht="15">
      <c r="A19" s="27" t="s">
        <v>35</v>
      </c>
      <c r="B19" s="147">
        <f>'G-29 2002  PILS Recoveries'!R5+'G-29 2002  PILS Recoveries'!R18+'G-29 2002  PILS Recoveries'!R31+'G-29 2002  PILS Recoveries'!R44+'G-29 2002  PILS Recoveries'!R57+'G-29 2002  PILS Recoveries'!R70+'G-29 2002  PILS Recoveries'!R83</f>
        <v>60420.985006</v>
      </c>
      <c r="C19" s="147">
        <f>'G-30 2003 PILS Recoveries'!R8+'G-30 2003 PILS Recoveries'!R23+'G-30 2003 PILS Recoveries'!R38+'G-30 2003 PILS Recoveries'!R53+'G-30 2003 PILS Recoveries'!R68+'G-30 2003 PILS Recoveries'!R83+'G-30 2003 PILS Recoveries'!R98</f>
        <v>68508.45426008913</v>
      </c>
      <c r="D19" s="147">
        <f>'G-31 2004 PILS Recoveries'!R7+'G-31 2004 PILS Recoveries'!R22+'G-31 2004 PILS Recoveries'!R37+'G-31 2004 PILS Recoveries'!R52+'G-31 2004 PILS Recoveries'!R67+'G-31 2004 PILS Recoveries'!R82+'G-31 2004 PILS Recoveries'!R97</f>
        <v>48407.23199254218</v>
      </c>
      <c r="E19" s="147">
        <f>'G-32 2005 PILS Recoveries'!R7+'G-32 2005 PILS Recoveries'!R22+'G-32 2005 PILS Recoveries'!R37+'G-32 2005 PILS Recoveries'!R52+'G-32 2005 PILS Recoveries'!R67+'G-32 2005 PILS Recoveries'!R82+'G-32 2005 PILS Recoveries'!R97</f>
        <v>30895.560417421617</v>
      </c>
      <c r="F19" s="152">
        <f>'G-33 2006  PILS Recoveries'!R7+'G-33 2006  PILS Recoveries'!R22+'G-33 2006  PILS Recoveries'!R37+'G-33 2006  PILS Recoveries'!R52+'G-33 2006  PILS Recoveries'!R67+'G-33 2006  PILS Recoveries'!R82+'G-33 2006  PILS Recoveries'!R97</f>
        <v>0</v>
      </c>
    </row>
    <row r="20" spans="1:6" ht="15">
      <c r="A20" s="27" t="s">
        <v>43</v>
      </c>
      <c r="B20" s="147">
        <f>'G-29 2002  PILS Recoveries'!R6+'G-29 2002  PILS Recoveries'!R19+'G-29 2002  PILS Recoveries'!R32+'G-29 2002  PILS Recoveries'!R45+'G-29 2002  PILS Recoveries'!R58+'G-29 2002  PILS Recoveries'!R71+'G-29 2002  PILS Recoveries'!R84</f>
        <v>46737.15020999999</v>
      </c>
      <c r="C20" s="147">
        <f>'G-30 2003 PILS Recoveries'!R9+'G-30 2003 PILS Recoveries'!R24+'G-30 2003 PILS Recoveries'!R39+'G-30 2003 PILS Recoveries'!R54+'G-30 2003 PILS Recoveries'!R69+'G-30 2003 PILS Recoveries'!R84+'G-30 2003 PILS Recoveries'!R99</f>
        <v>67905.48490488938</v>
      </c>
      <c r="D20" s="147">
        <f>'G-31 2004 PILS Recoveries'!R8+'G-31 2004 PILS Recoveries'!R23+'G-31 2004 PILS Recoveries'!R38+'G-31 2004 PILS Recoveries'!R53+'G-31 2004 PILS Recoveries'!R68+'G-31 2004 PILS Recoveries'!R83+'G-31 2004 PILS Recoveries'!R98</f>
        <v>44782.6727090011</v>
      </c>
      <c r="E20" s="147">
        <f>'G-32 2005 PILS Recoveries'!R8+'G-32 2005 PILS Recoveries'!R23+'G-32 2005 PILS Recoveries'!R38+'G-32 2005 PILS Recoveries'!R53+'G-32 2005 PILS Recoveries'!R68+'G-32 2005 PILS Recoveries'!R83+'G-32 2005 PILS Recoveries'!R98</f>
        <v>31968.420677031776</v>
      </c>
      <c r="F20" s="152">
        <f>'G-33 2006  PILS Recoveries'!R8+'G-33 2006  PILS Recoveries'!R23+'G-33 2006  PILS Recoveries'!R38+'G-33 2006  PILS Recoveries'!R53+'G-33 2006  PILS Recoveries'!R68+'G-33 2006  PILS Recoveries'!R83+'G-33 2006  PILS Recoveries'!R98</f>
        <v>0</v>
      </c>
    </row>
    <row r="21" spans="1:6" ht="15">
      <c r="A21" s="27" t="s">
        <v>44</v>
      </c>
      <c r="B21" s="147">
        <f>'G-29 2002  PILS Recoveries'!R7+'G-29 2002  PILS Recoveries'!R20+'G-29 2002  PILS Recoveries'!R33+'G-29 2002  PILS Recoveries'!R46+'G-29 2002  PILS Recoveries'!R59+'G-29 2002  PILS Recoveries'!R72+'G-29 2002  PILS Recoveries'!R85</f>
        <v>76114.985503</v>
      </c>
      <c r="C21" s="147">
        <f>'G-30 2003 PILS Recoveries'!R10+'G-30 2003 PILS Recoveries'!R25+'G-30 2003 PILS Recoveries'!R40+'G-30 2003 PILS Recoveries'!R55+'G-30 2003 PILS Recoveries'!R70+'G-30 2003 PILS Recoveries'!R85+'G-30 2003 PILS Recoveries'!R100</f>
        <v>68753.19629437222</v>
      </c>
      <c r="D21" s="147">
        <f>'G-31 2004 PILS Recoveries'!R9+'G-31 2004 PILS Recoveries'!R24+'G-31 2004 PILS Recoveries'!R39+'G-31 2004 PILS Recoveries'!R54+'G-31 2004 PILS Recoveries'!R69+'G-31 2004 PILS Recoveries'!R84+'G-31 2004 PILS Recoveries'!R99</f>
        <v>51941.289244037325</v>
      </c>
      <c r="E21" s="147">
        <f>'G-32 2005 PILS Recoveries'!R9+'G-32 2005 PILS Recoveries'!R24+'G-32 2005 PILS Recoveries'!R39+'G-32 2005 PILS Recoveries'!R54+'G-32 2005 PILS Recoveries'!R69+'G-32 2005 PILS Recoveries'!R84+'G-32 2005 PILS Recoveries'!R99</f>
        <v>35930.544416731995</v>
      </c>
      <c r="F21" s="152">
        <f>'G-33 2006  PILS Recoveries'!R9+'G-33 2006  PILS Recoveries'!R24+'G-33 2006  PILS Recoveries'!R39+'G-33 2006  PILS Recoveries'!R54+'G-33 2006  PILS Recoveries'!R69+'G-33 2006  PILS Recoveries'!R84+'G-33 2006  PILS Recoveries'!R99</f>
        <v>0</v>
      </c>
    </row>
    <row r="22" spans="1:6" ht="15">
      <c r="A22" s="27" t="s">
        <v>45</v>
      </c>
      <c r="B22" s="147">
        <f>'G-29 2002  PILS Recoveries'!R8+'G-29 2002  PILS Recoveries'!R21+'G-29 2002  PILS Recoveries'!R34+'G-29 2002  PILS Recoveries'!R47+'G-29 2002  PILS Recoveries'!R60+'G-29 2002  PILS Recoveries'!R73+'G-29 2002  PILS Recoveries'!R86</f>
        <v>61777.456134</v>
      </c>
      <c r="C22" s="147">
        <f>'G-30 2003 PILS Recoveries'!R11+'G-30 2003 PILS Recoveries'!R26+'G-30 2003 PILS Recoveries'!R41+'G-30 2003 PILS Recoveries'!R56+'G-30 2003 PILS Recoveries'!R71+'G-30 2003 PILS Recoveries'!R86+'G-30 2003 PILS Recoveries'!R101</f>
        <v>75534.87176193071</v>
      </c>
      <c r="D22" s="147">
        <f>'G-31 2004 PILS Recoveries'!R10+'G-31 2004 PILS Recoveries'!R25+'G-31 2004 PILS Recoveries'!R40+'G-31 2004 PILS Recoveries'!R55+'G-31 2004 PILS Recoveries'!R70+'G-31 2004 PILS Recoveries'!R85+'G-31 2004 PILS Recoveries'!R100</f>
        <v>48267.59038681368</v>
      </c>
      <c r="E22" s="147">
        <f>'G-32 2005 PILS Recoveries'!R10+'G-32 2005 PILS Recoveries'!R25+'G-32 2005 PILS Recoveries'!R40+'G-32 2005 PILS Recoveries'!R55+'G-32 2005 PILS Recoveries'!R70+'G-32 2005 PILS Recoveries'!R85+'G-32 2005 PILS Recoveries'!R100</f>
        <v>40880.44518749628</v>
      </c>
      <c r="F22" s="152">
        <f>'G-33 2006  PILS Recoveries'!R10+'G-33 2006  PILS Recoveries'!R25+'G-33 2006  PILS Recoveries'!R40+'G-33 2006  PILS Recoveries'!R55+'G-33 2006  PILS Recoveries'!R70+'G-33 2006  PILS Recoveries'!R85+'G-33 2006  PILS Recoveries'!R100</f>
        <v>0</v>
      </c>
    </row>
    <row r="23" spans="1:6" ht="15">
      <c r="A23" s="27" t="s">
        <v>46</v>
      </c>
      <c r="B23" s="147">
        <f>'G-29 2002  PILS Recoveries'!R9+'G-29 2002  PILS Recoveries'!R22+'G-29 2002  PILS Recoveries'!R35+'G-29 2002  PILS Recoveries'!R48+'G-29 2002  PILS Recoveries'!R61+'G-29 2002  PILS Recoveries'!R74+'G-29 2002  PILS Recoveries'!R87</f>
        <v>106368.396494</v>
      </c>
      <c r="C23" s="147">
        <f>'G-30 2003 PILS Recoveries'!R12+'G-30 2003 PILS Recoveries'!R27+'G-30 2003 PILS Recoveries'!R42+'G-30 2003 PILS Recoveries'!R57+'G-30 2003 PILS Recoveries'!R72+'G-30 2003 PILS Recoveries'!R87+'G-30 2003 PILS Recoveries'!R102</f>
        <v>72860.92047175913</v>
      </c>
      <c r="D23" s="147">
        <f>'G-31 2004 PILS Recoveries'!R11+'G-31 2004 PILS Recoveries'!R26+'G-31 2004 PILS Recoveries'!R41+'G-31 2004 PILS Recoveries'!R56+'G-31 2004 PILS Recoveries'!R71+'G-31 2004 PILS Recoveries'!R86+'G-31 2004 PILS Recoveries'!R101</f>
        <v>54377.61128357651</v>
      </c>
      <c r="E23" s="147">
        <f>'G-32 2005 PILS Recoveries'!R11+'G-32 2005 PILS Recoveries'!R26+'G-32 2005 PILS Recoveries'!R41+'G-32 2005 PILS Recoveries'!R56+'G-32 2005 PILS Recoveries'!R71+'G-32 2005 PILS Recoveries'!R86+'G-32 2005 PILS Recoveries'!R101</f>
        <v>38819.91440670415</v>
      </c>
      <c r="F23" s="152">
        <f>'G-33 2006  PILS Recoveries'!R11+'G-33 2006  PILS Recoveries'!R26+'G-33 2006  PILS Recoveries'!R41+'G-33 2006  PILS Recoveries'!R56+'G-33 2006  PILS Recoveries'!R71+'G-33 2006  PILS Recoveries'!R86+'G-33 2006  PILS Recoveries'!R101</f>
        <v>0</v>
      </c>
    </row>
    <row r="24" spans="1:6" ht="15">
      <c r="A24" s="27" t="s">
        <v>47</v>
      </c>
      <c r="B24" s="147">
        <f>'G-29 2002  PILS Recoveries'!R10+'G-29 2002  PILS Recoveries'!R23+'G-29 2002  PILS Recoveries'!R36+'G-29 2002  PILS Recoveries'!R49+'G-29 2002  PILS Recoveries'!R62+'G-29 2002  PILS Recoveries'!R75+'G-29 2002  PILS Recoveries'!R88</f>
        <v>72063.038072</v>
      </c>
      <c r="C24" s="147">
        <f>'G-30 2003 PILS Recoveries'!R13+'G-30 2003 PILS Recoveries'!R28+'G-30 2003 PILS Recoveries'!R43+'G-30 2003 PILS Recoveries'!R58+'G-30 2003 PILS Recoveries'!R73+'G-30 2003 PILS Recoveries'!R88+'G-30 2003 PILS Recoveries'!R103</f>
        <v>70627.63266960667</v>
      </c>
      <c r="D24" s="147">
        <f>'G-31 2004 PILS Recoveries'!R12+'G-31 2004 PILS Recoveries'!R27+'G-31 2004 PILS Recoveries'!R42+'G-31 2004 PILS Recoveries'!R57+'G-31 2004 PILS Recoveries'!R72+'G-31 2004 PILS Recoveries'!R87+'G-31 2004 PILS Recoveries'!R102</f>
        <v>47059.93593998612</v>
      </c>
      <c r="E24" s="147">
        <f>'G-32 2005 PILS Recoveries'!R12+'G-32 2005 PILS Recoveries'!R27+'G-32 2005 PILS Recoveries'!R42+'G-32 2005 PILS Recoveries'!R57+'G-32 2005 PILS Recoveries'!R72+'G-32 2005 PILS Recoveries'!R87+'G-32 2005 PILS Recoveries'!R102</f>
        <v>35271.62353501786</v>
      </c>
      <c r="F24" s="152">
        <f>'G-33 2006  PILS Recoveries'!R12+'G-33 2006  PILS Recoveries'!R27+'G-33 2006  PILS Recoveries'!R42+'G-33 2006  PILS Recoveries'!R57+'G-33 2006  PILS Recoveries'!R72+'G-33 2006  PILS Recoveries'!R87+'G-33 2006  PILS Recoveries'!R102</f>
        <v>0</v>
      </c>
    </row>
    <row r="25" spans="1:6" ht="15">
      <c r="A25" s="27" t="s">
        <v>48</v>
      </c>
      <c r="B25" s="147">
        <f>'G-29 2002  PILS Recoveries'!R11+'G-29 2002  PILS Recoveries'!R24+'G-29 2002  PILS Recoveries'!R37+'G-29 2002  PILS Recoveries'!R50+'G-29 2002  PILS Recoveries'!R63+'G-29 2002  PILS Recoveries'!R76+'G-29 2002  PILS Recoveries'!R89</f>
        <v>54122.09734100001</v>
      </c>
      <c r="C25" s="147">
        <f>'G-30 2003 PILS Recoveries'!R14+'G-30 2003 PILS Recoveries'!R29+'G-30 2003 PILS Recoveries'!R44+'G-30 2003 PILS Recoveries'!R59+'G-30 2003 PILS Recoveries'!R74+'G-30 2003 PILS Recoveries'!R89+'G-30 2003 PILS Recoveries'!R104</f>
        <v>70798.60310095573</v>
      </c>
      <c r="D25" s="147">
        <f>'G-31 2004 PILS Recoveries'!R13+'G-31 2004 PILS Recoveries'!R28+'G-31 2004 PILS Recoveries'!R43+'G-31 2004 PILS Recoveries'!R58+'G-31 2004 PILS Recoveries'!R73+'G-31 2004 PILS Recoveries'!R88+'G-31 2004 PILS Recoveries'!R103</f>
        <v>49847.48269505798</v>
      </c>
      <c r="E25" s="147">
        <f>'G-32 2005 PILS Recoveries'!R13+'G-32 2005 PILS Recoveries'!R28+'G-32 2005 PILS Recoveries'!R43+'G-32 2005 PILS Recoveries'!R58+'G-32 2005 PILS Recoveries'!R73+'G-32 2005 PILS Recoveries'!R88+'G-32 2005 PILS Recoveries'!R103</f>
        <v>34143.629643135886</v>
      </c>
      <c r="F25" s="152">
        <f>'G-33 2006  PILS Recoveries'!R13+'G-33 2006  PILS Recoveries'!R28+'G-33 2006  PILS Recoveries'!R43+'G-33 2006  PILS Recoveries'!R58+'G-33 2006  PILS Recoveries'!R73+'G-33 2006  PILS Recoveries'!R88+'G-33 2006  PILS Recoveries'!R103</f>
        <v>0</v>
      </c>
    </row>
    <row r="26" spans="1:18" ht="15">
      <c r="A26" s="27" t="s">
        <v>49</v>
      </c>
      <c r="B26" s="147">
        <f>'G-29 2002  PILS Recoveries'!R12+'G-29 2002  PILS Recoveries'!R25+'G-29 2002  PILS Recoveries'!R38+'G-29 2002  PILS Recoveries'!R51+'G-29 2002  PILS Recoveries'!R64+'G-29 2002  PILS Recoveries'!R77+'G-29 2002  PILS Recoveries'!R90</f>
        <v>42081.69572399999</v>
      </c>
      <c r="C26" s="147">
        <f>'G-30 2003 PILS Recoveries'!R15+'G-30 2003 PILS Recoveries'!R30+'G-30 2003 PILS Recoveries'!R45+'G-30 2003 PILS Recoveries'!R60+'G-30 2003 PILS Recoveries'!R75+'G-30 2003 PILS Recoveries'!R90+'G-30 2003 PILS Recoveries'!R105</f>
        <v>70445.26316188365</v>
      </c>
      <c r="D26" s="147">
        <f>'G-31 2004 PILS Recoveries'!R14+'G-31 2004 PILS Recoveries'!R29+'G-31 2004 PILS Recoveries'!R44+'G-31 2004 PILS Recoveries'!R59+'G-31 2004 PILS Recoveries'!R74+'G-31 2004 PILS Recoveries'!R89+'G-31 2004 PILS Recoveries'!R104</f>
        <v>48215.26557034071</v>
      </c>
      <c r="E26" s="147">
        <f>'G-32 2005 PILS Recoveries'!R14+'G-32 2005 PILS Recoveries'!R29+'G-32 2005 PILS Recoveries'!R44+'G-32 2005 PILS Recoveries'!R59+'G-32 2005 PILS Recoveries'!R74+'G-32 2005 PILS Recoveries'!R89+'G-32 2005 PILS Recoveries'!R104</f>
        <v>32231.720127583307</v>
      </c>
      <c r="F26" s="152">
        <f>'G-33 2006  PILS Recoveries'!R14+'G-33 2006  PILS Recoveries'!R29+'G-33 2006  PILS Recoveries'!R44+'G-33 2006  PILS Recoveries'!R59+'G-33 2006  PILS Recoveries'!R74+'G-33 2006  PILS Recoveries'!R89+'G-33 2006  PILS Recoveries'!R104</f>
        <v>0</v>
      </c>
      <c r="L26" s="171"/>
      <c r="M26" s="172"/>
      <c r="N26" s="172"/>
      <c r="O26" s="172"/>
      <c r="P26" s="172"/>
      <c r="Q26" s="172"/>
      <c r="R26" s="172"/>
    </row>
    <row r="27" spans="1:18" ht="15">
      <c r="A27" s="27" t="s">
        <v>38</v>
      </c>
      <c r="B27" s="147">
        <f>'G-29 2002  PILS Recoveries'!R13+'G-29 2002  PILS Recoveries'!R26+'G-29 2002  PILS Recoveries'!R39+'G-29 2002  PILS Recoveries'!R52+'G-29 2002  PILS Recoveries'!R65+'G-29 2002  PILS Recoveries'!R78+'G-29 2002  PILS Recoveries'!R91</f>
        <v>56804.6260025</v>
      </c>
      <c r="C27" s="147">
        <f>'G-30 2003 PILS Recoveries'!R16+'G-30 2003 PILS Recoveries'!R31+'G-30 2003 PILS Recoveries'!R46+'G-30 2003 PILS Recoveries'!R61+'G-30 2003 PILS Recoveries'!R76+'G-30 2003 PILS Recoveries'!R91+'G-30 2003 PILS Recoveries'!R106</f>
        <v>8722.196360740001</v>
      </c>
      <c r="D27" s="147">
        <f>'G-31 2004 PILS Recoveries'!R15+'G-31 2004 PILS Recoveries'!R30+'G-31 2004 PILS Recoveries'!R45+'G-31 2004 PILS Recoveries'!R60+'G-31 2004 PILS Recoveries'!R75+'G-31 2004 PILS Recoveries'!R90+'G-31 2004 PILS Recoveries'!R105</f>
        <v>21622.18075466</v>
      </c>
      <c r="E27" s="147">
        <f>'G-32 2005 PILS Recoveries'!R15+'G-32 2005 PILS Recoveries'!R30+'G-32 2005 PILS Recoveries'!R45+'G-32 2005 PILS Recoveries'!R60+'G-32 2005 PILS Recoveries'!R75+'G-32 2005 PILS Recoveries'!R90+'G-32 2005 PILS Recoveries'!R105</f>
        <v>13581.295461832768</v>
      </c>
      <c r="F27" s="152">
        <f>'G-33 2006  PILS Recoveries'!R15+'G-33 2006  PILS Recoveries'!R30+'G-33 2006  PILS Recoveries'!R45+'G-33 2006  PILS Recoveries'!R60+'G-33 2006  PILS Recoveries'!R75+'G-33 2006  PILS Recoveries'!R90+'G-33 2006  PILS Recoveries'!R105</f>
        <v>-9708.413464714904</v>
      </c>
      <c r="L27" s="171"/>
      <c r="M27" s="173"/>
      <c r="N27" s="173"/>
      <c r="O27" s="173"/>
      <c r="P27" s="173"/>
      <c r="Q27" s="173"/>
      <c r="R27" s="172"/>
    </row>
    <row r="28" spans="1:18" ht="15">
      <c r="A28" s="153" t="s">
        <v>119</v>
      </c>
      <c r="B28" s="148">
        <f>SUM(B15:B27)</f>
        <v>665980.5447885</v>
      </c>
      <c r="C28" s="148">
        <f>SUM(C15:C27)</f>
        <v>895034.0003895237</v>
      </c>
      <c r="D28" s="148">
        <f>SUM(D15:D27)</f>
        <v>687520.4119645659</v>
      </c>
      <c r="E28" s="148">
        <f>SUM(E15:E27)</f>
        <v>493784.3740376022</v>
      </c>
      <c r="F28" s="154">
        <f>SUM(F15:F27)</f>
        <v>140846.61577000213</v>
      </c>
      <c r="L28" s="171"/>
      <c r="M28" s="173"/>
      <c r="N28" s="173"/>
      <c r="O28" s="173"/>
      <c r="P28" s="173"/>
      <c r="Q28" s="173"/>
      <c r="R28" s="172"/>
    </row>
    <row r="29" spans="1:18" ht="15.75" thickBot="1">
      <c r="A29" s="155" t="s">
        <v>120</v>
      </c>
      <c r="B29" s="156">
        <f>B28</f>
        <v>665980.5447885</v>
      </c>
      <c r="C29" s="156">
        <f>C28+B29</f>
        <v>1561014.5451780236</v>
      </c>
      <c r="D29" s="156">
        <f>D28+C29</f>
        <v>2248534.9571425896</v>
      </c>
      <c r="E29" s="156">
        <f>E28+D29</f>
        <v>2742319.3311801916</v>
      </c>
      <c r="F29" s="157">
        <f>F28+E29</f>
        <v>2883165.9469501935</v>
      </c>
      <c r="L29" s="172"/>
      <c r="M29" s="173"/>
      <c r="N29" s="172"/>
      <c r="O29" s="173"/>
      <c r="P29" s="173"/>
      <c r="Q29" s="173"/>
      <c r="R29" s="172"/>
    </row>
    <row r="30" spans="12:18" ht="15">
      <c r="L30" s="172"/>
      <c r="M30" s="172"/>
      <c r="N30" s="172"/>
      <c r="O30" s="173"/>
      <c r="P30" s="172"/>
      <c r="Q30" s="172"/>
      <c r="R30" s="172"/>
    </row>
    <row r="31" spans="12:18" ht="15.75" thickBot="1">
      <c r="L31" s="275"/>
      <c r="M31" s="275"/>
      <c r="N31" s="275"/>
      <c r="O31" s="173"/>
      <c r="P31" s="275"/>
      <c r="Q31" s="275"/>
      <c r="R31" s="275"/>
    </row>
    <row r="32" spans="2:18" ht="15.75" thickBot="1">
      <c r="B32" s="187" t="s">
        <v>125</v>
      </c>
      <c r="C32" s="188"/>
      <c r="D32" s="188"/>
      <c r="E32" s="188"/>
      <c r="F32" s="189"/>
      <c r="G32" s="158"/>
      <c r="L32" s="174"/>
      <c r="M32" s="172"/>
      <c r="N32" s="172"/>
      <c r="O32" s="172"/>
      <c r="P32" s="175"/>
      <c r="Q32" s="175"/>
      <c r="R32" s="175"/>
    </row>
    <row r="33" spans="1:18" ht="15.75" thickBot="1">
      <c r="A33" s="145" t="s">
        <v>124</v>
      </c>
      <c r="B33" s="177" t="s">
        <v>115</v>
      </c>
      <c r="C33" s="177" t="s">
        <v>116</v>
      </c>
      <c r="D33" s="177" t="s">
        <v>123</v>
      </c>
      <c r="E33" s="177" t="s">
        <v>117</v>
      </c>
      <c r="F33" s="177" t="s">
        <v>118</v>
      </c>
      <c r="G33" s="178" t="s">
        <v>11</v>
      </c>
      <c r="L33" s="174"/>
      <c r="M33" s="172"/>
      <c r="N33" s="172"/>
      <c r="O33" s="172"/>
      <c r="P33" s="175"/>
      <c r="Q33" s="175"/>
      <c r="R33" s="175"/>
    </row>
    <row r="34" spans="1:18" ht="15">
      <c r="A34" s="51">
        <v>2002</v>
      </c>
      <c r="B34" s="53">
        <f>'G-29 2002  PILS Recoveries'!J94</f>
        <v>165862.61615800005</v>
      </c>
      <c r="C34" s="53">
        <f>'G-29 2002  PILS Recoveries'!M94</f>
        <v>500117.9286305001</v>
      </c>
      <c r="D34" s="53">
        <f>'G-29 2002  PILS Recoveries'!N94</f>
        <v>0</v>
      </c>
      <c r="E34" s="53"/>
      <c r="F34" s="53"/>
      <c r="G34" s="179">
        <f>SUM(B34:F34)</f>
        <v>665980.5447885002</v>
      </c>
      <c r="L34" s="174"/>
      <c r="M34" s="172"/>
      <c r="N34" s="172"/>
      <c r="O34" s="172"/>
      <c r="P34" s="175"/>
      <c r="Q34" s="175"/>
      <c r="R34" s="175"/>
    </row>
    <row r="35" spans="1:18" ht="15">
      <c r="A35" s="16">
        <v>2003</v>
      </c>
      <c r="B35" s="25">
        <f>'G-30 2003 PILS Recoveries'!J109</f>
        <v>222907.58775461133</v>
      </c>
      <c r="C35" s="25"/>
      <c r="D35" s="25">
        <f>'G-30 2003 PILS Recoveries'!M109</f>
        <v>672126.4126349122</v>
      </c>
      <c r="E35" s="25"/>
      <c r="F35" s="25"/>
      <c r="G35" s="180">
        <f>SUM(B35:F35)</f>
        <v>895034.0003895236</v>
      </c>
      <c r="L35" s="174"/>
      <c r="M35" s="172"/>
      <c r="N35" s="172"/>
      <c r="O35" s="172"/>
      <c r="P35" s="175"/>
      <c r="Q35" s="175"/>
      <c r="R35" s="175"/>
    </row>
    <row r="36" spans="1:18" ht="15">
      <c r="A36" s="16">
        <v>2004</v>
      </c>
      <c r="B36" s="25">
        <f>'G-31 2004 PILS Recoveries'!J108</f>
        <v>57036.372409816126</v>
      </c>
      <c r="C36" s="25"/>
      <c r="D36" s="25">
        <f>'G-31 2004 PILS Recoveries'!M108</f>
        <v>171980.24791498404</v>
      </c>
      <c r="E36" s="25">
        <f>'G-31 2004 PILS Recoveries'!O108</f>
        <v>458503.79163976567</v>
      </c>
      <c r="F36" s="25"/>
      <c r="G36" s="180">
        <f>SUM(B36:F36)</f>
        <v>687520.4119645659</v>
      </c>
      <c r="L36" s="174"/>
      <c r="M36" s="172"/>
      <c r="N36" s="172"/>
      <c r="O36" s="172"/>
      <c r="P36" s="175"/>
      <c r="Q36" s="175"/>
      <c r="R36" s="175"/>
    </row>
    <row r="37" spans="1:18" ht="15">
      <c r="A37" s="16">
        <v>2005</v>
      </c>
      <c r="B37" s="25"/>
      <c r="C37" s="25"/>
      <c r="D37" s="25"/>
      <c r="E37" s="25">
        <f>'G-32 2005 PILS Recoveries'!O108</f>
        <v>164276.60751782052</v>
      </c>
      <c r="F37" s="25">
        <f>'G-32 2005 PILS Recoveries'!Q108</f>
        <v>329507.76651978167</v>
      </c>
      <c r="G37" s="180">
        <f>SUM(B37:F37)</f>
        <v>493784.3740376022</v>
      </c>
      <c r="L37" s="174"/>
      <c r="M37" s="172"/>
      <c r="N37" s="172"/>
      <c r="O37" s="172"/>
      <c r="P37" s="175"/>
      <c r="Q37" s="175"/>
      <c r="R37" s="175"/>
    </row>
    <row r="38" spans="1:18" ht="15.75" thickBot="1">
      <c r="A38" s="52">
        <v>2006</v>
      </c>
      <c r="B38" s="54"/>
      <c r="C38" s="54"/>
      <c r="D38" s="54"/>
      <c r="E38" s="54"/>
      <c r="F38" s="54">
        <f>'G-33 2006  PILS Recoveries'!Q108</f>
        <v>140846.61577000216</v>
      </c>
      <c r="G38" s="181">
        <f>SUM(B38:F38)</f>
        <v>140846.61577000216</v>
      </c>
      <c r="L38" s="174"/>
      <c r="M38" s="172"/>
      <c r="N38" s="172"/>
      <c r="O38" s="172"/>
      <c r="P38" s="175"/>
      <c r="Q38" s="175"/>
      <c r="R38" s="175"/>
    </row>
    <row r="39" spans="1:18" ht="15.75" thickBot="1">
      <c r="A39" s="141" t="s">
        <v>11</v>
      </c>
      <c r="B39" s="142">
        <f aca="true" t="shared" si="1" ref="B39:G39">SUM(B34:B38)</f>
        <v>445806.5763224275</v>
      </c>
      <c r="C39" s="142">
        <f t="shared" si="1"/>
        <v>500117.9286305001</v>
      </c>
      <c r="D39" s="142">
        <f t="shared" si="1"/>
        <v>844106.6605498962</v>
      </c>
      <c r="E39" s="142">
        <f t="shared" si="1"/>
        <v>622780.3991575862</v>
      </c>
      <c r="F39" s="142">
        <f t="shared" si="1"/>
        <v>470354.3822897838</v>
      </c>
      <c r="G39" s="142">
        <f t="shared" si="1"/>
        <v>2883165.946950194</v>
      </c>
      <c r="L39" s="172"/>
      <c r="M39" s="172"/>
      <c r="N39" s="172"/>
      <c r="O39" s="172"/>
      <c r="P39" s="175"/>
      <c r="Q39" s="175"/>
      <c r="R39" s="175"/>
    </row>
    <row r="40" spans="12:18" ht="15">
      <c r="L40" s="172"/>
      <c r="M40" s="172"/>
      <c r="N40" s="172"/>
      <c r="O40" s="173"/>
      <c r="P40" s="172"/>
      <c r="Q40" s="172"/>
      <c r="R40" s="172"/>
    </row>
    <row r="41" spans="12:18" ht="15">
      <c r="L41" s="172"/>
      <c r="M41" s="172"/>
      <c r="N41" s="172"/>
      <c r="O41" s="173"/>
      <c r="P41" s="172"/>
      <c r="Q41" s="172"/>
      <c r="R41" s="172"/>
    </row>
    <row r="42" spans="12:18" ht="15.75" thickBot="1">
      <c r="L42" s="172"/>
      <c r="M42" s="172"/>
      <c r="N42" s="172"/>
      <c r="O42" s="172"/>
      <c r="P42" s="172"/>
      <c r="Q42" s="172"/>
      <c r="R42" s="172"/>
    </row>
    <row r="43" spans="1:16" ht="30.75" thickBot="1">
      <c r="A43" s="145" t="s">
        <v>97</v>
      </c>
      <c r="B43" s="143" t="s">
        <v>114</v>
      </c>
      <c r="C43" s="143" t="s">
        <v>112</v>
      </c>
      <c r="D43" s="143" t="s">
        <v>132</v>
      </c>
      <c r="E43" s="143" t="s">
        <v>133</v>
      </c>
      <c r="F43" s="143" t="s">
        <v>113</v>
      </c>
      <c r="G43" s="143" t="s">
        <v>11</v>
      </c>
      <c r="J43" s="172"/>
      <c r="K43" s="172"/>
      <c r="L43" s="172"/>
      <c r="M43" s="172"/>
      <c r="N43" s="172"/>
      <c r="O43" s="172"/>
      <c r="P43" s="172"/>
    </row>
    <row r="44" spans="1:16" ht="15">
      <c r="A44" s="16" t="s">
        <v>98</v>
      </c>
      <c r="B44" s="28">
        <v>211248</v>
      </c>
      <c r="C44" s="28">
        <v>636831</v>
      </c>
      <c r="D44" s="28"/>
      <c r="E44" s="28"/>
      <c r="F44" s="28"/>
      <c r="G44" s="28">
        <f>SUM(B44:F44)</f>
        <v>848079</v>
      </c>
      <c r="J44" s="174"/>
      <c r="K44" s="172"/>
      <c r="L44" s="172"/>
      <c r="M44" s="172"/>
      <c r="N44" s="175"/>
      <c r="O44" s="175"/>
      <c r="P44" s="175"/>
    </row>
    <row r="45" spans="1:16" ht="15">
      <c r="A45" s="16" t="s">
        <v>99</v>
      </c>
      <c r="B45" s="29">
        <v>211248</v>
      </c>
      <c r="C45" s="29"/>
      <c r="D45" s="29">
        <v>636831</v>
      </c>
      <c r="E45" s="29"/>
      <c r="F45" s="29"/>
      <c r="G45" s="29">
        <f>SUM(B45:F45)</f>
        <v>848079</v>
      </c>
      <c r="J45" s="174"/>
      <c r="K45" s="172"/>
      <c r="L45" s="172"/>
      <c r="M45" s="172"/>
      <c r="N45" s="175"/>
      <c r="O45" s="175"/>
      <c r="P45" s="175"/>
    </row>
    <row r="46" spans="1:16" ht="15">
      <c r="A46" s="16" t="s">
        <v>100</v>
      </c>
      <c r="B46" s="29">
        <f>211248/12*3</f>
        <v>52812</v>
      </c>
      <c r="C46" s="29"/>
      <c r="D46" s="29"/>
      <c r="E46" s="29">
        <v>636831</v>
      </c>
      <c r="F46" s="29"/>
      <c r="G46" s="29">
        <f>SUM(B46:F46)</f>
        <v>689643</v>
      </c>
      <c r="J46" s="174"/>
      <c r="K46" s="172"/>
      <c r="L46" s="172"/>
      <c r="M46" s="172"/>
      <c r="N46" s="175"/>
      <c r="O46" s="175"/>
      <c r="P46" s="175"/>
    </row>
    <row r="47" spans="1:16" ht="15.75" thickBot="1">
      <c r="A47" s="16" t="s">
        <v>101</v>
      </c>
      <c r="B47" s="29"/>
      <c r="C47" s="29"/>
      <c r="D47" s="29"/>
      <c r="E47" s="29">
        <f>636831/12*3</f>
        <v>159207.75</v>
      </c>
      <c r="F47" s="29">
        <f>447730/12*13</f>
        <v>485040.8333333334</v>
      </c>
      <c r="G47" s="29">
        <f>SUM(B47:F47)</f>
        <v>644248.5833333334</v>
      </c>
      <c r="J47" s="172"/>
      <c r="K47" s="172"/>
      <c r="L47" s="172"/>
      <c r="M47" s="172"/>
      <c r="N47" s="175"/>
      <c r="O47" s="175"/>
      <c r="P47" s="175"/>
    </row>
    <row r="48" spans="1:16" ht="15.75" thickBot="1">
      <c r="A48" s="141" t="s">
        <v>11</v>
      </c>
      <c r="B48" s="142">
        <f aca="true" t="shared" si="2" ref="B48:G48">SUM(B44:B47)</f>
        <v>475308</v>
      </c>
      <c r="C48" s="142">
        <f t="shared" si="2"/>
        <v>636831</v>
      </c>
      <c r="D48" s="142">
        <f t="shared" si="2"/>
        <v>636831</v>
      </c>
      <c r="E48" s="142">
        <f t="shared" si="2"/>
        <v>796038.75</v>
      </c>
      <c r="F48" s="142">
        <f t="shared" si="2"/>
        <v>485040.8333333334</v>
      </c>
      <c r="G48" s="142">
        <f t="shared" si="2"/>
        <v>3030049.5833333335</v>
      </c>
      <c r="J48" s="174"/>
      <c r="K48" s="172"/>
      <c r="L48" s="172"/>
      <c r="M48" s="172"/>
      <c r="N48" s="175"/>
      <c r="O48" s="175"/>
      <c r="P48" s="175"/>
    </row>
    <row r="49" spans="2:18" ht="15">
      <c r="B49" s="26"/>
      <c r="C49" s="26"/>
      <c r="D49" s="26"/>
      <c r="E49" s="26"/>
      <c r="F49" s="26"/>
      <c r="L49" s="172"/>
      <c r="M49" s="172"/>
      <c r="N49" s="172"/>
      <c r="O49" s="172"/>
      <c r="P49" s="175"/>
      <c r="Q49" s="175"/>
      <c r="R49" s="175"/>
    </row>
    <row r="50" spans="12:18" ht="15.75" customHeight="1" hidden="1">
      <c r="L50" s="172"/>
      <c r="M50" s="172"/>
      <c r="N50" s="172"/>
      <c r="O50" s="172"/>
      <c r="P50" s="175"/>
      <c r="Q50" s="175"/>
      <c r="R50" s="175"/>
    </row>
    <row r="51" spans="12:18" ht="12" customHeight="1" hidden="1">
      <c r="L51" s="172"/>
      <c r="M51" s="172"/>
      <c r="N51" s="172"/>
      <c r="O51" s="172"/>
      <c r="P51" s="175"/>
      <c r="Q51" s="175"/>
      <c r="R51" s="175"/>
    </row>
    <row r="52" spans="1:18" ht="30.75" hidden="1" thickBot="1">
      <c r="A52" s="145" t="s">
        <v>134</v>
      </c>
      <c r="B52" s="144" t="s">
        <v>105</v>
      </c>
      <c r="C52" s="144" t="s">
        <v>106</v>
      </c>
      <c r="D52" s="144" t="s">
        <v>107</v>
      </c>
      <c r="E52" s="144" t="s">
        <v>108</v>
      </c>
      <c r="F52" s="144" t="s">
        <v>109</v>
      </c>
      <c r="G52" s="144" t="s">
        <v>11</v>
      </c>
      <c r="L52" s="174"/>
      <c r="M52" s="172"/>
      <c r="N52" s="172"/>
      <c r="O52" s="172"/>
      <c r="P52" s="175"/>
      <c r="Q52" s="175"/>
      <c r="R52" s="175"/>
    </row>
    <row r="53" spans="1:18" ht="15" hidden="1">
      <c r="A53" s="191" t="s">
        <v>131</v>
      </c>
      <c r="B53" s="192">
        <f>B48</f>
        <v>475308</v>
      </c>
      <c r="C53" s="192">
        <f>C48</f>
        <v>636831</v>
      </c>
      <c r="D53" s="192">
        <f>D48</f>
        <v>636831</v>
      </c>
      <c r="E53" s="192">
        <f>E48</f>
        <v>796038.75</v>
      </c>
      <c r="F53" s="192">
        <f>F48</f>
        <v>485040.8333333334</v>
      </c>
      <c r="G53" s="193">
        <f>SUM(B53:F53)</f>
        <v>3030049.5833333335</v>
      </c>
      <c r="L53" s="174"/>
      <c r="M53" s="172"/>
      <c r="N53" s="172"/>
      <c r="O53" s="172"/>
      <c r="P53" s="175"/>
      <c r="Q53" s="175"/>
      <c r="R53" s="175"/>
    </row>
    <row r="54" spans="1:18" ht="15" hidden="1">
      <c r="A54" s="182" t="s">
        <v>126</v>
      </c>
      <c r="B54" s="183">
        <f>B39</f>
        <v>445806.5763224275</v>
      </c>
      <c r="C54" s="183">
        <f>C39</f>
        <v>500117.9286305001</v>
      </c>
      <c r="D54" s="183">
        <f>D39</f>
        <v>844106.6605498962</v>
      </c>
      <c r="E54" s="183">
        <f>E39</f>
        <v>622780.3991575862</v>
      </c>
      <c r="F54" s="183">
        <f>F39</f>
        <v>470354.3822897838</v>
      </c>
      <c r="G54" s="184">
        <f>SUM(B54:F54)</f>
        <v>2883165.9469501935</v>
      </c>
      <c r="L54" s="174"/>
      <c r="M54" s="172"/>
      <c r="N54" s="172"/>
      <c r="O54" s="172"/>
      <c r="P54" s="175"/>
      <c r="Q54" s="175"/>
      <c r="R54" s="175"/>
    </row>
    <row r="55" spans="1:18" ht="30.75" hidden="1" thickBot="1">
      <c r="A55" s="185" t="s">
        <v>146</v>
      </c>
      <c r="B55" s="186">
        <f aca="true" t="shared" si="3" ref="B55:G55">B53-B54</f>
        <v>29501.423677572515</v>
      </c>
      <c r="C55" s="186">
        <f t="shared" si="3"/>
        <v>136713.0713694999</v>
      </c>
      <c r="D55" s="186">
        <f t="shared" si="3"/>
        <v>-207275.6605498962</v>
      </c>
      <c r="E55" s="186">
        <f t="shared" si="3"/>
        <v>173258.35084241384</v>
      </c>
      <c r="F55" s="186">
        <f t="shared" si="3"/>
        <v>14686.451043549576</v>
      </c>
      <c r="G55" s="186">
        <f t="shared" si="3"/>
        <v>146883.63638314</v>
      </c>
      <c r="L55" s="174"/>
      <c r="M55" s="172"/>
      <c r="N55" s="172"/>
      <c r="O55" s="172"/>
      <c r="P55" s="175"/>
      <c r="Q55" s="175"/>
      <c r="R55" s="175"/>
    </row>
    <row r="56" spans="12:18" ht="15">
      <c r="L56" s="174"/>
      <c r="M56" s="172"/>
      <c r="N56" s="172"/>
      <c r="O56" s="172"/>
      <c r="P56" s="175"/>
      <c r="Q56" s="175"/>
      <c r="R56" s="175"/>
    </row>
    <row r="57" spans="1:18" s="1" customFormat="1" ht="45">
      <c r="A57" s="295" t="s">
        <v>151</v>
      </c>
      <c r="B57" s="274"/>
      <c r="C57" s="273" t="s">
        <v>152</v>
      </c>
      <c r="D57" s="272" t="s">
        <v>153</v>
      </c>
      <c r="E57" s="273" t="s">
        <v>142</v>
      </c>
      <c r="L57" s="269"/>
      <c r="M57" s="269"/>
      <c r="N57" s="269"/>
      <c r="O57" s="269"/>
      <c r="P57" s="270"/>
      <c r="Q57" s="270"/>
      <c r="R57" s="270"/>
    </row>
    <row r="58" spans="1:18" s="18" customFormat="1" ht="15">
      <c r="A58" s="262" t="s">
        <v>129</v>
      </c>
      <c r="B58" s="263"/>
      <c r="C58" s="264">
        <f>'G-34a Principal trueup'!N68</f>
        <v>204281.47857060714</v>
      </c>
      <c r="D58" s="271">
        <f>'G-34a Principal trueup'!H68</f>
        <v>240524.15999999997</v>
      </c>
      <c r="E58" s="267">
        <f>C58-D58</f>
        <v>-36242.68142939283</v>
      </c>
      <c r="L58" s="172"/>
      <c r="M58" s="172"/>
      <c r="N58" s="172"/>
      <c r="O58" s="172"/>
      <c r="P58" s="175"/>
      <c r="Q58" s="175"/>
      <c r="R58" s="175"/>
    </row>
    <row r="59" spans="1:18" ht="15">
      <c r="A59" s="70" t="s">
        <v>130</v>
      </c>
      <c r="B59" s="3"/>
      <c r="C59" s="88">
        <f>'G-34b Interest Trueup'!K65</f>
        <v>31639.921507950163</v>
      </c>
      <c r="D59" s="246">
        <f>'G-34b Interest Trueup'!E161</f>
        <v>34156.09000000001</v>
      </c>
      <c r="E59" s="267">
        <f>C59-D59</f>
        <v>-2516.1684920498483</v>
      </c>
      <c r="L59" s="289"/>
      <c r="M59" s="290"/>
      <c r="N59" s="290"/>
      <c r="O59" s="290"/>
      <c r="P59" s="290"/>
      <c r="Q59" s="172"/>
      <c r="R59" s="172"/>
    </row>
    <row r="60" spans="1:18" ht="15">
      <c r="A60" s="253" t="s">
        <v>147</v>
      </c>
      <c r="B60" s="257"/>
      <c r="C60" s="265">
        <f>C58+C59</f>
        <v>235921.40007855732</v>
      </c>
      <c r="D60" s="268">
        <f>D58+D59</f>
        <v>274680.25</v>
      </c>
      <c r="E60" s="265">
        <f>E58+E59</f>
        <v>-38758.849921442685</v>
      </c>
      <c r="L60" s="289"/>
      <c r="M60" s="290"/>
      <c r="N60" s="290"/>
      <c r="O60" s="290"/>
      <c r="P60" s="290"/>
      <c r="Q60" s="290"/>
      <c r="R60" s="172"/>
    </row>
    <row r="61" spans="1:18" ht="15">
      <c r="A61" s="70" t="s">
        <v>148</v>
      </c>
      <c r="B61" s="87"/>
      <c r="C61" s="88">
        <f>'G-34b Interest Trueup'!K162+'G-34b Interest Trueup'!K163</f>
        <v>31842.375472193427</v>
      </c>
      <c r="L61" s="289"/>
      <c r="M61" s="290"/>
      <c r="N61" s="290"/>
      <c r="O61" s="290"/>
      <c r="P61" s="290"/>
      <c r="Q61" s="290"/>
      <c r="R61" s="172"/>
    </row>
    <row r="62" spans="1:18" ht="15">
      <c r="A62" s="249" t="s">
        <v>149</v>
      </c>
      <c r="B62" s="250"/>
      <c r="C62" s="266">
        <f>C60+C61</f>
        <v>267763.7755507507</v>
      </c>
      <c r="L62" s="174"/>
      <c r="M62" s="172"/>
      <c r="N62" s="172"/>
      <c r="O62" s="172"/>
      <c r="P62" s="172"/>
      <c r="Q62" s="172"/>
      <c r="R62" s="172"/>
    </row>
    <row r="63" ht="15">
      <c r="B63" s="83"/>
    </row>
    <row r="65" spans="1:3" ht="15">
      <c r="A65" s="291" t="s">
        <v>154</v>
      </c>
      <c r="B65" s="292"/>
      <c r="C65" s="293">
        <v>305720.82</v>
      </c>
    </row>
    <row r="66" spans="1:3" ht="15">
      <c r="A66" s="70" t="s">
        <v>155</v>
      </c>
      <c r="B66" s="3"/>
      <c r="C66" s="88">
        <f>C62</f>
        <v>267763.7755507507</v>
      </c>
    </row>
    <row r="67" spans="1:3" ht="15">
      <c r="A67" s="55" t="s">
        <v>142</v>
      </c>
      <c r="B67" s="197"/>
      <c r="C67" s="90">
        <f>C66-C65</f>
        <v>-37957.04444924928</v>
      </c>
    </row>
    <row r="69" spans="2:6" ht="15">
      <c r="B69" s="26"/>
      <c r="C69" s="26"/>
      <c r="D69" s="26"/>
      <c r="E69" s="26"/>
      <c r="F69" s="26"/>
    </row>
  </sheetData>
  <sheetProtection/>
  <mergeCells count="3">
    <mergeCell ref="L59:P59"/>
    <mergeCell ref="L60:Q60"/>
    <mergeCell ref="L61:Q61"/>
  </mergeCells>
  <printOptions/>
  <pageMargins left="0.45" right="0.45" top="0.75" bottom="0.75" header="0.3" footer="0.3"/>
  <pageSetup fitToHeight="1" fitToWidth="1" horizontalDpi="600" verticalDpi="600" orientation="portrait" scale="77" r:id="rId1"/>
  <headerFooter>
    <oddHeader>&amp;C&amp;F &amp;A&amp;RWoodstock Hydro
EB-2011-0207
September 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zoomScalePageLayoutView="0" workbookViewId="0" topLeftCell="A1">
      <selection activeCell="U36" sqref="U36"/>
    </sheetView>
  </sheetViews>
  <sheetFormatPr defaultColWidth="9.140625" defaultRowHeight="15"/>
  <cols>
    <col min="1" max="1" width="11.8515625" style="0" customWidth="1"/>
    <col min="2" max="2" width="10.28125" style="109" bestFit="1" customWidth="1"/>
    <col min="3" max="7" width="13.28125" style="0" bestFit="1" customWidth="1"/>
    <col min="8" max="8" width="1.7109375" style="0" customWidth="1"/>
    <col min="9" max="9" width="0.5625" style="0" customWidth="1"/>
    <col min="10" max="10" width="8.8515625" style="0" customWidth="1"/>
    <col min="11" max="11" width="10.421875" style="0" bestFit="1" customWidth="1"/>
    <col min="12" max="15" width="8.00390625" style="0" bestFit="1" customWidth="1"/>
    <col min="16" max="16" width="7.7109375" style="0" bestFit="1" customWidth="1"/>
    <col min="19" max="19" width="10.421875" style="0" bestFit="1" customWidth="1"/>
  </cols>
  <sheetData>
    <row r="1" spans="3:7" ht="15">
      <c r="C1" s="76"/>
      <c r="D1" s="76"/>
      <c r="E1" s="76"/>
      <c r="F1" s="76"/>
      <c r="G1" s="76"/>
    </row>
    <row r="2" spans="1:16" ht="15">
      <c r="A2" s="80" t="s">
        <v>37</v>
      </c>
      <c r="B2" s="110"/>
      <c r="C2" s="73"/>
      <c r="D2" s="78" t="s">
        <v>30</v>
      </c>
      <c r="E2" s="79"/>
      <c r="F2" s="79"/>
      <c r="G2" s="77"/>
      <c r="J2" s="80" t="s">
        <v>52</v>
      </c>
      <c r="K2" s="79"/>
      <c r="L2" s="73"/>
      <c r="M2" s="78" t="s">
        <v>30</v>
      </c>
      <c r="N2" s="79"/>
      <c r="O2" s="79"/>
      <c r="P2" s="77"/>
    </row>
    <row r="3" spans="1:17" ht="15">
      <c r="A3" s="81" t="s">
        <v>31</v>
      </c>
      <c r="B3" s="111" t="s">
        <v>32</v>
      </c>
      <c r="C3" s="81">
        <v>2002</v>
      </c>
      <c r="D3" s="81">
        <v>2003</v>
      </c>
      <c r="E3" s="81">
        <v>2004</v>
      </c>
      <c r="F3" s="81">
        <v>2005</v>
      </c>
      <c r="G3" s="81">
        <v>2006</v>
      </c>
      <c r="J3" s="81" t="s">
        <v>31</v>
      </c>
      <c r="K3" s="81" t="s">
        <v>32</v>
      </c>
      <c r="L3" s="81">
        <v>2002</v>
      </c>
      <c r="M3" s="81">
        <v>2003</v>
      </c>
      <c r="N3" s="81">
        <v>2004</v>
      </c>
      <c r="O3" s="81">
        <v>2005</v>
      </c>
      <c r="P3" s="81">
        <v>2006</v>
      </c>
      <c r="Q3" s="31"/>
    </row>
    <row r="4" spans="1:17" ht="15">
      <c r="A4" s="34" t="s">
        <v>39</v>
      </c>
      <c r="B4" s="112" t="s">
        <v>33</v>
      </c>
      <c r="C4" s="34"/>
      <c r="D4" s="36">
        <v>12558869.456093362</v>
      </c>
      <c r="E4" s="36">
        <v>9615365.332603287</v>
      </c>
      <c r="F4" s="36">
        <v>9721998.966942925</v>
      </c>
      <c r="G4" s="36">
        <v>9725752.59252654</v>
      </c>
      <c r="J4" s="34" t="s">
        <v>39</v>
      </c>
      <c r="K4" s="34" t="s">
        <v>53</v>
      </c>
      <c r="L4" s="34"/>
      <c r="M4" s="36">
        <v>59049.479999999996</v>
      </c>
      <c r="N4" s="36">
        <v>44110.62</v>
      </c>
      <c r="O4" s="36">
        <v>44918.83</v>
      </c>
      <c r="P4" s="36">
        <v>50140.89</v>
      </c>
      <c r="Q4" s="11"/>
    </row>
    <row r="5" spans="1:17" ht="15">
      <c r="A5" s="34" t="s">
        <v>40</v>
      </c>
      <c r="B5" s="112" t="s">
        <v>33</v>
      </c>
      <c r="C5" s="34"/>
      <c r="D5" s="36">
        <v>9674903.140807346</v>
      </c>
      <c r="E5" s="36">
        <v>9873460.203717694</v>
      </c>
      <c r="F5" s="36">
        <v>10181795.189337686</v>
      </c>
      <c r="G5" s="36">
        <v>11276205.73857794</v>
      </c>
      <c r="J5" s="34" t="s">
        <v>40</v>
      </c>
      <c r="K5" s="34" t="s">
        <v>53</v>
      </c>
      <c r="L5" s="34"/>
      <c r="M5" s="36">
        <v>44687.21</v>
      </c>
      <c r="N5" s="36">
        <v>36962.399999999994</v>
      </c>
      <c r="O5" s="36">
        <v>45667.72</v>
      </c>
      <c r="P5" s="36">
        <v>46736.259999999995</v>
      </c>
      <c r="Q5" s="11"/>
    </row>
    <row r="6" spans="1:17" ht="15">
      <c r="A6" s="34" t="s">
        <v>41</v>
      </c>
      <c r="B6" s="112" t="s">
        <v>33</v>
      </c>
      <c r="C6" s="47">
        <v>3964236</v>
      </c>
      <c r="D6" s="36">
        <v>10317201.988329826</v>
      </c>
      <c r="E6" s="36">
        <v>11432945.218078936</v>
      </c>
      <c r="F6" s="36">
        <v>8620621.597979633</v>
      </c>
      <c r="G6" s="36">
        <v>8794472.951704111</v>
      </c>
      <c r="J6" s="34" t="s">
        <v>41</v>
      </c>
      <c r="K6" s="34" t="s">
        <v>53</v>
      </c>
      <c r="L6" s="47">
        <v>10525</v>
      </c>
      <c r="M6" s="36">
        <v>67782</v>
      </c>
      <c r="N6" s="36">
        <v>51530.2</v>
      </c>
      <c r="O6" s="36">
        <v>44940.5</v>
      </c>
      <c r="P6" s="36">
        <v>46891.97</v>
      </c>
      <c r="Q6" s="11"/>
    </row>
    <row r="7" spans="1:17" ht="15">
      <c r="A7" s="34" t="s">
        <v>42</v>
      </c>
      <c r="B7" s="112" t="s">
        <v>33</v>
      </c>
      <c r="C7" s="47">
        <v>8177457</v>
      </c>
      <c r="D7" s="36">
        <v>7819837.180464894</v>
      </c>
      <c r="E7" s="36">
        <v>6419228.604348388</v>
      </c>
      <c r="F7" s="36">
        <v>8927121.429983482</v>
      </c>
      <c r="G7" s="36">
        <f>7785524.09401681</f>
        <v>7785524.09401681</v>
      </c>
      <c r="J7" s="34" t="s">
        <v>42</v>
      </c>
      <c r="K7" s="34" t="s">
        <v>53</v>
      </c>
      <c r="L7" s="47">
        <v>39022</v>
      </c>
      <c r="M7" s="36">
        <v>45185.19</v>
      </c>
      <c r="N7" s="36">
        <v>44209.83</v>
      </c>
      <c r="O7" s="36">
        <v>45836.65000000001</v>
      </c>
      <c r="P7" s="36">
        <v>47023.42999999999</v>
      </c>
      <c r="Q7" s="11"/>
    </row>
    <row r="8" spans="1:17" ht="15">
      <c r="A8" s="34" t="s">
        <v>35</v>
      </c>
      <c r="B8" s="112" t="s">
        <v>33</v>
      </c>
      <c r="C8" s="47">
        <v>6109936</v>
      </c>
      <c r="D8" s="36">
        <v>7391424.294815382</v>
      </c>
      <c r="E8" s="36">
        <v>7963154.81963865</v>
      </c>
      <c r="F8" s="36">
        <v>7267550.736226651</v>
      </c>
      <c r="G8" s="36"/>
      <c r="J8" s="34" t="s">
        <v>35</v>
      </c>
      <c r="K8" s="34" t="s">
        <v>53</v>
      </c>
      <c r="L8" s="47">
        <v>43984</v>
      </c>
      <c r="M8" s="36">
        <v>44046.08</v>
      </c>
      <c r="N8" s="36">
        <v>43505.82</v>
      </c>
      <c r="O8" s="36">
        <v>45423.97</v>
      </c>
      <c r="P8" s="36"/>
      <c r="Q8" s="11"/>
    </row>
    <row r="9" spans="1:17" ht="15">
      <c r="A9" s="34" t="s">
        <v>43</v>
      </c>
      <c r="B9" s="112" t="s">
        <v>33</v>
      </c>
      <c r="C9" s="47">
        <v>4702239</v>
      </c>
      <c r="D9" s="36">
        <v>7250980.248517314</v>
      </c>
      <c r="E9" s="36">
        <v>6900427.2783936</v>
      </c>
      <c r="F9" s="36">
        <v>7527523.248814206</v>
      </c>
      <c r="G9" s="36"/>
      <c r="J9" s="34" t="s">
        <v>43</v>
      </c>
      <c r="K9" s="34" t="s">
        <v>53</v>
      </c>
      <c r="L9" s="47">
        <v>27781</v>
      </c>
      <c r="M9" s="36">
        <v>43474.91</v>
      </c>
      <c r="N9" s="36">
        <v>45128.28</v>
      </c>
      <c r="O9" s="36">
        <v>46841.61</v>
      </c>
      <c r="P9" s="36"/>
      <c r="Q9" s="11"/>
    </row>
    <row r="10" spans="1:17" ht="15">
      <c r="A10" s="34" t="s">
        <v>44</v>
      </c>
      <c r="B10" s="112" t="s">
        <v>33</v>
      </c>
      <c r="C10" s="47">
        <v>10587584</v>
      </c>
      <c r="D10" s="36">
        <v>7136537.835278362</v>
      </c>
      <c r="E10" s="36">
        <v>8679472.335706528</v>
      </c>
      <c r="F10" s="36">
        <v>8526281.553687623</v>
      </c>
      <c r="G10" s="36"/>
      <c r="J10" s="34" t="s">
        <v>44</v>
      </c>
      <c r="K10" s="34" t="s">
        <v>53</v>
      </c>
      <c r="L10" s="47">
        <v>29179</v>
      </c>
      <c r="M10" s="36">
        <v>45683.399999999994</v>
      </c>
      <c r="N10" s="36">
        <v>46263.28</v>
      </c>
      <c r="O10" s="36">
        <v>50208.16</v>
      </c>
      <c r="P10" s="36"/>
      <c r="Q10" s="11"/>
    </row>
    <row r="11" spans="1:17" ht="15">
      <c r="A11" s="34" t="s">
        <v>45</v>
      </c>
      <c r="B11" s="112" t="s">
        <v>33</v>
      </c>
      <c r="C11" s="47">
        <v>10401651</v>
      </c>
      <c r="D11" s="36">
        <v>9551403.414769467</v>
      </c>
      <c r="E11" s="36">
        <v>7658391.371935493</v>
      </c>
      <c r="F11" s="36">
        <v>10908968.598132815</v>
      </c>
      <c r="G11" s="36"/>
      <c r="J11" s="34" t="s">
        <v>45</v>
      </c>
      <c r="K11" s="34" t="s">
        <v>53</v>
      </c>
      <c r="L11" s="47">
        <v>25034</v>
      </c>
      <c r="M11" s="36">
        <v>46793.66</v>
      </c>
      <c r="N11" s="36">
        <v>45987.61</v>
      </c>
      <c r="O11" s="36">
        <v>48168.1</v>
      </c>
      <c r="P11" s="36"/>
      <c r="Q11" s="11"/>
    </row>
    <row r="12" spans="1:17" ht="15">
      <c r="A12" s="34" t="s">
        <v>46</v>
      </c>
      <c r="B12" s="112" t="s">
        <v>33</v>
      </c>
      <c r="C12" s="47">
        <v>13749814</v>
      </c>
      <c r="D12" s="36">
        <v>8583563.475607423</v>
      </c>
      <c r="E12" s="36">
        <v>9363478.47377242</v>
      </c>
      <c r="F12" s="36">
        <v>9941633.545955423</v>
      </c>
      <c r="G12" s="36"/>
      <c r="J12" s="34" t="s">
        <v>46</v>
      </c>
      <c r="K12" s="34" t="s">
        <v>53</v>
      </c>
      <c r="L12" s="47">
        <v>52990</v>
      </c>
      <c r="M12" s="36">
        <v>48194.25</v>
      </c>
      <c r="N12" s="36">
        <v>46153.64</v>
      </c>
      <c r="O12" s="36">
        <v>49120.53999999999</v>
      </c>
      <c r="P12" s="36"/>
      <c r="Q12" s="11"/>
    </row>
    <row r="13" spans="1:17" ht="15">
      <c r="A13" s="34" t="s">
        <v>47</v>
      </c>
      <c r="B13" s="112" t="s">
        <v>33</v>
      </c>
      <c r="C13" s="47">
        <v>6859862</v>
      </c>
      <c r="D13" s="36">
        <v>8159451.939735986</v>
      </c>
      <c r="E13" s="36">
        <v>7427831.541574553</v>
      </c>
      <c r="F13" s="36">
        <v>8408384.62172909</v>
      </c>
      <c r="G13" s="36"/>
      <c r="J13" s="34" t="s">
        <v>47</v>
      </c>
      <c r="K13" s="34" t="s">
        <v>53</v>
      </c>
      <c r="L13" s="47">
        <v>33715</v>
      </c>
      <c r="M13" s="36">
        <v>45637.85</v>
      </c>
      <c r="N13" s="36">
        <v>46293.42</v>
      </c>
      <c r="O13" s="36">
        <v>52515.75</v>
      </c>
      <c r="P13" s="36"/>
      <c r="Q13" s="11"/>
    </row>
    <row r="14" spans="1:17" ht="15">
      <c r="A14" s="34" t="s">
        <v>48</v>
      </c>
      <c r="B14" s="112" t="s">
        <v>33</v>
      </c>
      <c r="C14" s="47">
        <v>6502462</v>
      </c>
      <c r="D14" s="36">
        <v>8101934.475224794</v>
      </c>
      <c r="E14" s="36">
        <v>8460195.839137875</v>
      </c>
      <c r="F14" s="36">
        <v>8236347.899787123</v>
      </c>
      <c r="G14" s="36"/>
      <c r="J14" s="34" t="s">
        <v>48</v>
      </c>
      <c r="K14" s="34" t="s">
        <v>53</v>
      </c>
      <c r="L14" s="47">
        <v>30269</v>
      </c>
      <c r="M14" s="36">
        <v>44636.770000000004</v>
      </c>
      <c r="N14" s="36">
        <v>45207.11</v>
      </c>
      <c r="O14" s="36">
        <v>51056.119999999995</v>
      </c>
      <c r="P14" s="36"/>
      <c r="Q14" s="11"/>
    </row>
    <row r="15" spans="1:17" ht="15">
      <c r="A15" s="34" t="s">
        <v>49</v>
      </c>
      <c r="B15" s="112" t="s">
        <v>33</v>
      </c>
      <c r="C15" s="47">
        <v>9111356</v>
      </c>
      <c r="D15" s="36">
        <v>8249937.917926152</v>
      </c>
      <c r="E15" s="36">
        <v>7784466.856822956</v>
      </c>
      <c r="F15" s="36">
        <v>7408788.221003642</v>
      </c>
      <c r="G15" s="36"/>
      <c r="J15" s="34" t="s">
        <v>49</v>
      </c>
      <c r="K15" s="34" t="s">
        <v>53</v>
      </c>
      <c r="L15" s="47">
        <v>5601</v>
      </c>
      <c r="M15" s="36">
        <v>44382.880000000005</v>
      </c>
      <c r="N15" s="36">
        <v>44626.53999999999</v>
      </c>
      <c r="O15" s="36">
        <v>50594.88</v>
      </c>
      <c r="P15" s="36"/>
      <c r="Q15" s="11"/>
    </row>
    <row r="16" spans="1:17" ht="15">
      <c r="A16" s="34" t="s">
        <v>38</v>
      </c>
      <c r="B16" s="112" t="s">
        <v>33</v>
      </c>
      <c r="C16" s="47">
        <v>6493585.5</v>
      </c>
      <c r="D16" s="47">
        <v>4430975</v>
      </c>
      <c r="E16" s="47">
        <v>4689542</v>
      </c>
      <c r="F16" s="47">
        <v>4060279.9519999996</v>
      </c>
      <c r="G16" s="47">
        <v>-3032209.0909090876</v>
      </c>
      <c r="J16" s="34" t="s">
        <v>38</v>
      </c>
      <c r="K16" s="34" t="s">
        <v>53</v>
      </c>
      <c r="L16" s="47">
        <v>21408</v>
      </c>
      <c r="M16" s="36">
        <f>N4-M4</f>
        <v>-14938.859999999993</v>
      </c>
      <c r="N16" s="36">
        <f>O4-N4</f>
        <v>808.2099999999991</v>
      </c>
      <c r="O16" s="36">
        <f>P4-O4</f>
        <v>5222.059999999998</v>
      </c>
      <c r="P16" s="47">
        <v>-1762.7988458367736</v>
      </c>
      <c r="Q16" s="11"/>
    </row>
    <row r="17" spans="1:17" ht="15">
      <c r="A17" s="48" t="s">
        <v>11</v>
      </c>
      <c r="B17" s="113"/>
      <c r="C17" s="49">
        <f>SUM(C4:C16)</f>
        <v>86660182.5</v>
      </c>
      <c r="D17" s="49">
        <f>SUM(D4:D16)</f>
        <v>109227020.3675703</v>
      </c>
      <c r="E17" s="49">
        <f>SUM(E4:E16)</f>
        <v>106267959.87573038</v>
      </c>
      <c r="F17" s="49">
        <f>SUM(F4:F16)</f>
        <v>109737295.5615803</v>
      </c>
      <c r="G17" s="49">
        <f>SUM(G4:G16)</f>
        <v>34549746.28591631</v>
      </c>
      <c r="J17" s="48" t="s">
        <v>11</v>
      </c>
      <c r="K17" s="48"/>
      <c r="L17" s="49">
        <f>SUM(L4:L16)</f>
        <v>319508</v>
      </c>
      <c r="M17" s="49">
        <f>SUM(M4:M16)</f>
        <v>564614.8200000001</v>
      </c>
      <c r="N17" s="49">
        <f>SUM(N4:N16)</f>
        <v>540786.96</v>
      </c>
      <c r="O17" s="49">
        <f>SUM(O4:O15)</f>
        <v>575292.83</v>
      </c>
      <c r="P17" s="49">
        <f>SUM(P4:P16)</f>
        <v>189029.7511541632</v>
      </c>
      <c r="Q17" s="11"/>
    </row>
    <row r="18" spans="1:17" ht="15">
      <c r="A18" s="55" t="s">
        <v>88</v>
      </c>
      <c r="B18" s="114"/>
      <c r="C18" s="106">
        <f>C17/10</f>
        <v>8666018.25</v>
      </c>
      <c r="D18" s="106">
        <f>D17/12</f>
        <v>9102251.697297525</v>
      </c>
      <c r="E18" s="106">
        <f>E17/12</f>
        <v>8855663.322977532</v>
      </c>
      <c r="F18" s="106">
        <f>F17/12</f>
        <v>9144774.630131692</v>
      </c>
      <c r="G18" s="107">
        <f>G17/4</f>
        <v>8637436.571479078</v>
      </c>
      <c r="I18" s="1"/>
      <c r="J18" s="55" t="s">
        <v>88</v>
      </c>
      <c r="K18" s="84"/>
      <c r="L18" s="106">
        <f>L17/10</f>
        <v>31950.8</v>
      </c>
      <c r="M18" s="106">
        <f>M17/12</f>
        <v>47051.23500000001</v>
      </c>
      <c r="N18" s="106">
        <f>N17/12</f>
        <v>45065.579999999994</v>
      </c>
      <c r="O18" s="106">
        <f>O17/12</f>
        <v>47941.06916666666</v>
      </c>
      <c r="P18" s="107">
        <f>P17/4</f>
        <v>47257.4377885408</v>
      </c>
      <c r="Q18" s="31"/>
    </row>
    <row r="19" spans="1:17" ht="19.5" customHeight="1">
      <c r="A19" s="84"/>
      <c r="B19" s="114"/>
      <c r="C19" s="106"/>
      <c r="D19" s="106"/>
      <c r="E19" s="106"/>
      <c r="F19" s="106"/>
      <c r="G19" s="106"/>
      <c r="I19" s="1"/>
      <c r="J19" s="84"/>
      <c r="K19" s="84"/>
      <c r="L19" s="106"/>
      <c r="M19" s="106"/>
      <c r="N19" s="106"/>
      <c r="O19" s="106"/>
      <c r="P19" s="106"/>
      <c r="Q19" s="31"/>
    </row>
    <row r="20" spans="1:16" ht="15">
      <c r="A20" s="80" t="s">
        <v>37</v>
      </c>
      <c r="B20" s="110"/>
      <c r="C20" s="73"/>
      <c r="D20" s="78" t="s">
        <v>30</v>
      </c>
      <c r="E20" s="79"/>
      <c r="F20" s="79"/>
      <c r="G20" s="77"/>
      <c r="J20" s="80" t="s">
        <v>52</v>
      </c>
      <c r="K20" s="79"/>
      <c r="L20" s="73"/>
      <c r="M20" s="78" t="s">
        <v>30</v>
      </c>
      <c r="N20" s="79"/>
      <c r="O20" s="79"/>
      <c r="P20" s="77"/>
    </row>
    <row r="21" spans="1:17" ht="15">
      <c r="A21" s="81" t="s">
        <v>31</v>
      </c>
      <c r="B21" s="111" t="s">
        <v>32</v>
      </c>
      <c r="C21" s="81">
        <v>2002</v>
      </c>
      <c r="D21" s="81">
        <v>2003</v>
      </c>
      <c r="E21" s="81">
        <v>2004</v>
      </c>
      <c r="F21" s="81">
        <v>2005</v>
      </c>
      <c r="G21" s="81">
        <v>2006</v>
      </c>
      <c r="J21" s="81" t="s">
        <v>31</v>
      </c>
      <c r="K21" s="81" t="s">
        <v>32</v>
      </c>
      <c r="L21" s="81">
        <v>2002</v>
      </c>
      <c r="M21" s="81">
        <v>2003</v>
      </c>
      <c r="N21" s="81">
        <v>2004</v>
      </c>
      <c r="O21" s="81">
        <v>2005</v>
      </c>
      <c r="P21" s="81">
        <v>2006</v>
      </c>
      <c r="Q21" s="31"/>
    </row>
    <row r="22" spans="1:17" ht="15">
      <c r="A22" s="34" t="s">
        <v>39</v>
      </c>
      <c r="B22" s="112" t="s">
        <v>34</v>
      </c>
      <c r="C22" s="47"/>
      <c r="D22" s="35">
        <v>2924153.3333333335</v>
      </c>
      <c r="E22" s="35">
        <v>3988876.615231673</v>
      </c>
      <c r="F22" s="35">
        <v>4148879.5256411713</v>
      </c>
      <c r="G22" s="35">
        <v>4794295.116185277</v>
      </c>
      <c r="I22" s="1"/>
      <c r="J22" s="34" t="s">
        <v>39</v>
      </c>
      <c r="K22" s="34" t="s">
        <v>54</v>
      </c>
      <c r="L22" s="47"/>
      <c r="M22" s="35">
        <v>11717.18</v>
      </c>
      <c r="N22" s="35">
        <v>5277.93</v>
      </c>
      <c r="O22" s="35">
        <v>4916.54</v>
      </c>
      <c r="P22" s="35">
        <v>5185.73</v>
      </c>
      <c r="Q22" s="31"/>
    </row>
    <row r="23" spans="1:17" ht="15">
      <c r="A23" s="34" t="s">
        <v>40</v>
      </c>
      <c r="B23" s="112" t="s">
        <v>34</v>
      </c>
      <c r="C23" s="47"/>
      <c r="D23" s="35">
        <v>4715807.333333333</v>
      </c>
      <c r="E23" s="35">
        <v>4199810.584287536</v>
      </c>
      <c r="F23" s="35">
        <v>3389742.019712141</v>
      </c>
      <c r="G23" s="35">
        <v>3588147.6530399364</v>
      </c>
      <c r="I23" s="1"/>
      <c r="J23" s="34" t="s">
        <v>40</v>
      </c>
      <c r="K23" s="34" t="s">
        <v>54</v>
      </c>
      <c r="L23" s="47"/>
      <c r="M23" s="35">
        <v>6035.74</v>
      </c>
      <c r="N23" s="35">
        <v>5688.14</v>
      </c>
      <c r="O23" s="35">
        <v>4999.58</v>
      </c>
      <c r="P23" s="35">
        <v>5090.78</v>
      </c>
      <c r="Q23" s="31"/>
    </row>
    <row r="24" spans="1:17" ht="15">
      <c r="A24" s="34" t="s">
        <v>41</v>
      </c>
      <c r="B24" s="112" t="s">
        <v>34</v>
      </c>
      <c r="C24" s="47">
        <v>1387059.3333333333</v>
      </c>
      <c r="D24" s="35">
        <v>8076677.333333333</v>
      </c>
      <c r="E24" s="35">
        <v>3651914.424992297</v>
      </c>
      <c r="F24" s="35">
        <v>3525487.8226788016</v>
      </c>
      <c r="G24" s="35">
        <v>3856018.0348171564</v>
      </c>
      <c r="J24" s="34" t="s">
        <v>41</v>
      </c>
      <c r="K24" s="34" t="s">
        <v>54</v>
      </c>
      <c r="L24" s="47">
        <v>0</v>
      </c>
      <c r="M24" s="35">
        <v>6144.48</v>
      </c>
      <c r="N24" s="35">
        <v>5657.85</v>
      </c>
      <c r="O24" s="35">
        <v>5062.24</v>
      </c>
      <c r="P24" s="35">
        <v>5487.89</v>
      </c>
      <c r="Q24" s="11"/>
    </row>
    <row r="25" spans="1:17" ht="15">
      <c r="A25" s="34" t="s">
        <v>42</v>
      </c>
      <c r="B25" s="112" t="s">
        <v>34</v>
      </c>
      <c r="C25" s="47">
        <v>1273414.3333333333</v>
      </c>
      <c r="D25" s="35">
        <v>3318471.3333333335</v>
      </c>
      <c r="E25" s="35">
        <v>3810018.047209549</v>
      </c>
      <c r="F25" s="35">
        <v>3717152.7183582643</v>
      </c>
      <c r="G25" s="35">
        <v>3908604.1751905163</v>
      </c>
      <c r="J25" s="34" t="s">
        <v>42</v>
      </c>
      <c r="K25" s="34" t="s">
        <v>54</v>
      </c>
      <c r="L25" s="47">
        <v>4404</v>
      </c>
      <c r="M25" s="35">
        <v>6146.12</v>
      </c>
      <c r="N25" s="35">
        <v>5900.06</v>
      </c>
      <c r="O25" s="35">
        <v>5362.47</v>
      </c>
      <c r="P25" s="35">
        <v>5684.51</v>
      </c>
      <c r="Q25" s="11"/>
    </row>
    <row r="26" spans="1:17" ht="15">
      <c r="A26" s="34" t="s">
        <v>35</v>
      </c>
      <c r="B26" s="112" t="s">
        <v>34</v>
      </c>
      <c r="C26" s="47">
        <v>2894570.3333333335</v>
      </c>
      <c r="D26" s="35">
        <v>3208045.3333333335</v>
      </c>
      <c r="E26" s="35">
        <v>3463653.070484429</v>
      </c>
      <c r="F26" s="35">
        <v>3075582.553444351</v>
      </c>
      <c r="G26" s="35"/>
      <c r="J26" s="34" t="s">
        <v>35</v>
      </c>
      <c r="K26" s="34" t="s">
        <v>54</v>
      </c>
      <c r="L26" s="47">
        <v>4579</v>
      </c>
      <c r="M26" s="35">
        <v>6261.24</v>
      </c>
      <c r="N26" s="35">
        <v>5335.84</v>
      </c>
      <c r="O26" s="35">
        <v>5350.28</v>
      </c>
      <c r="P26" s="35"/>
      <c r="Q26" s="11"/>
    </row>
    <row r="27" spans="1:17" ht="15">
      <c r="A27" s="34" t="s">
        <v>43</v>
      </c>
      <c r="B27" s="112" t="s">
        <v>34</v>
      </c>
      <c r="C27" s="47">
        <v>2861957.3333333335</v>
      </c>
      <c r="D27" s="35">
        <v>3181516.3333333335</v>
      </c>
      <c r="E27" s="35">
        <v>3309629.474472927</v>
      </c>
      <c r="F27" s="35">
        <v>3223495.4452905282</v>
      </c>
      <c r="G27" s="35"/>
      <c r="J27" s="34" t="s">
        <v>43</v>
      </c>
      <c r="K27" s="34" t="s">
        <v>54</v>
      </c>
      <c r="L27" s="47">
        <v>4599</v>
      </c>
      <c r="M27" s="35">
        <v>5840.33</v>
      </c>
      <c r="N27" s="35">
        <v>5514.83</v>
      </c>
      <c r="O27" s="35">
        <v>5413.15</v>
      </c>
      <c r="P27" s="35"/>
      <c r="Q27" s="11"/>
    </row>
    <row r="28" spans="1:17" ht="15">
      <c r="A28" s="34" t="s">
        <v>44</v>
      </c>
      <c r="B28" s="112" t="s">
        <v>34</v>
      </c>
      <c r="C28" s="47">
        <v>3636147.3333333335</v>
      </c>
      <c r="D28" s="35">
        <v>3459078.3333333335</v>
      </c>
      <c r="E28" s="35">
        <v>3554893.422296787</v>
      </c>
      <c r="F28" s="35">
        <v>4023588.7283705384</v>
      </c>
      <c r="G28" s="35"/>
      <c r="H28" s="46"/>
      <c r="I28" s="21"/>
      <c r="J28" s="34" t="s">
        <v>44</v>
      </c>
      <c r="K28" s="34" t="s">
        <v>54</v>
      </c>
      <c r="L28" s="47">
        <v>4442</v>
      </c>
      <c r="M28" s="35">
        <v>6214.9</v>
      </c>
      <c r="N28" s="35">
        <v>5667.51</v>
      </c>
      <c r="O28" s="35">
        <v>5260.14</v>
      </c>
      <c r="P28" s="35"/>
      <c r="Q28" s="11"/>
    </row>
    <row r="29" spans="1:17" ht="15">
      <c r="A29" s="34" t="s">
        <v>45</v>
      </c>
      <c r="B29" s="112" t="s">
        <v>34</v>
      </c>
      <c r="C29" s="47">
        <v>1689721.3333333333</v>
      </c>
      <c r="D29" s="35">
        <v>3878821.3333333335</v>
      </c>
      <c r="E29" s="35">
        <v>3606221.7526088594</v>
      </c>
      <c r="F29" s="35">
        <v>3751103.78075194</v>
      </c>
      <c r="G29" s="35"/>
      <c r="H29" s="46"/>
      <c r="I29" s="3"/>
      <c r="J29" s="34" t="s">
        <v>45</v>
      </c>
      <c r="K29" s="34" t="s">
        <v>54</v>
      </c>
      <c r="L29" s="47">
        <v>4205</v>
      </c>
      <c r="M29" s="35">
        <v>6170.46</v>
      </c>
      <c r="N29" s="35">
        <v>5503.92</v>
      </c>
      <c r="O29" s="35">
        <v>4982.69</v>
      </c>
      <c r="P29" s="35"/>
      <c r="Q29" s="11"/>
    </row>
    <row r="30" spans="1:17" ht="15">
      <c r="A30" s="34" t="s">
        <v>46</v>
      </c>
      <c r="B30" s="112" t="s">
        <v>34</v>
      </c>
      <c r="C30" s="47">
        <v>7202127.333333333</v>
      </c>
      <c r="D30" s="35">
        <v>3544403.3333333335</v>
      </c>
      <c r="E30" s="35">
        <v>3601928.7116749366</v>
      </c>
      <c r="F30" s="35">
        <v>3795852.9518547175</v>
      </c>
      <c r="G30" s="35"/>
      <c r="I30" s="3"/>
      <c r="J30" s="34" t="s">
        <v>46</v>
      </c>
      <c r="K30" s="34" t="s">
        <v>54</v>
      </c>
      <c r="L30" s="47">
        <v>4960</v>
      </c>
      <c r="M30" s="35">
        <v>5521.71</v>
      </c>
      <c r="N30" s="35">
        <v>5500.4</v>
      </c>
      <c r="O30" s="35">
        <v>5146.6</v>
      </c>
      <c r="P30" s="35"/>
      <c r="Q30" s="11"/>
    </row>
    <row r="31" spans="1:17" ht="15">
      <c r="A31" s="34" t="s">
        <v>47</v>
      </c>
      <c r="B31" s="112" t="s">
        <v>34</v>
      </c>
      <c r="C31" s="47">
        <v>10010904.333333334</v>
      </c>
      <c r="D31" s="35">
        <v>3125359.3333333335</v>
      </c>
      <c r="E31" s="35">
        <v>3329123.1554473205</v>
      </c>
      <c r="F31" s="35">
        <v>3378168.869898497</v>
      </c>
      <c r="G31" s="35"/>
      <c r="J31" s="34" t="s">
        <v>47</v>
      </c>
      <c r="K31" s="34" t="s">
        <v>54</v>
      </c>
      <c r="L31" s="47">
        <v>5012</v>
      </c>
      <c r="M31" s="35">
        <v>5493.65</v>
      </c>
      <c r="N31" s="35">
        <v>5699.27</v>
      </c>
      <c r="O31" s="35">
        <v>5548.51</v>
      </c>
      <c r="P31" s="35"/>
      <c r="Q31" s="11"/>
    </row>
    <row r="32" spans="1:17" ht="15">
      <c r="A32" s="34" t="s">
        <v>48</v>
      </c>
      <c r="B32" s="112" t="s">
        <v>34</v>
      </c>
      <c r="C32" s="47">
        <v>467216.3333333333</v>
      </c>
      <c r="D32" s="35">
        <v>3404853.3333333335</v>
      </c>
      <c r="E32" s="35">
        <v>3115977.847170397</v>
      </c>
      <c r="F32" s="35">
        <v>3087839.212035993</v>
      </c>
      <c r="G32" s="35"/>
      <c r="J32" s="34" t="s">
        <v>48</v>
      </c>
      <c r="K32" s="34" t="s">
        <v>54</v>
      </c>
      <c r="L32" s="47">
        <v>4856</v>
      </c>
      <c r="M32" s="35">
        <v>5650.72</v>
      </c>
      <c r="N32" s="35">
        <v>5172.43</v>
      </c>
      <c r="O32" s="35">
        <v>5198.24</v>
      </c>
      <c r="P32" s="35"/>
      <c r="Q32" s="11"/>
    </row>
    <row r="33" spans="1:17" ht="15">
      <c r="A33" s="34" t="s">
        <v>49</v>
      </c>
      <c r="B33" s="112" t="s">
        <v>34</v>
      </c>
      <c r="C33" s="47">
        <v>-2377226.6666666665</v>
      </c>
      <c r="D33" s="35">
        <v>3265964.3333333335</v>
      </c>
      <c r="E33" s="35">
        <v>3598117.1485593542</v>
      </c>
      <c r="F33" s="35">
        <v>3149000.096288129</v>
      </c>
      <c r="G33" s="35"/>
      <c r="J33" s="34" t="s">
        <v>49</v>
      </c>
      <c r="K33" s="34" t="s">
        <v>54</v>
      </c>
      <c r="L33" s="47">
        <v>0</v>
      </c>
      <c r="M33" s="35">
        <v>5812.17</v>
      </c>
      <c r="N33" s="35">
        <v>5102.58</v>
      </c>
      <c r="O33" s="35">
        <v>5463.5</v>
      </c>
      <c r="P33" s="35"/>
      <c r="Q33" s="11"/>
    </row>
    <row r="34" spans="1:17" ht="15">
      <c r="A34" s="34" t="s">
        <v>38</v>
      </c>
      <c r="B34" s="112"/>
      <c r="C34" s="47">
        <v>3384914</v>
      </c>
      <c r="D34" s="35">
        <v>2165565</v>
      </c>
      <c r="E34" s="35">
        <v>2479791</v>
      </c>
      <c r="F34" s="35">
        <v>2224520.7223328985</v>
      </c>
      <c r="G34" s="35">
        <v>-1704774.5454545456</v>
      </c>
      <c r="J34" s="34" t="s">
        <v>38</v>
      </c>
      <c r="K34" s="34" t="s">
        <v>54</v>
      </c>
      <c r="L34" s="47">
        <v>10986</v>
      </c>
      <c r="M34" s="35">
        <f>-11717/2</f>
        <v>-5858.5</v>
      </c>
      <c r="N34" s="35">
        <f>O22-N22</f>
        <v>-361.3900000000003</v>
      </c>
      <c r="O34" s="35">
        <f>P22-O22</f>
        <v>269.1899999999996</v>
      </c>
      <c r="P34" s="35">
        <v>291.98498989704615</v>
      </c>
      <c r="Q34" s="11"/>
    </row>
    <row r="35" spans="1:17" ht="15">
      <c r="A35" s="48" t="s">
        <v>11</v>
      </c>
      <c r="B35" s="113"/>
      <c r="C35" s="50">
        <f>SUM(C22:C34)</f>
        <v>32430805.333333336</v>
      </c>
      <c r="D35" s="49">
        <f>SUM(D22:D34)</f>
        <v>48268716</v>
      </c>
      <c r="E35" s="49">
        <f>SUM(E22:E34)</f>
        <v>45709955.25443607</v>
      </c>
      <c r="F35" s="49">
        <f>SUM(F22:F34)</f>
        <v>44490414.44665797</v>
      </c>
      <c r="G35" s="49">
        <f>SUM(G22:G34)</f>
        <v>14442290.43377834</v>
      </c>
      <c r="J35" s="48" t="s">
        <v>11</v>
      </c>
      <c r="K35" s="48"/>
      <c r="L35" s="49">
        <f>SUM(L22:L34)</f>
        <v>48043</v>
      </c>
      <c r="M35" s="49">
        <f>SUM(M22:M34)</f>
        <v>71150.2</v>
      </c>
      <c r="N35" s="49">
        <f>SUM(N22:N34)</f>
        <v>65659.37</v>
      </c>
      <c r="O35" s="49">
        <f>SUM(O22:O34)</f>
        <v>62973.13</v>
      </c>
      <c r="P35" s="49">
        <f>SUM(P22:P34)</f>
        <v>21740.894989897042</v>
      </c>
      <c r="Q35" s="11"/>
    </row>
    <row r="36" spans="1:17" ht="15">
      <c r="A36" s="55" t="s">
        <v>88</v>
      </c>
      <c r="B36" s="114"/>
      <c r="C36" s="106">
        <f>C35/10</f>
        <v>3243080.5333333337</v>
      </c>
      <c r="D36" s="106">
        <f>D35/12</f>
        <v>4022393</v>
      </c>
      <c r="E36" s="106">
        <f>E35/12</f>
        <v>3809162.937869672</v>
      </c>
      <c r="F36" s="106">
        <f>F35/12</f>
        <v>3707534.5372214974</v>
      </c>
      <c r="G36" s="107">
        <f>G35/4</f>
        <v>3610572.608444585</v>
      </c>
      <c r="I36" s="1"/>
      <c r="J36" s="55" t="s">
        <v>88</v>
      </c>
      <c r="K36" s="84"/>
      <c r="L36" s="106">
        <f>L35/10</f>
        <v>4804.3</v>
      </c>
      <c r="M36" s="106">
        <f>M35/12</f>
        <v>5929.183333333333</v>
      </c>
      <c r="N36" s="106">
        <f>N35/12</f>
        <v>5471.614166666666</v>
      </c>
      <c r="O36" s="106">
        <f>O35/12</f>
        <v>5247.760833333333</v>
      </c>
      <c r="P36" s="107">
        <f>P35/4</f>
        <v>5435.223747474261</v>
      </c>
      <c r="Q36" s="31"/>
    </row>
    <row r="37" spans="12:17" ht="18" customHeight="1">
      <c r="L37" s="33"/>
      <c r="M37" s="30"/>
      <c r="N37" s="32"/>
      <c r="O37" s="11"/>
      <c r="P37" s="11"/>
      <c r="Q37" s="11"/>
    </row>
    <row r="38" spans="1:16" ht="15">
      <c r="A38" s="80" t="s">
        <v>37</v>
      </c>
      <c r="B38" s="110"/>
      <c r="C38" s="73"/>
      <c r="D38" s="78" t="s">
        <v>30</v>
      </c>
      <c r="E38" s="79"/>
      <c r="F38" s="79"/>
      <c r="G38" s="77"/>
      <c r="J38" s="80" t="s">
        <v>52</v>
      </c>
      <c r="K38" s="79"/>
      <c r="L38" s="73"/>
      <c r="M38" s="78" t="s">
        <v>30</v>
      </c>
      <c r="N38" s="79"/>
      <c r="O38" s="79"/>
      <c r="P38" s="77"/>
    </row>
    <row r="39" spans="1:17" ht="15">
      <c r="A39" s="81" t="s">
        <v>31</v>
      </c>
      <c r="B39" s="111" t="s">
        <v>32</v>
      </c>
      <c r="C39" s="81">
        <v>2002</v>
      </c>
      <c r="D39" s="81">
        <v>2003</v>
      </c>
      <c r="E39" s="81">
        <v>2004</v>
      </c>
      <c r="F39" s="81">
        <v>2005</v>
      </c>
      <c r="G39" s="81">
        <v>2006</v>
      </c>
      <c r="J39" s="81" t="s">
        <v>31</v>
      </c>
      <c r="K39" s="81" t="s">
        <v>32</v>
      </c>
      <c r="L39" s="81">
        <v>2002</v>
      </c>
      <c r="M39" s="81">
        <v>2003</v>
      </c>
      <c r="N39" s="81">
        <v>2004</v>
      </c>
      <c r="O39" s="81">
        <v>2005</v>
      </c>
      <c r="P39" s="81">
        <v>2006</v>
      </c>
      <c r="Q39" s="31"/>
    </row>
    <row r="40" spans="1:17" ht="15">
      <c r="A40" s="34" t="s">
        <v>39</v>
      </c>
      <c r="B40" s="112" t="s">
        <v>8</v>
      </c>
      <c r="C40" s="47"/>
      <c r="D40" s="47">
        <f aca="true" t="shared" si="0" ref="D40:E51">83624/12</f>
        <v>6968.666666666667</v>
      </c>
      <c r="E40" s="47">
        <f t="shared" si="0"/>
        <v>6968.666666666667</v>
      </c>
      <c r="F40" s="35">
        <f>944310/12</f>
        <v>78692.5</v>
      </c>
      <c r="G40" s="35">
        <f>885172/12</f>
        <v>73764.33333333333</v>
      </c>
      <c r="J40" s="34" t="s">
        <v>39</v>
      </c>
      <c r="K40" s="34" t="s">
        <v>56</v>
      </c>
      <c r="L40" s="34"/>
      <c r="M40" s="36">
        <v>1077.66</v>
      </c>
      <c r="N40" s="36">
        <v>551.04</v>
      </c>
      <c r="O40" s="36">
        <v>561.12</v>
      </c>
      <c r="P40" s="36">
        <v>564.52</v>
      </c>
      <c r="Q40" s="11"/>
    </row>
    <row r="41" spans="1:17" ht="15">
      <c r="A41" s="34" t="s">
        <v>40</v>
      </c>
      <c r="B41" s="112" t="s">
        <v>8</v>
      </c>
      <c r="C41" s="47"/>
      <c r="D41" s="47">
        <f t="shared" si="0"/>
        <v>6968.666666666667</v>
      </c>
      <c r="E41" s="47">
        <f t="shared" si="0"/>
        <v>6968.666666666667</v>
      </c>
      <c r="F41" s="35">
        <f aca="true" t="shared" si="1" ref="F41:F51">944310/12</f>
        <v>78692.5</v>
      </c>
      <c r="G41" s="35">
        <f>885172/12</f>
        <v>73764.33333333333</v>
      </c>
      <c r="J41" s="34" t="s">
        <v>40</v>
      </c>
      <c r="K41" s="34" t="s">
        <v>56</v>
      </c>
      <c r="L41" s="34"/>
      <c r="M41" s="36">
        <v>540.0699999999999</v>
      </c>
      <c r="N41" s="36">
        <v>551.04</v>
      </c>
      <c r="O41" s="36">
        <v>561.12</v>
      </c>
      <c r="P41" s="36">
        <v>564.52</v>
      </c>
      <c r="Q41" s="11"/>
    </row>
    <row r="42" spans="1:17" ht="15">
      <c r="A42" s="34" t="s">
        <v>41</v>
      </c>
      <c r="B42" s="112" t="s">
        <v>8</v>
      </c>
      <c r="C42" s="47">
        <f>83624/12</f>
        <v>6968.666666666667</v>
      </c>
      <c r="D42" s="47">
        <f t="shared" si="0"/>
        <v>6968.666666666667</v>
      </c>
      <c r="E42" s="47">
        <f t="shared" si="0"/>
        <v>6968.666666666667</v>
      </c>
      <c r="F42" s="35">
        <f t="shared" si="1"/>
        <v>78692.5</v>
      </c>
      <c r="G42" s="35">
        <f>885172/12</f>
        <v>73764.33333333333</v>
      </c>
      <c r="J42" s="34" t="s">
        <v>41</v>
      </c>
      <c r="K42" s="34" t="s">
        <v>56</v>
      </c>
      <c r="L42" s="47">
        <v>279</v>
      </c>
      <c r="M42" s="36">
        <v>540.07</v>
      </c>
      <c r="N42" s="36">
        <v>553.87</v>
      </c>
      <c r="O42" s="36">
        <v>547.05</v>
      </c>
      <c r="P42" s="36">
        <v>564.52</v>
      </c>
      <c r="Q42" s="11"/>
    </row>
    <row r="43" spans="1:17" ht="15">
      <c r="A43" s="34" t="s">
        <v>42</v>
      </c>
      <c r="B43" s="112" t="s">
        <v>8</v>
      </c>
      <c r="C43" s="47">
        <f aca="true" t="shared" si="2" ref="C43:C51">83624/12</f>
        <v>6968.666666666667</v>
      </c>
      <c r="D43" s="47">
        <f t="shared" si="0"/>
        <v>6968.666666666667</v>
      </c>
      <c r="E43" s="47">
        <f t="shared" si="0"/>
        <v>6968.666666666667</v>
      </c>
      <c r="F43" s="35">
        <f t="shared" si="1"/>
        <v>78692.5</v>
      </c>
      <c r="G43" s="35">
        <f>885172/12</f>
        <v>73764.33333333333</v>
      </c>
      <c r="J43" s="34" t="s">
        <v>42</v>
      </c>
      <c r="K43" s="34" t="s">
        <v>56</v>
      </c>
      <c r="L43" s="47">
        <v>580</v>
      </c>
      <c r="M43" s="36">
        <v>540.07</v>
      </c>
      <c r="N43" s="36">
        <v>553.06</v>
      </c>
      <c r="O43" s="36">
        <v>547.05</v>
      </c>
      <c r="P43" s="36">
        <v>564.52</v>
      </c>
      <c r="Q43" s="11"/>
    </row>
    <row r="44" spans="1:17" ht="15.75" customHeight="1">
      <c r="A44" s="34" t="s">
        <v>35</v>
      </c>
      <c r="B44" s="112" t="s">
        <v>8</v>
      </c>
      <c r="C44" s="47">
        <f t="shared" si="2"/>
        <v>6968.666666666667</v>
      </c>
      <c r="D44" s="47">
        <f t="shared" si="0"/>
        <v>6968.666666666667</v>
      </c>
      <c r="E44" s="47">
        <f t="shared" si="0"/>
        <v>6968.666666666667</v>
      </c>
      <c r="F44" s="35">
        <f t="shared" si="1"/>
        <v>78692.5</v>
      </c>
      <c r="G44" s="35">
        <f>-G52</f>
        <v>0</v>
      </c>
      <c r="J44" s="34" t="s">
        <v>35</v>
      </c>
      <c r="K44" s="34" t="s">
        <v>56</v>
      </c>
      <c r="L44" s="47">
        <v>281</v>
      </c>
      <c r="M44" s="36">
        <v>541.57</v>
      </c>
      <c r="N44" s="36">
        <v>553.06</v>
      </c>
      <c r="O44" s="36">
        <v>547.05</v>
      </c>
      <c r="P44" s="36"/>
      <c r="Q44" s="11"/>
    </row>
    <row r="45" spans="1:17" s="1" customFormat="1" ht="15">
      <c r="A45" s="34" t="s">
        <v>43</v>
      </c>
      <c r="B45" s="112" t="s">
        <v>8</v>
      </c>
      <c r="C45" s="47">
        <f t="shared" si="2"/>
        <v>6968.666666666667</v>
      </c>
      <c r="D45" s="47">
        <f t="shared" si="0"/>
        <v>6968.666666666667</v>
      </c>
      <c r="E45" s="47">
        <f t="shared" si="0"/>
        <v>6968.666666666667</v>
      </c>
      <c r="F45" s="35">
        <f t="shared" si="1"/>
        <v>78692.5</v>
      </c>
      <c r="G45" s="35"/>
      <c r="J45" s="34" t="s">
        <v>43</v>
      </c>
      <c r="K45" s="34" t="s">
        <v>56</v>
      </c>
      <c r="L45" s="47">
        <v>569</v>
      </c>
      <c r="M45" s="36">
        <v>541.57</v>
      </c>
      <c r="N45" s="36">
        <v>553.06</v>
      </c>
      <c r="O45" s="36">
        <v>552.65</v>
      </c>
      <c r="P45" s="36"/>
      <c r="Q45" s="45"/>
    </row>
    <row r="46" spans="1:17" s="1" customFormat="1" ht="15">
      <c r="A46" s="34" t="s">
        <v>44</v>
      </c>
      <c r="B46" s="112" t="s">
        <v>8</v>
      </c>
      <c r="C46" s="47">
        <f t="shared" si="2"/>
        <v>6968.666666666667</v>
      </c>
      <c r="D46" s="47">
        <f t="shared" si="0"/>
        <v>6968.666666666667</v>
      </c>
      <c r="E46" s="47">
        <f t="shared" si="0"/>
        <v>6968.666666666667</v>
      </c>
      <c r="F46" s="35">
        <f t="shared" si="1"/>
        <v>78692.5</v>
      </c>
      <c r="G46" s="35"/>
      <c r="J46" s="34" t="s">
        <v>44</v>
      </c>
      <c r="K46" s="34" t="s">
        <v>56</v>
      </c>
      <c r="L46" s="47">
        <v>569</v>
      </c>
      <c r="M46" s="36">
        <v>541.88</v>
      </c>
      <c r="N46" s="36">
        <v>553.16</v>
      </c>
      <c r="O46" s="36">
        <v>561.29</v>
      </c>
      <c r="P46" s="36"/>
      <c r="Q46" s="45"/>
    </row>
    <row r="47" spans="1:17" ht="15">
      <c r="A47" s="34" t="s">
        <v>45</v>
      </c>
      <c r="B47" s="112" t="s">
        <v>8</v>
      </c>
      <c r="C47" s="47">
        <f t="shared" si="2"/>
        <v>6968.666666666667</v>
      </c>
      <c r="D47" s="47">
        <f t="shared" si="0"/>
        <v>6968.666666666667</v>
      </c>
      <c r="E47" s="47">
        <f t="shared" si="0"/>
        <v>6968.666666666667</v>
      </c>
      <c r="F47" s="35">
        <f t="shared" si="1"/>
        <v>78692.5</v>
      </c>
      <c r="G47" s="35"/>
      <c r="J47" s="34" t="s">
        <v>45</v>
      </c>
      <c r="K47" s="34" t="s">
        <v>56</v>
      </c>
      <c r="L47" s="47">
        <v>569</v>
      </c>
      <c r="M47" s="36">
        <v>541.88</v>
      </c>
      <c r="N47" s="36">
        <v>553.16</v>
      </c>
      <c r="O47" s="36">
        <v>561.95</v>
      </c>
      <c r="P47" s="36"/>
      <c r="Q47" s="11"/>
    </row>
    <row r="48" spans="1:17" ht="15">
      <c r="A48" s="34" t="s">
        <v>46</v>
      </c>
      <c r="B48" s="112" t="s">
        <v>8</v>
      </c>
      <c r="C48" s="47">
        <f t="shared" si="2"/>
        <v>6968.666666666667</v>
      </c>
      <c r="D48" s="47">
        <f t="shared" si="0"/>
        <v>6968.666666666667</v>
      </c>
      <c r="E48" s="47">
        <f t="shared" si="0"/>
        <v>6968.666666666667</v>
      </c>
      <c r="F48" s="35">
        <f t="shared" si="1"/>
        <v>78692.5</v>
      </c>
      <c r="G48" s="35"/>
      <c r="J48" s="34" t="s">
        <v>46</v>
      </c>
      <c r="K48" s="34" t="s">
        <v>56</v>
      </c>
      <c r="L48" s="47">
        <v>569</v>
      </c>
      <c r="M48" s="36">
        <v>541.88</v>
      </c>
      <c r="N48" s="36">
        <v>554.36</v>
      </c>
      <c r="O48" s="36">
        <v>561.95</v>
      </c>
      <c r="P48" s="36"/>
      <c r="Q48" s="11"/>
    </row>
    <row r="49" spans="1:17" ht="15">
      <c r="A49" s="34" t="s">
        <v>47</v>
      </c>
      <c r="B49" s="112" t="s">
        <v>8</v>
      </c>
      <c r="C49" s="47">
        <f t="shared" si="2"/>
        <v>6968.666666666667</v>
      </c>
      <c r="D49" s="47">
        <f t="shared" si="0"/>
        <v>6968.666666666667</v>
      </c>
      <c r="E49" s="47">
        <f t="shared" si="0"/>
        <v>6968.666666666667</v>
      </c>
      <c r="F49" s="35">
        <f t="shared" si="1"/>
        <v>78692.5</v>
      </c>
      <c r="G49" s="35"/>
      <c r="J49" s="34" t="s">
        <v>47</v>
      </c>
      <c r="K49" s="34" t="s">
        <v>56</v>
      </c>
      <c r="L49" s="47">
        <v>569</v>
      </c>
      <c r="M49" s="36">
        <v>543.64</v>
      </c>
      <c r="N49" s="36">
        <v>554.98</v>
      </c>
      <c r="O49" s="36">
        <v>562.62</v>
      </c>
      <c r="P49" s="36"/>
      <c r="Q49" s="11"/>
    </row>
    <row r="50" spans="1:17" ht="15">
      <c r="A50" s="34" t="s">
        <v>48</v>
      </c>
      <c r="B50" s="112" t="s">
        <v>8</v>
      </c>
      <c r="C50" s="47">
        <f t="shared" si="2"/>
        <v>6968.666666666667</v>
      </c>
      <c r="D50" s="47">
        <f t="shared" si="0"/>
        <v>6968.666666666667</v>
      </c>
      <c r="E50" s="47">
        <f t="shared" si="0"/>
        <v>6968.666666666667</v>
      </c>
      <c r="F50" s="35">
        <f t="shared" si="1"/>
        <v>78692.5</v>
      </c>
      <c r="G50" s="35"/>
      <c r="J50" s="34" t="s">
        <v>48</v>
      </c>
      <c r="K50" s="34" t="s">
        <v>56</v>
      </c>
      <c r="L50" s="47">
        <v>569</v>
      </c>
      <c r="M50" s="36">
        <v>543.64</v>
      </c>
      <c r="N50" s="36">
        <v>558.02</v>
      </c>
      <c r="O50" s="36">
        <v>562.62</v>
      </c>
      <c r="P50" s="36"/>
      <c r="Q50" s="11"/>
    </row>
    <row r="51" spans="1:17" ht="15">
      <c r="A51" s="34" t="s">
        <v>49</v>
      </c>
      <c r="B51" s="112" t="s">
        <v>8</v>
      </c>
      <c r="C51" s="47">
        <f t="shared" si="2"/>
        <v>6968.666666666667</v>
      </c>
      <c r="D51" s="47">
        <f t="shared" si="0"/>
        <v>6968.666666666667</v>
      </c>
      <c r="E51" s="47">
        <f t="shared" si="0"/>
        <v>6968.666666666667</v>
      </c>
      <c r="F51" s="35">
        <f t="shared" si="1"/>
        <v>78692.5</v>
      </c>
      <c r="G51" s="35"/>
      <c r="J51" s="34" t="s">
        <v>49</v>
      </c>
      <c r="K51" s="34" t="s">
        <v>56</v>
      </c>
      <c r="L51" s="47">
        <v>0</v>
      </c>
      <c r="M51" s="36">
        <v>545.44</v>
      </c>
      <c r="N51" s="36">
        <v>561.12</v>
      </c>
      <c r="O51" s="36">
        <v>562.62</v>
      </c>
      <c r="P51" s="36"/>
      <c r="Q51" s="11"/>
    </row>
    <row r="52" spans="1:17" ht="15">
      <c r="A52" s="34" t="s">
        <v>38</v>
      </c>
      <c r="B52" s="112" t="s">
        <v>8</v>
      </c>
      <c r="C52" s="47">
        <v>0</v>
      </c>
      <c r="D52" s="35">
        <v>0</v>
      </c>
      <c r="E52" s="35">
        <v>0</v>
      </c>
      <c r="F52" s="35"/>
      <c r="G52" s="35">
        <v>0</v>
      </c>
      <c r="J52" s="34" t="s">
        <v>38</v>
      </c>
      <c r="K52" s="34" t="s">
        <v>56</v>
      </c>
      <c r="L52" s="47">
        <v>552</v>
      </c>
      <c r="M52" s="34">
        <f>-1078/2</f>
        <v>-539</v>
      </c>
      <c r="N52" s="36">
        <f>O40-N40</f>
        <v>10.080000000000041</v>
      </c>
      <c r="O52" s="36">
        <f>P40-O40</f>
        <v>3.3999999999999773</v>
      </c>
      <c r="P52" s="47"/>
      <c r="Q52" s="11"/>
    </row>
    <row r="53" spans="1:17" ht="15">
      <c r="A53" s="48" t="s">
        <v>11</v>
      </c>
      <c r="B53" s="113"/>
      <c r="C53" s="50">
        <f>SUM(C40:C52)</f>
        <v>69686.66666666666</v>
      </c>
      <c r="D53" s="49">
        <f>SUM(D40:D52)</f>
        <v>83624</v>
      </c>
      <c r="E53" s="49">
        <f>SUM(E40:E52)</f>
        <v>83624</v>
      </c>
      <c r="F53" s="49">
        <f>SUM(F40:F51)</f>
        <v>944310</v>
      </c>
      <c r="G53" s="49">
        <f>SUM(G40:G52)</f>
        <v>295057.3333333333</v>
      </c>
      <c r="J53" s="48" t="s">
        <v>11</v>
      </c>
      <c r="K53" s="48"/>
      <c r="L53" s="49">
        <f>SUM(L40:L52)</f>
        <v>5106</v>
      </c>
      <c r="M53" s="49">
        <f>SUM(M40:M52)</f>
        <v>6500.370000000001</v>
      </c>
      <c r="N53" s="49">
        <f>SUM(N40:N52)</f>
        <v>6660.009999999999</v>
      </c>
      <c r="O53" s="49">
        <f>SUM(O40:O51)</f>
        <v>6689.09</v>
      </c>
      <c r="P53" s="49">
        <f>SUM(P40:P52)</f>
        <v>2258.08</v>
      </c>
      <c r="Q53" s="11"/>
    </row>
    <row r="54" spans="1:17" ht="15">
      <c r="A54" s="55" t="s">
        <v>88</v>
      </c>
      <c r="B54" s="114"/>
      <c r="C54" s="106">
        <f>C53/10</f>
        <v>6968.666666666666</v>
      </c>
      <c r="D54" s="106">
        <f>D53/12</f>
        <v>6968.666666666667</v>
      </c>
      <c r="E54" s="106">
        <f>E53/12</f>
        <v>6968.666666666667</v>
      </c>
      <c r="F54" s="106">
        <f>F53/12</f>
        <v>78692.5</v>
      </c>
      <c r="G54" s="107">
        <f>G53/4</f>
        <v>73764.33333333333</v>
      </c>
      <c r="I54" s="1"/>
      <c r="J54" s="55" t="s">
        <v>88</v>
      </c>
      <c r="K54" s="84"/>
      <c r="L54" s="106">
        <f>L53/10</f>
        <v>510.6</v>
      </c>
      <c r="M54" s="106">
        <f>M53/12</f>
        <v>541.6975000000001</v>
      </c>
      <c r="N54" s="106">
        <f>N53/12</f>
        <v>555.0008333333333</v>
      </c>
      <c r="O54" s="106">
        <f>O53/12</f>
        <v>557.4241666666667</v>
      </c>
      <c r="P54" s="107">
        <f>P53/4</f>
        <v>564.52</v>
      </c>
      <c r="Q54" s="11"/>
    </row>
    <row r="55" spans="10:17" ht="18" customHeight="1">
      <c r="J55" s="84"/>
      <c r="K55" s="84"/>
      <c r="L55" s="108"/>
      <c r="M55" s="108"/>
      <c r="N55" s="108"/>
      <c r="O55" s="108"/>
      <c r="P55" s="108"/>
      <c r="Q55" s="11"/>
    </row>
    <row r="56" spans="10:17" ht="15">
      <c r="J56" s="80" t="s">
        <v>52</v>
      </c>
      <c r="K56" s="79"/>
      <c r="L56" s="73"/>
      <c r="M56" s="78" t="s">
        <v>30</v>
      </c>
      <c r="N56" s="79"/>
      <c r="O56" s="79"/>
      <c r="P56" s="77"/>
      <c r="Q56" s="11"/>
    </row>
    <row r="57" spans="1:17" ht="15">
      <c r="A57" s="127" t="s">
        <v>55</v>
      </c>
      <c r="B57" s="128"/>
      <c r="C57" s="129">
        <f>C17+C35+C53</f>
        <v>119160674.50000001</v>
      </c>
      <c r="D57" s="129">
        <f>D17+D35+D53</f>
        <v>157579360.36757028</v>
      </c>
      <c r="E57" s="129">
        <f>E17+E35+E53</f>
        <v>152061539.13016644</v>
      </c>
      <c r="F57" s="129">
        <f>F17+F35+F53</f>
        <v>155172020.00823826</v>
      </c>
      <c r="G57" s="129">
        <f>G17+G35+G53</f>
        <v>49287094.05302799</v>
      </c>
      <c r="J57" s="81" t="s">
        <v>31</v>
      </c>
      <c r="K57" s="81" t="s">
        <v>32</v>
      </c>
      <c r="L57" s="81">
        <v>2002</v>
      </c>
      <c r="M57" s="81">
        <v>2003</v>
      </c>
      <c r="N57" s="81">
        <v>2004</v>
      </c>
      <c r="O57" s="81">
        <v>2005</v>
      </c>
      <c r="P57" s="81">
        <v>2006</v>
      </c>
      <c r="Q57" s="11"/>
    </row>
    <row r="58" spans="10:17" ht="15">
      <c r="J58" s="34" t="s">
        <v>39</v>
      </c>
      <c r="K58" s="34" t="s">
        <v>57</v>
      </c>
      <c r="L58" s="47"/>
      <c r="M58" s="35">
        <v>50</v>
      </c>
      <c r="N58" s="35">
        <v>36</v>
      </c>
      <c r="O58" s="35">
        <v>0</v>
      </c>
      <c r="P58" s="35">
        <v>0</v>
      </c>
      <c r="Q58" s="11"/>
    </row>
    <row r="59" spans="1:17" ht="15">
      <c r="A59" s="3"/>
      <c r="B59" s="115"/>
      <c r="C59" s="3"/>
      <c r="D59" s="3"/>
      <c r="E59" s="3"/>
      <c r="F59" s="3"/>
      <c r="J59" s="34" t="s">
        <v>40</v>
      </c>
      <c r="K59" s="34" t="s">
        <v>57</v>
      </c>
      <c r="L59" s="47"/>
      <c r="M59" s="35">
        <v>49</v>
      </c>
      <c r="N59" s="35">
        <v>35</v>
      </c>
      <c r="O59" s="35">
        <v>0</v>
      </c>
      <c r="P59" s="35">
        <v>0</v>
      </c>
      <c r="Q59" s="11"/>
    </row>
    <row r="60" spans="1:17" ht="15">
      <c r="A60" s="130" t="s">
        <v>91</v>
      </c>
      <c r="B60" s="131"/>
      <c r="C60" s="132">
        <f>L35+L17+L71+L53</f>
        <v>373123</v>
      </c>
      <c r="D60" s="132">
        <f>M35+M17+M71+M53</f>
        <v>642854.39</v>
      </c>
      <c r="E60" s="132">
        <f>N35+N17+N71+N53</f>
        <v>613212.34</v>
      </c>
      <c r="F60" s="132">
        <f>O35+O17+O71+O53</f>
        <v>644955.0499999999</v>
      </c>
      <c r="G60" s="132">
        <f>P35+P17+P71+P53</f>
        <v>213028.72614406023</v>
      </c>
      <c r="J60" s="34" t="s">
        <v>41</v>
      </c>
      <c r="K60" s="34" t="s">
        <v>57</v>
      </c>
      <c r="L60" s="47">
        <v>26</v>
      </c>
      <c r="M60" s="35">
        <v>49</v>
      </c>
      <c r="N60" s="35">
        <v>35</v>
      </c>
      <c r="O60" s="35">
        <v>0</v>
      </c>
      <c r="P60" s="35">
        <v>0</v>
      </c>
      <c r="Q60" s="11"/>
    </row>
    <row r="61" spans="1:16" ht="15">
      <c r="A61" s="3"/>
      <c r="B61" s="116"/>
      <c r="C61" s="74"/>
      <c r="D61" s="72"/>
      <c r="E61" s="72"/>
      <c r="F61" s="72"/>
      <c r="G61" s="71"/>
      <c r="J61" s="34" t="s">
        <v>42</v>
      </c>
      <c r="K61" s="34" t="s">
        <v>57</v>
      </c>
      <c r="L61" s="47">
        <v>55</v>
      </c>
      <c r="M61" s="35">
        <v>49</v>
      </c>
      <c r="N61" s="35">
        <v>0</v>
      </c>
      <c r="O61" s="35">
        <v>0</v>
      </c>
      <c r="P61" s="35">
        <v>0</v>
      </c>
    </row>
    <row r="62" spans="1:16" ht="15">
      <c r="A62" s="3"/>
      <c r="B62" s="116"/>
      <c r="C62" s="74"/>
      <c r="D62" s="72"/>
      <c r="E62" s="72"/>
      <c r="F62" s="72"/>
      <c r="G62" s="71"/>
      <c r="J62" s="34" t="s">
        <v>35</v>
      </c>
      <c r="K62" s="34" t="s">
        <v>57</v>
      </c>
      <c r="L62" s="47">
        <v>47</v>
      </c>
      <c r="M62" s="35">
        <v>49</v>
      </c>
      <c r="N62" s="35">
        <v>0</v>
      </c>
      <c r="O62" s="35">
        <v>0</v>
      </c>
      <c r="P62" s="35"/>
    </row>
    <row r="63" spans="1:16" ht="15">
      <c r="A63" s="3"/>
      <c r="B63" s="116"/>
      <c r="C63" s="74"/>
      <c r="D63" s="72"/>
      <c r="E63" s="72"/>
      <c r="F63" s="72"/>
      <c r="G63" s="71"/>
      <c r="J63" s="34" t="s">
        <v>43</v>
      </c>
      <c r="K63" s="34" t="s">
        <v>57</v>
      </c>
      <c r="L63" s="47">
        <v>53</v>
      </c>
      <c r="M63" s="35">
        <v>49</v>
      </c>
      <c r="N63" s="35">
        <v>0</v>
      </c>
      <c r="O63" s="35">
        <v>0</v>
      </c>
      <c r="P63" s="35"/>
    </row>
    <row r="64" spans="1:16" ht="15">
      <c r="A64" s="3"/>
      <c r="B64" s="116"/>
      <c r="C64" s="74"/>
      <c r="D64" s="72"/>
      <c r="E64" s="72"/>
      <c r="F64" s="72"/>
      <c r="G64" s="71"/>
      <c r="J64" s="34" t="s">
        <v>44</v>
      </c>
      <c r="K64" s="34" t="s">
        <v>57</v>
      </c>
      <c r="L64" s="47">
        <v>49</v>
      </c>
      <c r="M64" s="35">
        <v>49</v>
      </c>
      <c r="N64" s="35">
        <v>0</v>
      </c>
      <c r="O64" s="35">
        <v>0</v>
      </c>
      <c r="P64" s="35"/>
    </row>
    <row r="65" spans="1:16" ht="15">
      <c r="A65" s="3"/>
      <c r="B65" s="116"/>
      <c r="C65" s="74"/>
      <c r="D65" s="72"/>
      <c r="E65" s="72"/>
      <c r="F65" s="72"/>
      <c r="G65" s="71"/>
      <c r="J65" s="34" t="s">
        <v>45</v>
      </c>
      <c r="K65" s="34" t="s">
        <v>57</v>
      </c>
      <c r="L65" s="47">
        <v>0</v>
      </c>
      <c r="M65" s="35">
        <v>49</v>
      </c>
      <c r="N65" s="35">
        <v>0</v>
      </c>
      <c r="O65" s="35">
        <v>0</v>
      </c>
      <c r="P65" s="35"/>
    </row>
    <row r="66" spans="1:16" ht="15">
      <c r="A66" s="3"/>
      <c r="B66" s="116"/>
      <c r="C66" s="74"/>
      <c r="D66" s="72"/>
      <c r="E66" s="72"/>
      <c r="F66" s="72"/>
      <c r="G66" s="71"/>
      <c r="J66" s="34" t="s">
        <v>46</v>
      </c>
      <c r="K66" s="34" t="s">
        <v>57</v>
      </c>
      <c r="L66" s="47">
        <v>105</v>
      </c>
      <c r="M66" s="35">
        <v>49</v>
      </c>
      <c r="N66" s="35">
        <v>0</v>
      </c>
      <c r="O66" s="35">
        <v>0</v>
      </c>
      <c r="P66" s="35"/>
    </row>
    <row r="67" spans="1:16" ht="15">
      <c r="A67" s="3"/>
      <c r="B67" s="116"/>
      <c r="C67" s="74"/>
      <c r="D67" s="72"/>
      <c r="E67" s="72"/>
      <c r="F67" s="72"/>
      <c r="G67" s="71"/>
      <c r="J67" s="34" t="s">
        <v>47</v>
      </c>
      <c r="K67" s="34" t="s">
        <v>57</v>
      </c>
      <c r="L67" s="47">
        <v>46</v>
      </c>
      <c r="M67" s="35">
        <v>49</v>
      </c>
      <c r="N67" s="35">
        <v>0</v>
      </c>
      <c r="O67" s="35">
        <v>0</v>
      </c>
      <c r="P67" s="35"/>
    </row>
    <row r="68" spans="1:16" ht="15">
      <c r="A68" s="3"/>
      <c r="B68" s="116"/>
      <c r="C68" s="74"/>
      <c r="D68" s="72"/>
      <c r="E68" s="72"/>
      <c r="F68" s="72"/>
      <c r="G68" s="71"/>
      <c r="J68" s="34" t="s">
        <v>48</v>
      </c>
      <c r="K68" s="34" t="s">
        <v>57</v>
      </c>
      <c r="L68" s="47">
        <v>51</v>
      </c>
      <c r="M68" s="35">
        <v>49</v>
      </c>
      <c r="N68" s="35">
        <v>0</v>
      </c>
      <c r="O68" s="35">
        <v>0</v>
      </c>
      <c r="P68" s="35"/>
    </row>
    <row r="69" spans="1:16" ht="15">
      <c r="A69" s="3"/>
      <c r="B69" s="116"/>
      <c r="C69" s="74"/>
      <c r="D69" s="72"/>
      <c r="E69" s="72"/>
      <c r="F69" s="72"/>
      <c r="G69" s="71"/>
      <c r="J69" s="34" t="s">
        <v>49</v>
      </c>
      <c r="K69" s="34" t="s">
        <v>57</v>
      </c>
      <c r="L69" s="47">
        <v>-5</v>
      </c>
      <c r="M69" s="35">
        <v>49</v>
      </c>
      <c r="N69" s="35">
        <v>0</v>
      </c>
      <c r="O69" s="35">
        <v>0</v>
      </c>
      <c r="P69" s="35"/>
    </row>
    <row r="70" spans="1:16" ht="15">
      <c r="A70" s="3"/>
      <c r="B70" s="116"/>
      <c r="C70" s="74"/>
      <c r="D70" s="72"/>
      <c r="E70" s="72"/>
      <c r="F70" s="72"/>
      <c r="G70" s="71"/>
      <c r="J70" s="34" t="s">
        <v>38</v>
      </c>
      <c r="K70" s="34" t="s">
        <v>57</v>
      </c>
      <c r="L70" s="47">
        <v>39</v>
      </c>
      <c r="M70" s="35"/>
      <c r="N70" s="35"/>
      <c r="O70" s="35"/>
      <c r="P70" s="35"/>
    </row>
    <row r="71" spans="1:16" ht="15">
      <c r="A71" s="3"/>
      <c r="B71" s="116"/>
      <c r="C71" s="74"/>
      <c r="D71" s="72"/>
      <c r="E71" s="72"/>
      <c r="F71" s="72"/>
      <c r="G71" s="71"/>
      <c r="J71" s="48" t="s">
        <v>11</v>
      </c>
      <c r="K71" s="48"/>
      <c r="L71" s="49">
        <f>SUM(L58:L70)</f>
        <v>466</v>
      </c>
      <c r="M71" s="49">
        <f>SUM(M58:M70)</f>
        <v>589</v>
      </c>
      <c r="N71" s="49">
        <f>SUM(N58:N70)</f>
        <v>106</v>
      </c>
      <c r="O71" s="49">
        <f>SUM(O58:O70)</f>
        <v>0</v>
      </c>
      <c r="P71" s="49">
        <f>SUM(P58:P70)</f>
        <v>0</v>
      </c>
    </row>
    <row r="72" spans="1:16" ht="15">
      <c r="A72" s="3"/>
      <c r="B72" s="116"/>
      <c r="C72" s="74"/>
      <c r="D72" s="72"/>
      <c r="E72" s="72"/>
      <c r="F72" s="72"/>
      <c r="G72" s="71"/>
      <c r="J72" s="55" t="s">
        <v>88</v>
      </c>
      <c r="K72" s="84"/>
      <c r="L72" s="106">
        <f>L71/10</f>
        <v>46.6</v>
      </c>
      <c r="M72" s="106">
        <f>M71/12</f>
        <v>49.083333333333336</v>
      </c>
      <c r="N72" s="106">
        <f>N71/12</f>
        <v>8.833333333333334</v>
      </c>
      <c r="O72" s="106">
        <f>O71/12</f>
        <v>0</v>
      </c>
      <c r="P72" s="107">
        <f>P71/4</f>
        <v>0</v>
      </c>
    </row>
    <row r="73" spans="1:6" ht="15">
      <c r="A73" s="3"/>
      <c r="B73" s="116"/>
      <c r="C73" s="74"/>
      <c r="D73" s="72"/>
      <c r="E73" s="72"/>
      <c r="F73" s="3"/>
    </row>
    <row r="74" spans="1:6" ht="15">
      <c r="A74" s="3"/>
      <c r="B74" s="115"/>
      <c r="C74" s="3"/>
      <c r="D74" s="3"/>
      <c r="E74" s="3"/>
      <c r="F74" s="3"/>
    </row>
    <row r="75" spans="1:6" ht="15">
      <c r="A75" s="3"/>
      <c r="B75" s="115"/>
      <c r="C75" s="3"/>
      <c r="D75" s="3"/>
      <c r="E75" s="3"/>
      <c r="F75" s="3"/>
    </row>
    <row r="76" spans="1:6" ht="15">
      <c r="A76" s="3"/>
      <c r="B76" s="115"/>
      <c r="C76" s="3"/>
      <c r="D76" s="3"/>
      <c r="E76" s="3"/>
      <c r="F76" s="3"/>
    </row>
    <row r="77" spans="1:6" ht="4.5" customHeight="1">
      <c r="A77" s="3"/>
      <c r="B77" s="115"/>
      <c r="C77" s="3"/>
      <c r="D77" s="3"/>
      <c r="E77" s="3"/>
      <c r="F77" s="3"/>
    </row>
    <row r="78" spans="1:6" ht="15">
      <c r="A78" s="3"/>
      <c r="B78" s="117"/>
      <c r="C78" s="74"/>
      <c r="D78" s="72"/>
      <c r="E78" s="72"/>
      <c r="F78" s="3"/>
    </row>
    <row r="79" spans="1:6" ht="15">
      <c r="A79" s="3"/>
      <c r="B79" s="117"/>
      <c r="C79" s="74"/>
      <c r="D79" s="72"/>
      <c r="E79" s="72"/>
      <c r="F79" s="3"/>
    </row>
    <row r="80" spans="1:6" ht="15">
      <c r="A80" s="3"/>
      <c r="B80" s="117"/>
      <c r="C80" s="74"/>
      <c r="D80" s="72"/>
      <c r="E80" s="72"/>
      <c r="F80" s="3"/>
    </row>
    <row r="81" spans="1:6" ht="15">
      <c r="A81" s="3"/>
      <c r="B81" s="117"/>
      <c r="C81" s="74"/>
      <c r="D81" s="72"/>
      <c r="E81" s="72"/>
      <c r="F81" s="3"/>
    </row>
    <row r="82" spans="1:6" ht="15">
      <c r="A82" s="3"/>
      <c r="B82" s="117"/>
      <c r="C82" s="74"/>
      <c r="D82" s="72"/>
      <c r="E82" s="72"/>
      <c r="F82" s="3"/>
    </row>
    <row r="83" spans="1:6" ht="15">
      <c r="A83" s="3"/>
      <c r="B83" s="117"/>
      <c r="C83" s="74"/>
      <c r="D83" s="72"/>
      <c r="E83" s="72"/>
      <c r="F83" s="3"/>
    </row>
    <row r="84" spans="1:6" ht="15">
      <c r="A84" s="3"/>
      <c r="B84" s="117"/>
      <c r="C84" s="74"/>
      <c r="D84" s="72"/>
      <c r="E84" s="72"/>
      <c r="F84" s="3"/>
    </row>
    <row r="85" spans="1:6" ht="15">
      <c r="A85" s="3"/>
      <c r="B85" s="117"/>
      <c r="C85" s="74"/>
      <c r="D85" s="72"/>
      <c r="E85" s="72"/>
      <c r="F85" s="3"/>
    </row>
    <row r="86" spans="1:6" ht="15">
      <c r="A86" s="3"/>
      <c r="B86" s="117"/>
      <c r="C86" s="74"/>
      <c r="D86" s="72"/>
      <c r="E86" s="72"/>
      <c r="F86" s="3"/>
    </row>
    <row r="87" spans="1:6" ht="15">
      <c r="A87" s="3"/>
      <c r="B87" s="117"/>
      <c r="C87" s="74"/>
      <c r="D87" s="72"/>
      <c r="E87" s="72"/>
      <c r="F87" s="3"/>
    </row>
    <row r="88" spans="1:6" ht="15">
      <c r="A88" s="3"/>
      <c r="B88" s="117"/>
      <c r="C88" s="74"/>
      <c r="D88" s="72"/>
      <c r="E88" s="72"/>
      <c r="F88" s="3"/>
    </row>
    <row r="89" spans="1:6" ht="15">
      <c r="A89" s="3"/>
      <c r="B89" s="117"/>
      <c r="C89" s="74"/>
      <c r="D89" s="72"/>
      <c r="E89" s="72"/>
      <c r="F89" s="3"/>
    </row>
    <row r="90" spans="1:6" ht="15">
      <c r="A90" s="3"/>
      <c r="B90" s="116"/>
      <c r="C90" s="74"/>
      <c r="D90" s="72"/>
      <c r="E90" s="72"/>
      <c r="F90" s="3"/>
    </row>
    <row r="91" spans="1:6" ht="15">
      <c r="A91" s="3"/>
      <c r="B91" s="115"/>
      <c r="C91" s="3"/>
      <c r="D91" s="3"/>
      <c r="E91" s="3"/>
      <c r="F91" s="3"/>
    </row>
    <row r="92" spans="1:6" ht="15">
      <c r="A92" s="3"/>
      <c r="B92" s="115"/>
      <c r="C92" s="3"/>
      <c r="D92" s="3"/>
      <c r="E92" s="3"/>
      <c r="F92" s="3"/>
    </row>
    <row r="93" spans="1:6" ht="15">
      <c r="A93" s="3"/>
      <c r="B93" s="115"/>
      <c r="C93" s="3"/>
      <c r="D93" s="3"/>
      <c r="E93" s="3"/>
      <c r="F93" s="3"/>
    </row>
  </sheetData>
  <sheetProtection/>
  <printOptions/>
  <pageMargins left="0" right="0" top="0.5" bottom="0.1" header="0.3" footer="0.3"/>
  <pageSetup fitToHeight="1" fitToWidth="1" horizontalDpi="600" verticalDpi="600" orientation="portrait" scale="69" r:id="rId1"/>
  <headerFooter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Q80"/>
  <sheetViews>
    <sheetView showGridLines="0" zoomScalePageLayoutView="0" workbookViewId="0" topLeftCell="A31">
      <selection activeCell="L50" sqref="L50"/>
    </sheetView>
  </sheetViews>
  <sheetFormatPr defaultColWidth="9.140625" defaultRowHeight="15"/>
  <cols>
    <col min="1" max="1" width="5.00390625" style="135" bestFit="1" customWidth="1"/>
    <col min="2" max="2" width="14.7109375" style="135" hidden="1" customWidth="1"/>
    <col min="3" max="3" width="21.8515625" style="135" bestFit="1" customWidth="1"/>
    <col min="4" max="4" width="13.57421875" style="136" bestFit="1" customWidth="1"/>
    <col min="5" max="5" width="15.57421875" style="136" customWidth="1"/>
    <col min="6" max="6" width="12.28125" style="136" bestFit="1" customWidth="1"/>
    <col min="7" max="7" width="12.57421875" style="136" bestFit="1" customWidth="1"/>
    <col min="8" max="8" width="11.8515625" style="136" bestFit="1" customWidth="1"/>
    <col min="9" max="9" width="1.421875" style="134" customWidth="1"/>
    <col min="10" max="10" width="13.57421875" style="136" bestFit="1" customWidth="1"/>
    <col min="11" max="11" width="14.28125" style="136" bestFit="1" customWidth="1"/>
    <col min="12" max="12" width="12.28125" style="135" bestFit="1" customWidth="1"/>
    <col min="13" max="13" width="16.140625" style="135" bestFit="1" customWidth="1"/>
    <col min="14" max="14" width="15.28125" style="135" customWidth="1"/>
    <col min="15" max="15" width="0.9921875" style="135" customWidth="1"/>
    <col min="16" max="16" width="15.57421875" style="135" bestFit="1" customWidth="1"/>
    <col min="17" max="16384" width="9.140625" style="135" customWidth="1"/>
  </cols>
  <sheetData>
    <row r="1" spans="4:16" ht="15">
      <c r="D1" s="258" t="s">
        <v>110</v>
      </c>
      <c r="E1" s="259"/>
      <c r="F1" s="259"/>
      <c r="G1" s="259"/>
      <c r="H1" s="260"/>
      <c r="J1" s="261" t="s">
        <v>111</v>
      </c>
      <c r="K1" s="261"/>
      <c r="L1" s="261"/>
      <c r="M1" s="261"/>
      <c r="N1" s="261"/>
      <c r="P1" s="261" t="s">
        <v>150</v>
      </c>
    </row>
    <row r="2" spans="1:17" s="160" customFormat="1" ht="45">
      <c r="A2" s="167" t="s">
        <v>30</v>
      </c>
      <c r="B2" s="168" t="s">
        <v>66</v>
      </c>
      <c r="C2" s="169" t="s">
        <v>31</v>
      </c>
      <c r="D2" s="214" t="s">
        <v>67</v>
      </c>
      <c r="E2" s="215" t="s">
        <v>73</v>
      </c>
      <c r="F2" s="215" t="s">
        <v>74</v>
      </c>
      <c r="G2" s="215" t="s">
        <v>68</v>
      </c>
      <c r="H2" s="215" t="s">
        <v>69</v>
      </c>
      <c r="I2" s="159"/>
      <c r="J2" s="215" t="s">
        <v>67</v>
      </c>
      <c r="K2" s="215" t="s">
        <v>75</v>
      </c>
      <c r="L2" s="215" t="s">
        <v>74</v>
      </c>
      <c r="M2" s="215" t="s">
        <v>72</v>
      </c>
      <c r="N2" s="215" t="s">
        <v>70</v>
      </c>
      <c r="P2" s="215"/>
      <c r="Q2" s="1"/>
    </row>
    <row r="3" spans="1:16" ht="15">
      <c r="A3" s="161">
        <v>2002</v>
      </c>
      <c r="B3" s="162">
        <v>3</v>
      </c>
      <c r="C3" s="163" t="s">
        <v>41</v>
      </c>
      <c r="D3" s="164">
        <f>(636831+211248)/10+1</f>
        <v>84808.9</v>
      </c>
      <c r="E3" s="216">
        <v>-25620</v>
      </c>
      <c r="F3" s="216"/>
      <c r="G3" s="216">
        <f>SUM(D3:F3)</f>
        <v>59188.899999999994</v>
      </c>
      <c r="H3" s="216">
        <f>G3</f>
        <v>59188.899999999994</v>
      </c>
      <c r="J3" s="216">
        <f>(636831+211248)/10+1</f>
        <v>84808.9</v>
      </c>
      <c r="K3" s="216">
        <f>-'G-28 Summary'!B17</f>
        <v>-27106.951462000008</v>
      </c>
      <c r="L3" s="231"/>
      <c r="M3" s="216">
        <f>SUM(J3:L3)</f>
        <v>57701.94853799998</v>
      </c>
      <c r="N3" s="216">
        <f>M3</f>
        <v>57701.94853799998</v>
      </c>
      <c r="P3" s="216"/>
    </row>
    <row r="4" spans="1:16" ht="15">
      <c r="A4" s="161">
        <v>2002</v>
      </c>
      <c r="B4" s="162">
        <v>4</v>
      </c>
      <c r="C4" s="163" t="s">
        <v>42</v>
      </c>
      <c r="D4" s="164">
        <f aca="true" t="shared" si="0" ref="D4:D12">(636831+211248)/10</f>
        <v>84807.9</v>
      </c>
      <c r="E4" s="216">
        <v>-59118</v>
      </c>
      <c r="F4" s="216"/>
      <c r="G4" s="216">
        <f aca="true" t="shared" si="1" ref="G4:G12">SUM(D4:F4)</f>
        <v>25689.899999999994</v>
      </c>
      <c r="H4" s="216">
        <f>H3+G4</f>
        <v>84878.79999999999</v>
      </c>
      <c r="J4" s="216">
        <f aca="true" t="shared" si="2" ref="J4:J12">(636831+211248)/10</f>
        <v>84807.9</v>
      </c>
      <c r="K4" s="216">
        <f>-'G-28 Summary'!B18</f>
        <v>-62383.162840000005</v>
      </c>
      <c r="L4" s="231"/>
      <c r="M4" s="216">
        <f aca="true" t="shared" si="3" ref="M4:M12">SUM(J4:L4)</f>
        <v>22424.73715999999</v>
      </c>
      <c r="N4" s="216">
        <f>N3+M4</f>
        <v>80126.68569799997</v>
      </c>
      <c r="P4" s="216"/>
    </row>
    <row r="5" spans="1:16" ht="15">
      <c r="A5" s="161">
        <v>2002</v>
      </c>
      <c r="B5" s="162">
        <v>5</v>
      </c>
      <c r="C5" s="163" t="s">
        <v>35</v>
      </c>
      <c r="D5" s="164">
        <f t="shared" si="0"/>
        <v>84807.9</v>
      </c>
      <c r="E5" s="216">
        <v>-57155</v>
      </c>
      <c r="F5" s="216"/>
      <c r="G5" s="216">
        <f t="shared" si="1"/>
        <v>27652.899999999994</v>
      </c>
      <c r="H5" s="216">
        <f>H4+G5</f>
        <v>112531.69999999998</v>
      </c>
      <c r="J5" s="216">
        <f t="shared" si="2"/>
        <v>84807.9</v>
      </c>
      <c r="K5" s="216">
        <f>-'G-28 Summary'!B19</f>
        <v>-60420.985006</v>
      </c>
      <c r="L5" s="231"/>
      <c r="M5" s="216">
        <f t="shared" si="3"/>
        <v>24386.91499399999</v>
      </c>
      <c r="N5" s="216">
        <f aca="true" t="shared" si="4" ref="N5:N11">N4+M5</f>
        <v>104513.60069199996</v>
      </c>
      <c r="P5" s="216"/>
    </row>
    <row r="6" spans="1:16" ht="15">
      <c r="A6" s="161">
        <v>2002</v>
      </c>
      <c r="B6" s="162">
        <v>6</v>
      </c>
      <c r="C6" s="163" t="s">
        <v>36</v>
      </c>
      <c r="D6" s="164">
        <f t="shared" si="0"/>
        <v>84807.9</v>
      </c>
      <c r="E6" s="216">
        <v>-44244</v>
      </c>
      <c r="F6" s="216"/>
      <c r="G6" s="216">
        <f t="shared" si="1"/>
        <v>40563.899999999994</v>
      </c>
      <c r="H6" s="216">
        <f aca="true" t="shared" si="5" ref="H6:H12">H5+G6</f>
        <v>153095.59999999998</v>
      </c>
      <c r="J6" s="216">
        <f t="shared" si="2"/>
        <v>84807.9</v>
      </c>
      <c r="K6" s="216">
        <f>-'G-28 Summary'!B20</f>
        <v>-46737.15020999999</v>
      </c>
      <c r="L6" s="232">
        <v>3313.056998846005</v>
      </c>
      <c r="M6" s="216">
        <f t="shared" si="3"/>
        <v>41383.80678884601</v>
      </c>
      <c r="N6" s="216">
        <f t="shared" si="4"/>
        <v>145897.40748084598</v>
      </c>
      <c r="P6" s="216"/>
    </row>
    <row r="7" spans="1:16" ht="15">
      <c r="A7" s="161">
        <v>2002</v>
      </c>
      <c r="B7" s="162">
        <v>7</v>
      </c>
      <c r="C7" s="163" t="s">
        <v>44</v>
      </c>
      <c r="D7" s="164">
        <f t="shared" si="0"/>
        <v>84807.9</v>
      </c>
      <c r="E7" s="216">
        <v>-72053</v>
      </c>
      <c r="F7" s="216"/>
      <c r="G7" s="216">
        <f t="shared" si="1"/>
        <v>12754.899999999994</v>
      </c>
      <c r="H7" s="216">
        <f t="shared" si="5"/>
        <v>165850.49999999997</v>
      </c>
      <c r="J7" s="216">
        <f t="shared" si="2"/>
        <v>84807.9</v>
      </c>
      <c r="K7" s="216">
        <f>-'G-28 Summary'!B21</f>
        <v>-76114.985503</v>
      </c>
      <c r="L7" s="231"/>
      <c r="M7" s="216">
        <f t="shared" si="3"/>
        <v>8692.91449699999</v>
      </c>
      <c r="N7" s="216">
        <f t="shared" si="4"/>
        <v>154590.32197784598</v>
      </c>
      <c r="P7" s="216"/>
    </row>
    <row r="8" spans="1:16" ht="15">
      <c r="A8" s="161">
        <v>2002</v>
      </c>
      <c r="B8" s="162">
        <v>8</v>
      </c>
      <c r="C8" s="163" t="s">
        <v>45</v>
      </c>
      <c r="D8" s="164">
        <f t="shared" si="0"/>
        <v>84807.9</v>
      </c>
      <c r="E8" s="216">
        <v>-58512</v>
      </c>
      <c r="F8" s="216"/>
      <c r="G8" s="216">
        <f t="shared" si="1"/>
        <v>26295.899999999994</v>
      </c>
      <c r="H8" s="216">
        <f t="shared" si="5"/>
        <v>192146.39999999997</v>
      </c>
      <c r="J8" s="216">
        <f t="shared" si="2"/>
        <v>84807.9</v>
      </c>
      <c r="K8" s="216">
        <f>-'G-28 Summary'!B22</f>
        <v>-61777.456134</v>
      </c>
      <c r="L8" s="231"/>
      <c r="M8" s="216">
        <f t="shared" si="3"/>
        <v>23030.443865999994</v>
      </c>
      <c r="N8" s="216">
        <f t="shared" si="4"/>
        <v>177620.76584384596</v>
      </c>
      <c r="P8" s="216"/>
    </row>
    <row r="9" spans="1:16" ht="15">
      <c r="A9" s="161">
        <v>2002</v>
      </c>
      <c r="B9" s="162">
        <v>9</v>
      </c>
      <c r="C9" s="163" t="s">
        <v>71</v>
      </c>
      <c r="D9" s="164">
        <f t="shared" si="0"/>
        <v>84807.9</v>
      </c>
      <c r="E9" s="216">
        <v>-100627</v>
      </c>
      <c r="F9" s="216"/>
      <c r="G9" s="216">
        <f t="shared" si="1"/>
        <v>-15819.100000000006</v>
      </c>
      <c r="H9" s="216">
        <f t="shared" si="5"/>
        <v>176327.29999999996</v>
      </c>
      <c r="J9" s="216">
        <f t="shared" si="2"/>
        <v>84807.9</v>
      </c>
      <c r="K9" s="216">
        <f>-'G-28 Summary'!B23</f>
        <v>-106368.396494</v>
      </c>
      <c r="L9" s="231"/>
      <c r="M9" s="216">
        <f t="shared" si="3"/>
        <v>-21560.496494000006</v>
      </c>
      <c r="N9" s="216">
        <f t="shared" si="4"/>
        <v>156060.26934984594</v>
      </c>
      <c r="P9" s="216"/>
    </row>
    <row r="10" spans="1:16" ht="15">
      <c r="A10" s="161">
        <v>2002</v>
      </c>
      <c r="B10" s="162">
        <v>10</v>
      </c>
      <c r="C10" s="163" t="s">
        <v>47</v>
      </c>
      <c r="D10" s="164">
        <f t="shared" si="0"/>
        <v>84807.9</v>
      </c>
      <c r="E10" s="216">
        <v>-68141</v>
      </c>
      <c r="F10" s="216"/>
      <c r="G10" s="216">
        <f t="shared" si="1"/>
        <v>16666.899999999994</v>
      </c>
      <c r="H10" s="216">
        <f t="shared" si="5"/>
        <v>192994.19999999995</v>
      </c>
      <c r="J10" s="216">
        <f t="shared" si="2"/>
        <v>84807.9</v>
      </c>
      <c r="K10" s="216">
        <f>-'G-28 Summary'!B24</f>
        <v>-72063.038072</v>
      </c>
      <c r="L10" s="231"/>
      <c r="M10" s="216">
        <f t="shared" si="3"/>
        <v>12744.861927999998</v>
      </c>
      <c r="N10" s="216">
        <f t="shared" si="4"/>
        <v>168805.13127784594</v>
      </c>
      <c r="P10" s="216"/>
    </row>
    <row r="11" spans="1:16" ht="15">
      <c r="A11" s="161">
        <v>2002</v>
      </c>
      <c r="B11" s="162">
        <v>11</v>
      </c>
      <c r="C11" s="163" t="s">
        <v>48</v>
      </c>
      <c r="D11" s="164">
        <f t="shared" si="0"/>
        <v>84807.9</v>
      </c>
      <c r="E11" s="216">
        <v>-51249</v>
      </c>
      <c r="F11" s="216"/>
      <c r="G11" s="216">
        <f t="shared" si="1"/>
        <v>33558.899999999994</v>
      </c>
      <c r="H11" s="216">
        <f t="shared" si="5"/>
        <v>226553.09999999995</v>
      </c>
      <c r="J11" s="216">
        <f t="shared" si="2"/>
        <v>84807.9</v>
      </c>
      <c r="K11" s="216">
        <f>-'G-28 Summary'!B25</f>
        <v>-54122.09734100001</v>
      </c>
      <c r="L11" s="231"/>
      <c r="M11" s="216">
        <f t="shared" si="3"/>
        <v>30685.802658999986</v>
      </c>
      <c r="N11" s="216">
        <f t="shared" si="4"/>
        <v>199490.93393684592</v>
      </c>
      <c r="P11" s="216"/>
    </row>
    <row r="12" spans="1:16" ht="15">
      <c r="A12" s="161">
        <v>2002</v>
      </c>
      <c r="B12" s="162">
        <v>12</v>
      </c>
      <c r="C12" s="163" t="s">
        <v>76</v>
      </c>
      <c r="D12" s="164">
        <f t="shared" si="0"/>
        <v>84807.9</v>
      </c>
      <c r="E12" s="216">
        <v>-39802</v>
      </c>
      <c r="F12" s="216"/>
      <c r="G12" s="216">
        <f t="shared" si="1"/>
        <v>45005.899999999994</v>
      </c>
      <c r="H12" s="216">
        <f t="shared" si="5"/>
        <v>271558.99999999994</v>
      </c>
      <c r="J12" s="216">
        <f t="shared" si="2"/>
        <v>84807.9</v>
      </c>
      <c r="K12" s="216">
        <f>-('G-28 Summary'!B26+'G-28 Summary'!B27)</f>
        <v>-98886.3217265</v>
      </c>
      <c r="L12" s="231"/>
      <c r="M12" s="216">
        <f t="shared" si="3"/>
        <v>-14078.421726500004</v>
      </c>
      <c r="N12" s="216">
        <f>N11+M12</f>
        <v>185412.5122103459</v>
      </c>
      <c r="P12" s="216"/>
    </row>
    <row r="13" spans="1:16" s="18" customFormat="1" ht="15">
      <c r="A13" s="133" t="s">
        <v>92</v>
      </c>
      <c r="B13" s="137"/>
      <c r="C13" s="138"/>
      <c r="D13" s="139">
        <f>SUM(D3:D12)</f>
        <v>848080.0000000001</v>
      </c>
      <c r="E13" s="217">
        <f>SUM(E3:E12)</f>
        <v>-576521</v>
      </c>
      <c r="F13" s="217">
        <f>SUM(F3:F12)</f>
        <v>0</v>
      </c>
      <c r="G13" s="217">
        <f>SUM(G3:G12)</f>
        <v>271558.99999999994</v>
      </c>
      <c r="H13" s="217"/>
      <c r="I13" s="140"/>
      <c r="J13" s="217">
        <f>SUM(J3:J12)</f>
        <v>848080.0000000001</v>
      </c>
      <c r="K13" s="217">
        <f>SUM(K3:K12)</f>
        <v>-665980.5447885001</v>
      </c>
      <c r="L13" s="217">
        <f>SUM(L3:L12)</f>
        <v>3313.056998846005</v>
      </c>
      <c r="M13" s="217">
        <f>SUM(M3:M12)</f>
        <v>185412.5122103459</v>
      </c>
      <c r="N13" s="217"/>
      <c r="P13" s="217">
        <f>M13-G13</f>
        <v>-86146.48778965403</v>
      </c>
    </row>
    <row r="14" spans="1:16" ht="15">
      <c r="A14" s="161"/>
      <c r="B14" s="162"/>
      <c r="C14" s="163"/>
      <c r="D14" s="164"/>
      <c r="E14" s="216"/>
      <c r="F14" s="216"/>
      <c r="G14" s="216"/>
      <c r="H14" s="216"/>
      <c r="J14" s="216"/>
      <c r="K14" s="216"/>
      <c r="L14" s="231"/>
      <c r="M14" s="216"/>
      <c r="N14" s="216"/>
      <c r="P14" s="216"/>
    </row>
    <row r="15" spans="1:16" ht="15">
      <c r="A15" s="161">
        <v>2003</v>
      </c>
      <c r="B15" s="165">
        <v>1</v>
      </c>
      <c r="C15" s="163" t="s">
        <v>39</v>
      </c>
      <c r="D15" s="164">
        <v>53069</v>
      </c>
      <c r="E15" s="216">
        <v>-87046</v>
      </c>
      <c r="F15" s="216"/>
      <c r="G15" s="216">
        <f>SUM(D15:F15)</f>
        <v>-33977</v>
      </c>
      <c r="H15" s="216">
        <f>H12+G15</f>
        <v>237581.99999999994</v>
      </c>
      <c r="J15" s="241">
        <f>ROUND((222242-10994+622054+14777)/12,2)</f>
        <v>70673.25</v>
      </c>
      <c r="K15" s="216">
        <f>-'G-28 Summary'!C15</f>
        <v>-85468.35361273644</v>
      </c>
      <c r="L15" s="231"/>
      <c r="M15" s="216">
        <f aca="true" t="shared" si="6" ref="M15:M26">SUM(J15:L15)</f>
        <v>-14795.103612736435</v>
      </c>
      <c r="N15" s="216">
        <f>N12+M15</f>
        <v>170617.4085976095</v>
      </c>
      <c r="P15" s="216"/>
    </row>
    <row r="16" spans="1:16" ht="15">
      <c r="A16" s="161">
        <v>2003</v>
      </c>
      <c r="B16" s="165">
        <v>2</v>
      </c>
      <c r="C16" s="163" t="s">
        <v>40</v>
      </c>
      <c r="D16" s="164">
        <v>53069</v>
      </c>
      <c r="E16" s="216">
        <v>-73822</v>
      </c>
      <c r="F16" s="216"/>
      <c r="G16" s="216">
        <f aca="true" t="shared" si="7" ref="G16:G26">SUM(D16:F16)</f>
        <v>-20753</v>
      </c>
      <c r="H16" s="216">
        <f>H15+G16</f>
        <v>216828.99999999994</v>
      </c>
      <c r="J16" s="241">
        <f aca="true" t="shared" si="8" ref="J16:J26">ROUND((222242-10994+622054+14777)/12,2)</f>
        <v>70673.25</v>
      </c>
      <c r="K16" s="216">
        <f>-'G-28 Summary'!C16</f>
        <v>-76513.28715880614</v>
      </c>
      <c r="L16" s="231"/>
      <c r="M16" s="216">
        <f t="shared" si="6"/>
        <v>-5840.037158806139</v>
      </c>
      <c r="N16" s="216">
        <f>N15+M16</f>
        <v>164777.37143880335</v>
      </c>
      <c r="P16" s="216"/>
    </row>
    <row r="17" spans="1:16" ht="15">
      <c r="A17" s="161">
        <v>2003</v>
      </c>
      <c r="B17" s="165">
        <v>3</v>
      </c>
      <c r="C17" s="163" t="s">
        <v>41</v>
      </c>
      <c r="D17" s="164">
        <v>53069</v>
      </c>
      <c r="E17" s="216">
        <v>-94022</v>
      </c>
      <c r="F17" s="216"/>
      <c r="G17" s="216">
        <f t="shared" si="7"/>
        <v>-40953</v>
      </c>
      <c r="H17" s="216">
        <f aca="true" t="shared" si="9" ref="H17:H25">H16+G17</f>
        <v>175875.99999999994</v>
      </c>
      <c r="J17" s="241">
        <f t="shared" si="8"/>
        <v>70673.25</v>
      </c>
      <c r="K17" s="216">
        <f>-'G-28 Summary'!C17</f>
        <v>-88909.71710757671</v>
      </c>
      <c r="L17" s="231"/>
      <c r="M17" s="216">
        <f t="shared" si="6"/>
        <v>-18236.46710757671</v>
      </c>
      <c r="N17" s="216">
        <f aca="true" t="shared" si="10" ref="N17:N25">N16+M17</f>
        <v>146540.90433122666</v>
      </c>
      <c r="P17" s="216"/>
    </row>
    <row r="18" spans="1:16" ht="15">
      <c r="A18" s="161">
        <v>2003</v>
      </c>
      <c r="B18" s="165">
        <v>4</v>
      </c>
      <c r="C18" s="163" t="s">
        <v>42</v>
      </c>
      <c r="D18" s="164">
        <v>53069</v>
      </c>
      <c r="E18" s="216">
        <v>-64420</v>
      </c>
      <c r="F18" s="216"/>
      <c r="G18" s="216">
        <f t="shared" si="7"/>
        <v>-11351</v>
      </c>
      <c r="H18" s="216">
        <f t="shared" si="9"/>
        <v>164524.99999999994</v>
      </c>
      <c r="J18" s="241">
        <f t="shared" si="8"/>
        <v>70673.25</v>
      </c>
      <c r="K18" s="216">
        <f>-'G-28 Summary'!C18</f>
        <v>-69986.01952417762</v>
      </c>
      <c r="L18" s="231"/>
      <c r="M18" s="216">
        <f t="shared" si="6"/>
        <v>687.2304758223763</v>
      </c>
      <c r="N18" s="216">
        <f t="shared" si="10"/>
        <v>147228.13480704903</v>
      </c>
      <c r="P18" s="216"/>
    </row>
    <row r="19" spans="1:16" ht="15">
      <c r="A19" s="161">
        <v>2003</v>
      </c>
      <c r="B19" s="165">
        <v>5</v>
      </c>
      <c r="C19" s="163" t="s">
        <v>35</v>
      </c>
      <c r="D19" s="164">
        <v>53069</v>
      </c>
      <c r="E19" s="216">
        <v>-63727</v>
      </c>
      <c r="F19" s="216"/>
      <c r="G19" s="216">
        <f t="shared" si="7"/>
        <v>-10658</v>
      </c>
      <c r="H19" s="216">
        <f t="shared" si="9"/>
        <v>153866.99999999994</v>
      </c>
      <c r="J19" s="241">
        <f t="shared" si="8"/>
        <v>70673.25</v>
      </c>
      <c r="K19" s="216">
        <f>-'G-28 Summary'!C19</f>
        <v>-68508.45426008913</v>
      </c>
      <c r="L19" s="231"/>
      <c r="M19" s="216">
        <f t="shared" si="6"/>
        <v>2164.795739910871</v>
      </c>
      <c r="N19" s="216">
        <f t="shared" si="10"/>
        <v>149392.93054695992</v>
      </c>
      <c r="P19" s="216"/>
    </row>
    <row r="20" spans="1:16" ht="15">
      <c r="A20" s="161">
        <v>2003</v>
      </c>
      <c r="B20" s="165">
        <v>6</v>
      </c>
      <c r="C20" s="163" t="s">
        <v>36</v>
      </c>
      <c r="D20" s="164">
        <v>53069</v>
      </c>
      <c r="E20" s="216">
        <v>-63162</v>
      </c>
      <c r="F20" s="218">
        <v>-58251</v>
      </c>
      <c r="G20" s="216">
        <f>SUM(D20:F20)</f>
        <v>-68344</v>
      </c>
      <c r="H20" s="216">
        <f t="shared" si="9"/>
        <v>85522.99999999994</v>
      </c>
      <c r="J20" s="241">
        <f t="shared" si="8"/>
        <v>70673.25</v>
      </c>
      <c r="K20" s="216">
        <f>-'G-28 Summary'!C20</f>
        <v>-67905.48490488938</v>
      </c>
      <c r="L20" s="232">
        <v>4517.407999999999</v>
      </c>
      <c r="M20" s="216">
        <f t="shared" si="6"/>
        <v>7285.173095110618</v>
      </c>
      <c r="N20" s="216">
        <f t="shared" si="10"/>
        <v>156678.10364207055</v>
      </c>
      <c r="P20" s="216"/>
    </row>
    <row r="21" spans="1:16" ht="15">
      <c r="A21" s="161">
        <v>2003</v>
      </c>
      <c r="B21" s="165">
        <v>7</v>
      </c>
      <c r="C21" s="163" t="s">
        <v>44</v>
      </c>
      <c r="D21" s="164">
        <v>53069</v>
      </c>
      <c r="E21" s="216">
        <v>-63776</v>
      </c>
      <c r="F21" s="216"/>
      <c r="G21" s="216">
        <f t="shared" si="7"/>
        <v>-10707</v>
      </c>
      <c r="H21" s="216">
        <f t="shared" si="9"/>
        <v>74815.99999999994</v>
      </c>
      <c r="J21" s="241">
        <f t="shared" si="8"/>
        <v>70673.25</v>
      </c>
      <c r="K21" s="216">
        <f>-'G-28 Summary'!C21</f>
        <v>-68753.19629437222</v>
      </c>
      <c r="L21" s="231"/>
      <c r="M21" s="216">
        <f t="shared" si="6"/>
        <v>1920.0537056277826</v>
      </c>
      <c r="N21" s="216">
        <f t="shared" si="10"/>
        <v>158598.15734769835</v>
      </c>
      <c r="P21" s="216"/>
    </row>
    <row r="22" spans="1:16" ht="15">
      <c r="A22" s="161">
        <v>2003</v>
      </c>
      <c r="B22" s="165">
        <v>8</v>
      </c>
      <c r="C22" s="163" t="s">
        <v>45</v>
      </c>
      <c r="D22" s="164">
        <v>53069</v>
      </c>
      <c r="E22" s="216">
        <v>-73310</v>
      </c>
      <c r="F22" s="216"/>
      <c r="G22" s="216">
        <f t="shared" si="7"/>
        <v>-20241</v>
      </c>
      <c r="H22" s="216">
        <f t="shared" si="9"/>
        <v>54574.99999999994</v>
      </c>
      <c r="J22" s="241">
        <f t="shared" si="8"/>
        <v>70673.25</v>
      </c>
      <c r="K22" s="216">
        <f>-'G-28 Summary'!C22</f>
        <v>-75534.87176193071</v>
      </c>
      <c r="L22" s="231"/>
      <c r="M22" s="216">
        <f t="shared" si="6"/>
        <v>-4861.621761930714</v>
      </c>
      <c r="N22" s="216">
        <f t="shared" si="10"/>
        <v>153736.53558576765</v>
      </c>
      <c r="P22" s="216"/>
    </row>
    <row r="23" spans="1:16" ht="15">
      <c r="A23" s="161">
        <v>2003</v>
      </c>
      <c r="B23" s="165">
        <v>9</v>
      </c>
      <c r="C23" s="163" t="s">
        <v>71</v>
      </c>
      <c r="D23" s="164">
        <v>53069</v>
      </c>
      <c r="E23" s="216">
        <v>-67709</v>
      </c>
      <c r="F23" s="216"/>
      <c r="G23" s="216">
        <f t="shared" si="7"/>
        <v>-14640</v>
      </c>
      <c r="H23" s="216">
        <f t="shared" si="9"/>
        <v>39934.99999999994</v>
      </c>
      <c r="J23" s="241">
        <f t="shared" si="8"/>
        <v>70673.25</v>
      </c>
      <c r="K23" s="216">
        <f>-'G-28 Summary'!C23</f>
        <v>-72860.92047175913</v>
      </c>
      <c r="L23" s="231"/>
      <c r="M23" s="216">
        <f t="shared" si="6"/>
        <v>-2187.6704717591347</v>
      </c>
      <c r="N23" s="216">
        <f t="shared" si="10"/>
        <v>151548.8651140085</v>
      </c>
      <c r="P23" s="216"/>
    </row>
    <row r="24" spans="1:16" ht="15">
      <c r="A24" s="161">
        <v>2003</v>
      </c>
      <c r="B24" s="165">
        <v>10</v>
      </c>
      <c r="C24" s="163" t="s">
        <v>47</v>
      </c>
      <c r="D24" s="164">
        <v>53069</v>
      </c>
      <c r="E24" s="216">
        <v>-66369</v>
      </c>
      <c r="F24" s="216"/>
      <c r="G24" s="216">
        <f t="shared" si="7"/>
        <v>-13300</v>
      </c>
      <c r="H24" s="216">
        <f t="shared" si="9"/>
        <v>26634.99999999994</v>
      </c>
      <c r="J24" s="241">
        <f t="shared" si="8"/>
        <v>70673.25</v>
      </c>
      <c r="K24" s="216">
        <f>-'G-28 Summary'!C24</f>
        <v>-70627.63266960667</v>
      </c>
      <c r="L24" s="231"/>
      <c r="M24" s="216">
        <f t="shared" si="6"/>
        <v>45.61733039333194</v>
      </c>
      <c r="N24" s="216">
        <f t="shared" si="10"/>
        <v>151594.48244440183</v>
      </c>
      <c r="P24" s="216"/>
    </row>
    <row r="25" spans="1:16" ht="15">
      <c r="A25" s="161">
        <v>2003</v>
      </c>
      <c r="B25" s="165">
        <v>11</v>
      </c>
      <c r="C25" s="163" t="s">
        <v>48</v>
      </c>
      <c r="D25" s="164">
        <v>53069</v>
      </c>
      <c r="E25" s="216">
        <v>-67938</v>
      </c>
      <c r="F25" s="216"/>
      <c r="G25" s="216">
        <f t="shared" si="7"/>
        <v>-14869</v>
      </c>
      <c r="H25" s="216">
        <f t="shared" si="9"/>
        <v>11765.999999999942</v>
      </c>
      <c r="J25" s="241">
        <f t="shared" si="8"/>
        <v>70673.25</v>
      </c>
      <c r="K25" s="216">
        <f>-'G-28 Summary'!C25</f>
        <v>-70798.60310095573</v>
      </c>
      <c r="L25" s="231"/>
      <c r="M25" s="216">
        <f t="shared" si="6"/>
        <v>-125.35310095573368</v>
      </c>
      <c r="N25" s="216">
        <f t="shared" si="10"/>
        <v>151469.1293434461</v>
      </c>
      <c r="P25" s="216"/>
    </row>
    <row r="26" spans="1:16" ht="15">
      <c r="A26" s="161">
        <v>2003</v>
      </c>
      <c r="B26" s="165">
        <v>12</v>
      </c>
      <c r="C26" s="163" t="s">
        <v>76</v>
      </c>
      <c r="D26" s="164">
        <v>53073</v>
      </c>
      <c r="E26" s="216">
        <v>-65417</v>
      </c>
      <c r="F26" s="216"/>
      <c r="G26" s="216">
        <f t="shared" si="7"/>
        <v>-12344</v>
      </c>
      <c r="H26" s="216">
        <f>H25+G26</f>
        <v>-578.0000000000582</v>
      </c>
      <c r="J26" s="241">
        <f t="shared" si="8"/>
        <v>70673.25</v>
      </c>
      <c r="K26" s="216">
        <f>-('G-28 Summary'!C26+'G-28 Summary'!C27)</f>
        <v>-79167.45952262364</v>
      </c>
      <c r="L26" s="231"/>
      <c r="M26" s="216">
        <f t="shared" si="6"/>
        <v>-8494.209522623642</v>
      </c>
      <c r="N26" s="216">
        <f>N25+M26</f>
        <v>142974.91982082248</v>
      </c>
      <c r="P26" s="216"/>
    </row>
    <row r="27" spans="1:16" s="18" customFormat="1" ht="15">
      <c r="A27" s="133" t="s">
        <v>93</v>
      </c>
      <c r="B27" s="137"/>
      <c r="C27" s="138"/>
      <c r="D27" s="139">
        <f>SUM(D15:D26)</f>
        <v>636832</v>
      </c>
      <c r="E27" s="217">
        <f>SUM(E15:E26)</f>
        <v>-850718</v>
      </c>
      <c r="F27" s="217">
        <f>SUM(F15:F26)</f>
        <v>-58251</v>
      </c>
      <c r="G27" s="217">
        <f>SUM(G15:G26)</f>
        <v>-272137</v>
      </c>
      <c r="H27" s="217"/>
      <c r="I27" s="140"/>
      <c r="J27" s="217">
        <f>SUM(J15:J26)</f>
        <v>848079</v>
      </c>
      <c r="K27" s="217">
        <f>SUM(K15:K26)</f>
        <v>-895034.0003895237</v>
      </c>
      <c r="L27" s="217">
        <f>SUM(L15:L26)</f>
        <v>4517.407999999999</v>
      </c>
      <c r="M27" s="217">
        <f>SUM(M15:M26)</f>
        <v>-42437.59238952353</v>
      </c>
      <c r="N27" s="217"/>
      <c r="P27" s="217">
        <f>M27-G27</f>
        <v>229699.40761047648</v>
      </c>
    </row>
    <row r="28" spans="1:16" ht="15">
      <c r="A28" s="161"/>
      <c r="B28" s="165"/>
      <c r="C28" s="163"/>
      <c r="D28" s="164"/>
      <c r="E28" s="216"/>
      <c r="F28" s="216"/>
      <c r="G28" s="216"/>
      <c r="H28" s="216"/>
      <c r="J28" s="242" t="s">
        <v>135</v>
      </c>
      <c r="K28" s="241"/>
      <c r="L28" s="243"/>
      <c r="M28" s="243"/>
      <c r="N28" s="231"/>
      <c r="P28" s="231"/>
    </row>
    <row r="29" spans="1:16" ht="15">
      <c r="A29" s="161"/>
      <c r="B29" s="165"/>
      <c r="C29" s="163"/>
      <c r="D29" s="164"/>
      <c r="E29" s="216"/>
      <c r="F29" s="216"/>
      <c r="G29" s="216"/>
      <c r="H29" s="216"/>
      <c r="J29" s="216"/>
      <c r="K29" s="216"/>
      <c r="L29" s="231"/>
      <c r="M29" s="231"/>
      <c r="N29" s="231"/>
      <c r="P29" s="231"/>
    </row>
    <row r="30" spans="1:16" ht="15">
      <c r="A30" s="161">
        <v>2004</v>
      </c>
      <c r="B30" s="165">
        <v>1</v>
      </c>
      <c r="C30" s="163" t="s">
        <v>39</v>
      </c>
      <c r="D30" s="164">
        <v>53069</v>
      </c>
      <c r="E30" s="216">
        <v>-71949</v>
      </c>
      <c r="F30" s="216"/>
      <c r="G30" s="216">
        <f aca="true" t="shared" si="11" ref="G30:G41">SUM(D30:F30)</f>
        <v>-18880</v>
      </c>
      <c r="H30" s="216">
        <f>H26+G30</f>
        <v>-19458.00000000006</v>
      </c>
      <c r="J30" s="241">
        <f>ROUND(848079/12,0)</f>
        <v>70673</v>
      </c>
      <c r="K30" s="216">
        <f>-'G-28 Summary'!D15</f>
        <v>-74662.89101737186</v>
      </c>
      <c r="L30" s="231"/>
      <c r="M30" s="216">
        <f aca="true" t="shared" si="12" ref="M30:M41">SUM(J30:L30)</f>
        <v>-3989.8910173718614</v>
      </c>
      <c r="N30" s="216">
        <f>M30+N26</f>
        <v>138985.02880345064</v>
      </c>
      <c r="P30" s="216"/>
    </row>
    <row r="31" spans="1:16" ht="15">
      <c r="A31" s="161">
        <v>2004</v>
      </c>
      <c r="B31" s="165">
        <v>2</v>
      </c>
      <c r="C31" s="163" t="s">
        <v>40</v>
      </c>
      <c r="D31" s="164">
        <v>53069</v>
      </c>
      <c r="E31" s="216">
        <v>-71324</v>
      </c>
      <c r="F31" s="216"/>
      <c r="G31" s="216">
        <f t="shared" si="11"/>
        <v>-18255</v>
      </c>
      <c r="H31" s="216">
        <f>H30+G31</f>
        <v>-37713.00000000006</v>
      </c>
      <c r="J31" s="241">
        <f>ROUND(848079/12,0)</f>
        <v>70673</v>
      </c>
      <c r="K31" s="216">
        <f>-'G-28 Summary'!D16</f>
        <v>-74119.72187135398</v>
      </c>
      <c r="L31" s="231"/>
      <c r="M31" s="216">
        <f t="shared" si="12"/>
        <v>-3446.721871353977</v>
      </c>
      <c r="N31" s="216">
        <f>N30+M31</f>
        <v>135538.30693209666</v>
      </c>
      <c r="P31" s="216"/>
    </row>
    <row r="32" spans="1:16" ht="15">
      <c r="A32" s="161">
        <v>2004</v>
      </c>
      <c r="B32" s="165">
        <v>3</v>
      </c>
      <c r="C32" s="163" t="s">
        <v>41</v>
      </c>
      <c r="D32" s="164">
        <v>53069</v>
      </c>
      <c r="E32" s="216">
        <v>-79283</v>
      </c>
      <c r="F32" s="216"/>
      <c r="G32" s="216">
        <f t="shared" si="11"/>
        <v>-26214</v>
      </c>
      <c r="H32" s="216">
        <f aca="true" t="shared" si="13" ref="H32:H40">H31+G32</f>
        <v>-63927.00000000006</v>
      </c>
      <c r="J32" s="241">
        <f>ROUND(848079/12,0)</f>
        <v>70673</v>
      </c>
      <c r="K32" s="216">
        <f>-'G-28 Summary'!D17</f>
        <v>-80234.00743607433</v>
      </c>
      <c r="L32" s="231"/>
      <c r="M32" s="216">
        <f t="shared" si="12"/>
        <v>-9561.007436074331</v>
      </c>
      <c r="N32" s="216">
        <f>N31+M32</f>
        <v>125977.29949602233</v>
      </c>
      <c r="P32" s="216"/>
    </row>
    <row r="33" spans="1:16" ht="15">
      <c r="A33" s="161">
        <v>2004</v>
      </c>
      <c r="B33" s="165">
        <v>4</v>
      </c>
      <c r="C33" s="163" t="s">
        <v>42</v>
      </c>
      <c r="D33" s="164">
        <v>53069</v>
      </c>
      <c r="E33" s="216">
        <f>-47731-8599.96</f>
        <v>-56330.96</v>
      </c>
      <c r="F33" s="216"/>
      <c r="G33" s="216">
        <f t="shared" si="11"/>
        <v>-3261.959999999999</v>
      </c>
      <c r="H33" s="216">
        <f t="shared" si="13"/>
        <v>-67188.96000000005</v>
      </c>
      <c r="J33" s="216">
        <v>53069</v>
      </c>
      <c r="K33" s="216">
        <f>-'G-28 Summary'!D18</f>
        <v>-43982.53106375001</v>
      </c>
      <c r="L33" s="231"/>
      <c r="M33" s="216">
        <f t="shared" si="12"/>
        <v>9086.468936249992</v>
      </c>
      <c r="N33" s="216">
        <f>N32+M33</f>
        <v>135063.7684322723</v>
      </c>
      <c r="P33" s="216"/>
    </row>
    <row r="34" spans="1:16" ht="15">
      <c r="A34" s="161">
        <v>2004</v>
      </c>
      <c r="B34" s="165">
        <v>5</v>
      </c>
      <c r="C34" s="163" t="s">
        <v>35</v>
      </c>
      <c r="D34" s="164">
        <v>53069</v>
      </c>
      <c r="E34" s="216">
        <f>-10935-40052.61</f>
        <v>-50987.61</v>
      </c>
      <c r="F34" s="216"/>
      <c r="G34" s="216">
        <f t="shared" si="11"/>
        <v>2081.3899999999994</v>
      </c>
      <c r="H34" s="216">
        <f t="shared" si="13"/>
        <v>-65107.57000000005</v>
      </c>
      <c r="J34" s="216">
        <v>53069</v>
      </c>
      <c r="K34" s="216">
        <f>-'G-28 Summary'!D19</f>
        <v>-48407.23199254218</v>
      </c>
      <c r="L34" s="231"/>
      <c r="M34" s="216">
        <f t="shared" si="12"/>
        <v>4661.768007457817</v>
      </c>
      <c r="N34" s="216">
        <f aca="true" t="shared" si="14" ref="N34:N41">N33+M34</f>
        <v>139725.53643973012</v>
      </c>
      <c r="P34" s="216"/>
    </row>
    <row r="35" spans="1:16" ht="15">
      <c r="A35" s="161">
        <v>2004</v>
      </c>
      <c r="B35" s="165">
        <v>6</v>
      </c>
      <c r="C35" s="163" t="s">
        <v>36</v>
      </c>
      <c r="D35" s="164">
        <v>53069</v>
      </c>
      <c r="E35" s="216">
        <f>-45349.48-8</f>
        <v>-45357.48</v>
      </c>
      <c r="F35" s="218">
        <v>19436</v>
      </c>
      <c r="G35" s="216">
        <f t="shared" si="11"/>
        <v>27147.519999999997</v>
      </c>
      <c r="H35" s="216">
        <f t="shared" si="13"/>
        <v>-37960.050000000054</v>
      </c>
      <c r="J35" s="216">
        <v>53069</v>
      </c>
      <c r="K35" s="216">
        <f>-'G-28 Summary'!D20</f>
        <v>-44782.6727090011</v>
      </c>
      <c r="L35" s="232">
        <v>-57240.57947804517</v>
      </c>
      <c r="M35" s="216">
        <f t="shared" si="12"/>
        <v>-48954.252187046266</v>
      </c>
      <c r="N35" s="216">
        <f t="shared" si="14"/>
        <v>90771.28425268385</v>
      </c>
      <c r="P35" s="216"/>
    </row>
    <row r="36" spans="1:16" ht="15">
      <c r="A36" s="161">
        <v>2004</v>
      </c>
      <c r="B36" s="165">
        <v>7</v>
      </c>
      <c r="C36" s="163" t="s">
        <v>44</v>
      </c>
      <c r="D36" s="164">
        <v>53069</v>
      </c>
      <c r="E36" s="216">
        <f>-51419.94</f>
        <v>-51419.94</v>
      </c>
      <c r="F36" s="216"/>
      <c r="G36" s="216">
        <f t="shared" si="11"/>
        <v>1649.0599999999977</v>
      </c>
      <c r="H36" s="216">
        <f t="shared" si="13"/>
        <v>-36310.990000000056</v>
      </c>
      <c r="J36" s="216">
        <v>53069</v>
      </c>
      <c r="K36" s="216">
        <f>-'G-28 Summary'!D21</f>
        <v>-51941.289244037325</v>
      </c>
      <c r="L36" s="231"/>
      <c r="M36" s="216">
        <f t="shared" si="12"/>
        <v>1127.7107559626747</v>
      </c>
      <c r="N36" s="216">
        <f t="shared" si="14"/>
        <v>91898.99500864653</v>
      </c>
      <c r="P36" s="216"/>
    </row>
    <row r="37" spans="1:16" ht="15">
      <c r="A37" s="161">
        <v>2004</v>
      </c>
      <c r="B37" s="165">
        <v>8</v>
      </c>
      <c r="C37" s="163" t="s">
        <v>45</v>
      </c>
      <c r="D37" s="164">
        <v>53069</v>
      </c>
      <c r="E37" s="216">
        <v>-46835.1</v>
      </c>
      <c r="F37" s="216"/>
      <c r="G37" s="216">
        <f t="shared" si="11"/>
        <v>6233.9000000000015</v>
      </c>
      <c r="H37" s="216">
        <f t="shared" si="13"/>
        <v>-30077.090000000055</v>
      </c>
      <c r="J37" s="216">
        <v>53069</v>
      </c>
      <c r="K37" s="216">
        <f>-'G-28 Summary'!D22</f>
        <v>-48267.59038681368</v>
      </c>
      <c r="L37" s="231"/>
      <c r="M37" s="216">
        <f t="shared" si="12"/>
        <v>4801.409613186319</v>
      </c>
      <c r="N37" s="216">
        <f t="shared" si="14"/>
        <v>96700.40462183284</v>
      </c>
      <c r="P37" s="216"/>
    </row>
    <row r="38" spans="1:16" ht="15">
      <c r="A38" s="161">
        <v>2004</v>
      </c>
      <c r="B38" s="165">
        <v>9</v>
      </c>
      <c r="C38" s="163" t="s">
        <v>71</v>
      </c>
      <c r="D38" s="164">
        <v>53069</v>
      </c>
      <c r="E38" s="216">
        <v>-53056.65</v>
      </c>
      <c r="F38" s="216"/>
      <c r="G38" s="216">
        <f t="shared" si="11"/>
        <v>12.349999999998545</v>
      </c>
      <c r="H38" s="216">
        <f t="shared" si="13"/>
        <v>-30064.740000000056</v>
      </c>
      <c r="J38" s="216">
        <v>53069</v>
      </c>
      <c r="K38" s="216">
        <f>-'G-28 Summary'!D23</f>
        <v>-54377.61128357651</v>
      </c>
      <c r="L38" s="231"/>
      <c r="M38" s="216">
        <f t="shared" si="12"/>
        <v>-1308.6112835765089</v>
      </c>
      <c r="N38" s="216">
        <f t="shared" si="14"/>
        <v>95391.79333825634</v>
      </c>
      <c r="P38" s="216"/>
    </row>
    <row r="39" spans="1:16" ht="15">
      <c r="A39" s="161">
        <v>2004</v>
      </c>
      <c r="B39" s="165">
        <v>10</v>
      </c>
      <c r="C39" s="163" t="s">
        <v>47</v>
      </c>
      <c r="D39" s="164">
        <v>53069</v>
      </c>
      <c r="E39" s="216">
        <f>-45634.8+7</f>
        <v>-45627.8</v>
      </c>
      <c r="F39" s="216"/>
      <c r="G39" s="216">
        <f t="shared" si="11"/>
        <v>7441.199999999997</v>
      </c>
      <c r="H39" s="216">
        <f t="shared" si="13"/>
        <v>-22623.54000000006</v>
      </c>
      <c r="J39" s="216">
        <v>53069</v>
      </c>
      <c r="K39" s="216">
        <f>-'G-28 Summary'!D24</f>
        <v>-47059.93593998612</v>
      </c>
      <c r="L39" s="231"/>
      <c r="M39" s="216">
        <f t="shared" si="12"/>
        <v>6009.0640600138795</v>
      </c>
      <c r="N39" s="216">
        <f t="shared" si="14"/>
        <v>101400.85739827022</v>
      </c>
      <c r="P39" s="216"/>
    </row>
    <row r="40" spans="1:16" ht="15">
      <c r="A40" s="161">
        <v>2004</v>
      </c>
      <c r="B40" s="165">
        <v>11</v>
      </c>
      <c r="C40" s="163" t="s">
        <v>48</v>
      </c>
      <c r="D40" s="164">
        <v>53069</v>
      </c>
      <c r="E40" s="216">
        <f>-50078.48-5</f>
        <v>-50083.48</v>
      </c>
      <c r="F40" s="216"/>
      <c r="G40" s="216">
        <f t="shared" si="11"/>
        <v>2985.519999999997</v>
      </c>
      <c r="H40" s="216">
        <f t="shared" si="13"/>
        <v>-19638.020000000062</v>
      </c>
      <c r="J40" s="216">
        <v>53069</v>
      </c>
      <c r="K40" s="216">
        <f>-'G-28 Summary'!D25</f>
        <v>-49847.48269505798</v>
      </c>
      <c r="L40" s="231"/>
      <c r="M40" s="216">
        <f t="shared" si="12"/>
        <v>3221.517304942019</v>
      </c>
      <c r="N40" s="216">
        <f t="shared" si="14"/>
        <v>104622.37470321223</v>
      </c>
      <c r="P40" s="216"/>
    </row>
    <row r="41" spans="1:16" ht="15">
      <c r="A41" s="161">
        <v>2004</v>
      </c>
      <c r="B41" s="165">
        <v>12</v>
      </c>
      <c r="C41" s="163" t="s">
        <v>76</v>
      </c>
      <c r="D41" s="164">
        <v>53072</v>
      </c>
      <c r="E41" s="216">
        <v>-46495.92</v>
      </c>
      <c r="F41" s="216"/>
      <c r="G41" s="216">
        <f t="shared" si="11"/>
        <v>6576.080000000002</v>
      </c>
      <c r="H41" s="216">
        <f>H40+G41</f>
        <v>-13061.94000000006</v>
      </c>
      <c r="J41" s="216">
        <v>53072</v>
      </c>
      <c r="K41" s="216">
        <f>-('G-28 Summary'!D26+'G-28 Summary'!D27)</f>
        <v>-69837.44632500071</v>
      </c>
      <c r="L41" s="231"/>
      <c r="M41" s="216">
        <f t="shared" si="12"/>
        <v>-16765.44632500071</v>
      </c>
      <c r="N41" s="216">
        <f t="shared" si="14"/>
        <v>87856.92837821152</v>
      </c>
      <c r="P41" s="216"/>
    </row>
    <row r="42" spans="1:16" s="18" customFormat="1" ht="15">
      <c r="A42" s="133" t="s">
        <v>94</v>
      </c>
      <c r="B42" s="137"/>
      <c r="C42" s="138"/>
      <c r="D42" s="139">
        <f>SUM(D30:D41)</f>
        <v>636831</v>
      </c>
      <c r="E42" s="217">
        <f>SUM(E30:E41)</f>
        <v>-668750.9400000001</v>
      </c>
      <c r="F42" s="217">
        <f>SUM(F30:F41)</f>
        <v>19436</v>
      </c>
      <c r="G42" s="217">
        <f>SUM(G30:G41)</f>
        <v>-12483.940000000002</v>
      </c>
      <c r="H42" s="217"/>
      <c r="I42" s="140"/>
      <c r="J42" s="217">
        <f>SUM(J30:J41)</f>
        <v>689643</v>
      </c>
      <c r="K42" s="217">
        <f>SUM(K30:K41)</f>
        <v>-687520.4119645659</v>
      </c>
      <c r="L42" s="217">
        <f>SUM(L30:L41)</f>
        <v>-57240.57947804517</v>
      </c>
      <c r="M42" s="217">
        <f>SUM(M30:M41)</f>
        <v>-55117.99144261095</v>
      </c>
      <c r="N42" s="217"/>
      <c r="P42" s="217">
        <f>M42-G42</f>
        <v>-42634.05144261095</v>
      </c>
    </row>
    <row r="43" spans="1:16" ht="15">
      <c r="A43" s="161"/>
      <c r="B43" s="165"/>
      <c r="C43" s="163"/>
      <c r="D43" s="164"/>
      <c r="E43" s="216"/>
      <c r="F43" s="216"/>
      <c r="G43" s="216"/>
      <c r="H43" s="216"/>
      <c r="J43" s="216"/>
      <c r="K43" s="216"/>
      <c r="L43" s="231"/>
      <c r="M43" s="231"/>
      <c r="N43" s="231"/>
      <c r="P43" s="231"/>
    </row>
    <row r="44" spans="1:16" ht="15">
      <c r="A44" s="161"/>
      <c r="B44" s="165"/>
      <c r="C44" s="163"/>
      <c r="D44" s="164"/>
      <c r="E44" s="216"/>
      <c r="F44" s="216"/>
      <c r="G44" s="216"/>
      <c r="H44" s="216"/>
      <c r="J44" s="216"/>
      <c r="K44" s="216"/>
      <c r="L44" s="231"/>
      <c r="M44" s="231"/>
      <c r="N44" s="231"/>
      <c r="P44" s="231"/>
    </row>
    <row r="45" spans="1:16" ht="15">
      <c r="A45" s="161">
        <v>2005</v>
      </c>
      <c r="B45" s="165">
        <v>1</v>
      </c>
      <c r="C45" s="163" t="s">
        <v>39</v>
      </c>
      <c r="D45" s="164">
        <v>53069.25</v>
      </c>
      <c r="E45" s="216">
        <v>-54692.31</v>
      </c>
      <c r="F45" s="216"/>
      <c r="G45" s="216">
        <f>SUM(D45:F45)</f>
        <v>-1623.0599999999977</v>
      </c>
      <c r="H45" s="216">
        <f>H41+G45</f>
        <v>-14685.000000000058</v>
      </c>
      <c r="J45" s="218">
        <v>53069.25</v>
      </c>
      <c r="K45" s="216">
        <f>-'G-28 Summary'!E15</f>
        <v>-56333.42316238001</v>
      </c>
      <c r="L45" s="231"/>
      <c r="M45" s="216">
        <f aca="true" t="shared" si="15" ref="M45:M56">SUM(J45:L45)</f>
        <v>-3264.173162380008</v>
      </c>
      <c r="N45" s="216">
        <f>N41+M45</f>
        <v>84592.75521583151</v>
      </c>
      <c r="P45" s="216"/>
    </row>
    <row r="46" spans="1:16" ht="15">
      <c r="A46" s="161">
        <v>2005</v>
      </c>
      <c r="B46" s="165">
        <v>2</v>
      </c>
      <c r="C46" s="163" t="s">
        <v>40</v>
      </c>
      <c r="D46" s="164">
        <v>53069.25</v>
      </c>
      <c r="E46" s="216">
        <v>-53590.12</v>
      </c>
      <c r="F46" s="216"/>
      <c r="G46" s="216">
        <f aca="true" t="shared" si="16" ref="G46:G56">SUM(D46:F46)</f>
        <v>-520.8700000000026</v>
      </c>
      <c r="H46" s="216">
        <f aca="true" t="shared" si="17" ref="H46:H67">H45+G46</f>
        <v>-15205.87000000006</v>
      </c>
      <c r="J46" s="218">
        <v>53069.25</v>
      </c>
      <c r="K46" s="216">
        <f>-'G-28 Summary'!E16</f>
        <v>-56703.37340434608</v>
      </c>
      <c r="L46" s="231"/>
      <c r="M46" s="216">
        <f t="shared" si="15"/>
        <v>-3634.123404346079</v>
      </c>
      <c r="N46" s="216">
        <f>N45+M46</f>
        <v>80958.63181148542</v>
      </c>
      <c r="P46" s="216"/>
    </row>
    <row r="47" spans="1:16" ht="15">
      <c r="A47" s="161">
        <v>2005</v>
      </c>
      <c r="B47" s="165">
        <v>3</v>
      </c>
      <c r="C47" s="163" t="s">
        <v>41</v>
      </c>
      <c r="D47" s="164">
        <v>53069.25</v>
      </c>
      <c r="E47" s="216">
        <v>-48808.21</v>
      </c>
      <c r="F47" s="216"/>
      <c r="G47" s="216">
        <f t="shared" si="16"/>
        <v>4261.040000000001</v>
      </c>
      <c r="H47" s="216">
        <f t="shared" si="17"/>
        <v>-10944.83000000006</v>
      </c>
      <c r="J47" s="218">
        <v>53069.25</v>
      </c>
      <c r="K47" s="216">
        <f>-'G-28 Summary'!E17</f>
        <v>-51239.81095109444</v>
      </c>
      <c r="L47" s="231"/>
      <c r="M47" s="216">
        <f t="shared" si="15"/>
        <v>1829.4390489055586</v>
      </c>
      <c r="N47" s="216">
        <f aca="true" t="shared" si="18" ref="N47:N56">N46+M47</f>
        <v>82788.07086039099</v>
      </c>
      <c r="P47" s="216"/>
    </row>
    <row r="48" spans="1:16" ht="15">
      <c r="A48" s="161">
        <v>2005</v>
      </c>
      <c r="B48" s="165">
        <v>4</v>
      </c>
      <c r="C48" s="163" t="s">
        <v>42</v>
      </c>
      <c r="D48" s="164">
        <v>37310.83</v>
      </c>
      <c r="E48" s="216">
        <f>-43571.96-5718.47</f>
        <v>-49290.43</v>
      </c>
      <c r="F48" s="216"/>
      <c r="G48" s="216">
        <f t="shared" si="16"/>
        <v>-11979.599999999999</v>
      </c>
      <c r="H48" s="216">
        <f t="shared" si="17"/>
        <v>-22924.43000000006</v>
      </c>
      <c r="J48" s="216">
        <v>37310.83</v>
      </c>
      <c r="K48" s="216">
        <f>-'G-28 Summary'!E18</f>
        <v>-35784.6126468261</v>
      </c>
      <c r="L48" s="231"/>
      <c r="M48" s="216">
        <f t="shared" si="15"/>
        <v>1526.2173531739027</v>
      </c>
      <c r="N48" s="216">
        <f t="shared" si="18"/>
        <v>84314.2882135649</v>
      </c>
      <c r="P48" s="216"/>
    </row>
    <row r="49" spans="1:16" ht="15">
      <c r="A49" s="161">
        <v>2005</v>
      </c>
      <c r="B49" s="165">
        <v>5</v>
      </c>
      <c r="C49" s="163" t="s">
        <v>35</v>
      </c>
      <c r="D49" s="164">
        <v>37310.83</v>
      </c>
      <c r="E49" s="216">
        <f>-25247.88-6299.28</f>
        <v>-31547.16</v>
      </c>
      <c r="F49" s="216"/>
      <c r="G49" s="216">
        <f t="shared" si="16"/>
        <v>5763.670000000002</v>
      </c>
      <c r="H49" s="216">
        <f t="shared" si="17"/>
        <v>-17160.760000000057</v>
      </c>
      <c r="J49" s="216">
        <v>37310.83</v>
      </c>
      <c r="K49" s="216">
        <f>-'G-28 Summary'!E19</f>
        <v>-30895.560417421617</v>
      </c>
      <c r="L49" s="231"/>
      <c r="M49" s="216">
        <f t="shared" si="15"/>
        <v>6415.269582578385</v>
      </c>
      <c r="N49" s="216">
        <f t="shared" si="18"/>
        <v>90729.55779614329</v>
      </c>
      <c r="P49" s="216"/>
    </row>
    <row r="50" spans="1:16" ht="15">
      <c r="A50" s="161">
        <v>2005</v>
      </c>
      <c r="B50" s="165">
        <v>6</v>
      </c>
      <c r="C50" s="163" t="s">
        <v>36</v>
      </c>
      <c r="D50" s="164">
        <v>37310.83</v>
      </c>
      <c r="E50" s="216">
        <f>-30312.68+0.13</f>
        <v>-30312.55</v>
      </c>
      <c r="F50" s="216">
        <f>235304</f>
        <v>235304</v>
      </c>
      <c r="G50" s="216">
        <f t="shared" si="16"/>
        <v>242302.28</v>
      </c>
      <c r="H50" s="216">
        <f t="shared" si="17"/>
        <v>225141.51999999993</v>
      </c>
      <c r="J50" s="216">
        <v>37310.83</v>
      </c>
      <c r="K50" s="216">
        <f>-'G-28 Summary'!E20</f>
        <v>-31968.420677031776</v>
      </c>
      <c r="L50" s="288">
        <v>-71983</v>
      </c>
      <c r="M50" s="216">
        <f t="shared" si="15"/>
        <v>-66640.59067703178</v>
      </c>
      <c r="N50" s="216">
        <f t="shared" si="18"/>
        <v>24088.967119111505</v>
      </c>
      <c r="P50" s="216"/>
    </row>
    <row r="51" spans="1:16" ht="15">
      <c r="A51" s="161">
        <v>2005</v>
      </c>
      <c r="B51" s="165">
        <v>7</v>
      </c>
      <c r="C51" s="163" t="s">
        <v>44</v>
      </c>
      <c r="D51" s="164">
        <v>37310.83</v>
      </c>
      <c r="E51" s="216">
        <f>-34321.69-2.83</f>
        <v>-34324.520000000004</v>
      </c>
      <c r="F51" s="216"/>
      <c r="G51" s="216">
        <f t="shared" si="16"/>
        <v>2986.3099999999977</v>
      </c>
      <c r="H51" s="216">
        <f t="shared" si="17"/>
        <v>228127.82999999993</v>
      </c>
      <c r="J51" s="216">
        <v>37310.83</v>
      </c>
      <c r="K51" s="216">
        <f>-'G-28 Summary'!E21</f>
        <v>-35930.544416731995</v>
      </c>
      <c r="L51" s="231"/>
      <c r="M51" s="216">
        <f t="shared" si="15"/>
        <v>1380.285583268007</v>
      </c>
      <c r="N51" s="216">
        <f t="shared" si="18"/>
        <v>25469.252702379512</v>
      </c>
      <c r="P51" s="216"/>
    </row>
    <row r="52" spans="1:16" ht="15">
      <c r="A52" s="161">
        <v>2005</v>
      </c>
      <c r="B52" s="165">
        <v>8</v>
      </c>
      <c r="C52" s="163" t="s">
        <v>45</v>
      </c>
      <c r="D52" s="164">
        <v>37310.83</v>
      </c>
      <c r="E52" s="216">
        <f>-39519.42-23.85</f>
        <v>-39543.27</v>
      </c>
      <c r="F52" s="216"/>
      <c r="G52" s="216">
        <f t="shared" si="16"/>
        <v>-2232.439999999995</v>
      </c>
      <c r="H52" s="216">
        <f t="shared" si="17"/>
        <v>225895.38999999993</v>
      </c>
      <c r="J52" s="216">
        <v>37310.83</v>
      </c>
      <c r="K52" s="216">
        <f>-'G-28 Summary'!E22</f>
        <v>-40880.44518749628</v>
      </c>
      <c r="L52" s="231"/>
      <c r="M52" s="216">
        <f t="shared" si="15"/>
        <v>-3569.6151874962816</v>
      </c>
      <c r="N52" s="216">
        <f t="shared" si="18"/>
        <v>21899.63751488323</v>
      </c>
      <c r="P52" s="216"/>
    </row>
    <row r="53" spans="1:16" ht="15">
      <c r="A53" s="161">
        <v>2005</v>
      </c>
      <c r="B53" s="165">
        <v>9</v>
      </c>
      <c r="C53" s="163" t="s">
        <v>71</v>
      </c>
      <c r="D53" s="164">
        <v>37310.83</v>
      </c>
      <c r="E53" s="216">
        <f>-37246.47-36.86</f>
        <v>-37283.33</v>
      </c>
      <c r="F53" s="216"/>
      <c r="G53" s="216">
        <f t="shared" si="16"/>
        <v>27.5</v>
      </c>
      <c r="H53" s="216">
        <f t="shared" si="17"/>
        <v>225922.88999999993</v>
      </c>
      <c r="J53" s="216">
        <v>37310.83</v>
      </c>
      <c r="K53" s="216">
        <f>-'G-28 Summary'!E23</f>
        <v>-38819.91440670415</v>
      </c>
      <c r="L53" s="231"/>
      <c r="M53" s="216">
        <f t="shared" si="15"/>
        <v>-1509.084406704147</v>
      </c>
      <c r="N53" s="216">
        <f t="shared" si="18"/>
        <v>20390.553108179083</v>
      </c>
      <c r="P53" s="216"/>
    </row>
    <row r="54" spans="1:16" ht="15">
      <c r="A54" s="161">
        <v>2005</v>
      </c>
      <c r="B54" s="165">
        <v>10</v>
      </c>
      <c r="C54" s="163" t="s">
        <v>47</v>
      </c>
      <c r="D54" s="164">
        <v>37310.83</v>
      </c>
      <c r="E54" s="216">
        <v>-34381.09</v>
      </c>
      <c r="F54" s="216"/>
      <c r="G54" s="216">
        <f t="shared" si="16"/>
        <v>2929.7400000000052</v>
      </c>
      <c r="H54" s="216">
        <f t="shared" si="17"/>
        <v>228852.62999999995</v>
      </c>
      <c r="J54" s="216">
        <v>37310.83</v>
      </c>
      <c r="K54" s="216">
        <f>-'G-28 Summary'!E24</f>
        <v>-35271.62353501786</v>
      </c>
      <c r="L54" s="231"/>
      <c r="M54" s="216">
        <f t="shared" si="15"/>
        <v>2039.2064649821405</v>
      </c>
      <c r="N54" s="216">
        <f t="shared" si="18"/>
        <v>22429.759573161224</v>
      </c>
      <c r="P54" s="216"/>
    </row>
    <row r="55" spans="1:16" ht="15">
      <c r="A55" s="161">
        <v>2005</v>
      </c>
      <c r="B55" s="165">
        <v>11</v>
      </c>
      <c r="C55" s="163" t="s">
        <v>48</v>
      </c>
      <c r="D55" s="164">
        <v>37310.83</v>
      </c>
      <c r="E55" s="216">
        <v>-28500.45</v>
      </c>
      <c r="F55" s="216"/>
      <c r="G55" s="216">
        <f t="shared" si="16"/>
        <v>8810.380000000001</v>
      </c>
      <c r="H55" s="216">
        <f t="shared" si="17"/>
        <v>237663.00999999995</v>
      </c>
      <c r="J55" s="216">
        <v>37310.83</v>
      </c>
      <c r="K55" s="216">
        <f>-'G-28 Summary'!E25</f>
        <v>-34143.629643135886</v>
      </c>
      <c r="L55" s="231"/>
      <c r="M55" s="216">
        <f t="shared" si="15"/>
        <v>3167.2003568641157</v>
      </c>
      <c r="N55" s="216">
        <f t="shared" si="18"/>
        <v>25596.95993002534</v>
      </c>
      <c r="P55" s="216"/>
    </row>
    <row r="56" spans="1:16" ht="15">
      <c r="A56" s="161">
        <v>2005</v>
      </c>
      <c r="B56" s="165">
        <v>12</v>
      </c>
      <c r="C56" s="163" t="s">
        <v>76</v>
      </c>
      <c r="D56" s="164">
        <v>37310.83</v>
      </c>
      <c r="E56" s="216">
        <v>-31186.26</v>
      </c>
      <c r="F56" s="216"/>
      <c r="G56" s="216">
        <f t="shared" si="16"/>
        <v>6124.570000000003</v>
      </c>
      <c r="H56" s="216">
        <f t="shared" si="17"/>
        <v>243787.57999999996</v>
      </c>
      <c r="J56" s="216">
        <v>37310.83</v>
      </c>
      <c r="K56" s="216">
        <f>-('G-28 Summary'!E26+'G-28 Summary'!E27)</f>
        <v>-45813.01558941607</v>
      </c>
      <c r="L56" s="231"/>
      <c r="M56" s="216">
        <f t="shared" si="15"/>
        <v>-8502.185589416069</v>
      </c>
      <c r="N56" s="216">
        <f t="shared" si="18"/>
        <v>17094.77434060927</v>
      </c>
      <c r="P56" s="216"/>
    </row>
    <row r="57" spans="1:16" s="18" customFormat="1" ht="15">
      <c r="A57" s="133" t="s">
        <v>95</v>
      </c>
      <c r="B57" s="137"/>
      <c r="C57" s="138"/>
      <c r="D57" s="139">
        <f>SUM(D45:D56)</f>
        <v>495005.22000000015</v>
      </c>
      <c r="E57" s="217">
        <f>SUM(E45:E56)</f>
        <v>-473459.7</v>
      </c>
      <c r="F57" s="217">
        <f>SUM(F45:F56)</f>
        <v>235304</v>
      </c>
      <c r="G57" s="217">
        <f>SUM(G45:G56)</f>
        <v>256849.52000000002</v>
      </c>
      <c r="H57" s="217"/>
      <c r="I57" s="140"/>
      <c r="J57" s="217">
        <f>SUM(J45:J56)</f>
        <v>495005.22000000015</v>
      </c>
      <c r="K57" s="217">
        <f>SUM(K45:K56)</f>
        <v>-493784.3740376022</v>
      </c>
      <c r="L57" s="217">
        <f>SUM(L45:L56)</f>
        <v>-71983</v>
      </c>
      <c r="M57" s="217">
        <f>SUM(M45:M56)</f>
        <v>-70762.15403760225</v>
      </c>
      <c r="N57" s="217"/>
      <c r="P57" s="217">
        <f>M57-G57</f>
        <v>-327611.67403760226</v>
      </c>
    </row>
    <row r="58" spans="1:16" ht="15">
      <c r="A58" s="161"/>
      <c r="B58" s="165"/>
      <c r="C58" s="163"/>
      <c r="D58" s="164"/>
      <c r="E58" s="216"/>
      <c r="F58" s="216"/>
      <c r="G58" s="216"/>
      <c r="H58" s="216"/>
      <c r="J58" s="216"/>
      <c r="K58" s="216"/>
      <c r="L58" s="231"/>
      <c r="M58" s="231"/>
      <c r="N58" s="231"/>
      <c r="P58" s="231"/>
    </row>
    <row r="59" spans="1:16" ht="15" hidden="1">
      <c r="A59" s="166" t="s">
        <v>77</v>
      </c>
      <c r="B59" s="162"/>
      <c r="C59" s="163"/>
      <c r="D59" s="163"/>
      <c r="E59" s="219" t="s">
        <v>80</v>
      </c>
      <c r="F59" s="220">
        <v>37848</v>
      </c>
      <c r="G59" s="216"/>
      <c r="H59" s="216"/>
      <c r="J59" s="216"/>
      <c r="K59" s="216"/>
      <c r="L59" s="231"/>
      <c r="M59" s="231"/>
      <c r="N59" s="231"/>
      <c r="P59" s="231"/>
    </row>
    <row r="60" spans="1:16" ht="15" hidden="1">
      <c r="A60" s="166"/>
      <c r="B60" s="162"/>
      <c r="C60" s="163"/>
      <c r="D60" s="163"/>
      <c r="E60" s="221" t="s">
        <v>81</v>
      </c>
      <c r="F60" s="222">
        <v>-66619</v>
      </c>
      <c r="G60" s="216"/>
      <c r="H60" s="216"/>
      <c r="J60" s="216"/>
      <c r="K60" s="216"/>
      <c r="L60" s="231"/>
      <c r="M60" s="231"/>
      <c r="N60" s="231"/>
      <c r="P60" s="231"/>
    </row>
    <row r="61" spans="1:16" ht="15" hidden="1">
      <c r="A61" s="166"/>
      <c r="B61" s="162"/>
      <c r="C61" s="163"/>
      <c r="D61" s="163"/>
      <c r="E61" s="221" t="s">
        <v>82</v>
      </c>
      <c r="F61" s="222">
        <v>264075</v>
      </c>
      <c r="G61" s="216"/>
      <c r="H61" s="216"/>
      <c r="J61" s="216"/>
      <c r="K61" s="216"/>
      <c r="L61" s="231"/>
      <c r="M61" s="231"/>
      <c r="N61" s="231"/>
      <c r="P61" s="231"/>
    </row>
    <row r="62" spans="1:16" ht="15" hidden="1">
      <c r="A62" s="166"/>
      <c r="B62" s="162"/>
      <c r="C62" s="163"/>
      <c r="D62" s="163"/>
      <c r="E62" s="223"/>
      <c r="F62" s="224">
        <f>SUM(F59:F61)</f>
        <v>235304</v>
      </c>
      <c r="G62" s="216"/>
      <c r="H62" s="216"/>
      <c r="J62" s="216"/>
      <c r="K62" s="216"/>
      <c r="L62" s="231"/>
      <c r="M62" s="231"/>
      <c r="N62" s="231"/>
      <c r="P62" s="231"/>
    </row>
    <row r="63" spans="1:16" ht="15" hidden="1">
      <c r="A63" s="161"/>
      <c r="B63" s="165"/>
      <c r="C63" s="163"/>
      <c r="D63" s="164"/>
      <c r="E63" s="216"/>
      <c r="F63" s="216"/>
      <c r="G63" s="216"/>
      <c r="H63" s="216"/>
      <c r="J63" s="216"/>
      <c r="K63" s="216"/>
      <c r="L63" s="231"/>
      <c r="M63" s="231"/>
      <c r="N63" s="231"/>
      <c r="P63" s="231"/>
    </row>
    <row r="64" spans="1:16" ht="15">
      <c r="A64" s="161"/>
      <c r="B64" s="165"/>
      <c r="C64" s="163"/>
      <c r="D64" s="164"/>
      <c r="E64" s="216"/>
      <c r="F64" s="216"/>
      <c r="G64" s="216"/>
      <c r="H64" s="216"/>
      <c r="J64" s="216"/>
      <c r="K64" s="216"/>
      <c r="L64" s="231"/>
      <c r="M64" s="231"/>
      <c r="N64" s="231"/>
      <c r="P64" s="231"/>
    </row>
    <row r="65" spans="1:16" ht="15">
      <c r="A65" s="161">
        <v>2006</v>
      </c>
      <c r="B65" s="165">
        <v>1</v>
      </c>
      <c r="C65" s="163" t="s">
        <v>39</v>
      </c>
      <c r="D65" s="164">
        <v>37310.83</v>
      </c>
      <c r="E65" s="216">
        <f>-37372.14-3.82</f>
        <v>-37375.96</v>
      </c>
      <c r="F65" s="216"/>
      <c r="G65" s="216">
        <f>SUM(D65:F65)</f>
        <v>-65.12999999999738</v>
      </c>
      <c r="H65" s="216">
        <f>H56+G65</f>
        <v>243722.44999999995</v>
      </c>
      <c r="J65" s="216">
        <v>37310.83</v>
      </c>
      <c r="K65" s="216">
        <f>-'G-28 Summary'!F15</f>
        <v>-39775.52137843789</v>
      </c>
      <c r="L65" s="231"/>
      <c r="M65" s="216">
        <f>SUM(J65:L65)</f>
        <v>-2464.691378437885</v>
      </c>
      <c r="N65" s="216">
        <f>N56+M65</f>
        <v>14630.082962171386</v>
      </c>
      <c r="P65" s="216"/>
    </row>
    <row r="66" spans="1:16" ht="15">
      <c r="A66" s="161">
        <v>2006</v>
      </c>
      <c r="B66" s="165">
        <v>2</v>
      </c>
      <c r="C66" s="163" t="s">
        <v>40</v>
      </c>
      <c r="D66" s="164">
        <v>37310.83</v>
      </c>
      <c r="E66" s="216">
        <v>-38812.77</v>
      </c>
      <c r="F66" s="216"/>
      <c r="G66" s="216">
        <f>SUM(D66:F66)</f>
        <v>-1501.939999999995</v>
      </c>
      <c r="H66" s="216">
        <f t="shared" si="17"/>
        <v>242220.50999999995</v>
      </c>
      <c r="J66" s="216">
        <v>37310.83</v>
      </c>
      <c r="K66" s="216">
        <f>-'G-28 Summary'!F16</f>
        <v>-41335.788358872305</v>
      </c>
      <c r="L66" s="231"/>
      <c r="M66" s="216">
        <f>SUM(J66:L66)</f>
        <v>-4024.9583588723035</v>
      </c>
      <c r="N66" s="216">
        <f>N65+M66</f>
        <v>10605.124603299082</v>
      </c>
      <c r="P66" s="216"/>
    </row>
    <row r="67" spans="1:16" ht="15">
      <c r="A67" s="161">
        <v>2006</v>
      </c>
      <c r="B67" s="165">
        <v>3</v>
      </c>
      <c r="C67" s="163" t="s">
        <v>41</v>
      </c>
      <c r="D67" s="164">
        <v>37310.83</v>
      </c>
      <c r="E67" s="216">
        <v>-33637.82</v>
      </c>
      <c r="F67" s="216"/>
      <c r="G67" s="216">
        <f>SUM(D67:F67)</f>
        <v>3673.010000000002</v>
      </c>
      <c r="H67" s="216">
        <f t="shared" si="17"/>
        <v>245893.51999999996</v>
      </c>
      <c r="J67" s="216">
        <v>37310.83</v>
      </c>
      <c r="K67" s="216">
        <f>-'G-28 Summary'!F17</f>
        <v>-35860.9427306855</v>
      </c>
      <c r="L67" s="231"/>
      <c r="M67" s="216">
        <f>SUM(J67:L67)</f>
        <v>1449.8872693145022</v>
      </c>
      <c r="N67" s="216">
        <f>N66+M67</f>
        <v>12055.011872613584</v>
      </c>
      <c r="P67" s="216"/>
    </row>
    <row r="68" spans="1:16" ht="15.75" customHeight="1">
      <c r="A68" s="161">
        <v>2006</v>
      </c>
      <c r="B68" s="165">
        <v>4</v>
      </c>
      <c r="C68" s="57" t="s">
        <v>136</v>
      </c>
      <c r="D68" s="164">
        <v>37310.83</v>
      </c>
      <c r="E68" s="216">
        <f>-31219.97-27866.1</f>
        <v>-59086.07</v>
      </c>
      <c r="F68" s="216">
        <f>-54755.12+71161</f>
        <v>16405.879999999997</v>
      </c>
      <c r="G68" s="216">
        <f>SUM(D68:F68)</f>
        <v>-5369.360000000001</v>
      </c>
      <c r="H68" s="216">
        <f>H67+G68</f>
        <v>240524.15999999997</v>
      </c>
      <c r="J68" s="216">
        <v>37310.83</v>
      </c>
      <c r="K68" s="216">
        <f>-('G-28 Summary'!F18+'G-28 Summary'!F27)</f>
        <v>-23874.363302006437</v>
      </c>
      <c r="L68" s="288">
        <v>178790</v>
      </c>
      <c r="M68" s="216">
        <f>SUM(J68:L68)</f>
        <v>192226.46669799357</v>
      </c>
      <c r="N68" s="216">
        <f>N67+M68</f>
        <v>204281.47857060714</v>
      </c>
      <c r="P68" s="216"/>
    </row>
    <row r="69" spans="1:16" s="18" customFormat="1" ht="15">
      <c r="A69" s="234" t="s">
        <v>96</v>
      </c>
      <c r="B69" s="235"/>
      <c r="C69" s="236"/>
      <c r="D69" s="237">
        <f>SUM(D65:D68)</f>
        <v>149243.32</v>
      </c>
      <c r="E69" s="238">
        <f>SUM(E65:E68)</f>
        <v>-168912.62</v>
      </c>
      <c r="F69" s="238">
        <f>SUM(F65:F68)</f>
        <v>16405.879999999997</v>
      </c>
      <c r="G69" s="238">
        <f>SUM(G65:G68)</f>
        <v>-3263.419999999991</v>
      </c>
      <c r="H69" s="238"/>
      <c r="I69" s="140"/>
      <c r="J69" s="238">
        <f>SUM(J65:J68)</f>
        <v>149243.32</v>
      </c>
      <c r="K69" s="238">
        <f>SUM(K65:K68)</f>
        <v>-140846.61577000213</v>
      </c>
      <c r="L69" s="238">
        <f>SUM(L65:L68)</f>
        <v>178790</v>
      </c>
      <c r="M69" s="238">
        <f>SUM(M65:M68)</f>
        <v>187186.70422999788</v>
      </c>
      <c r="N69" s="238"/>
      <c r="P69" s="238">
        <f>M69-G69</f>
        <v>190450.12422999786</v>
      </c>
    </row>
    <row r="70" spans="1:16" ht="15">
      <c r="A70" s="196"/>
      <c r="B70" s="239"/>
      <c r="C70" s="240"/>
      <c r="D70" s="194"/>
      <c r="E70" s="194"/>
      <c r="F70" s="194"/>
      <c r="G70" s="194"/>
      <c r="H70" s="195"/>
      <c r="J70" s="230"/>
      <c r="K70" s="194"/>
      <c r="L70" s="200"/>
      <c r="M70" s="200"/>
      <c r="N70" s="199"/>
      <c r="P70" s="199"/>
    </row>
    <row r="71" spans="1:16" s="18" customFormat="1" ht="15" hidden="1">
      <c r="A71" s="95"/>
      <c r="B71" s="96"/>
      <c r="C71" s="92"/>
      <c r="D71" s="164"/>
      <c r="E71" s="225" t="s">
        <v>80</v>
      </c>
      <c r="F71" s="226">
        <v>-54755.12</v>
      </c>
      <c r="G71" s="216"/>
      <c r="H71" s="216"/>
      <c r="I71" s="134"/>
      <c r="J71" s="216"/>
      <c r="K71" s="216"/>
      <c r="L71" s="233"/>
      <c r="M71" s="233"/>
      <c r="N71" s="233"/>
      <c r="P71" s="233"/>
    </row>
    <row r="72" spans="1:16" ht="15" hidden="1">
      <c r="A72" s="161"/>
      <c r="B72" s="97"/>
      <c r="C72" s="98"/>
      <c r="D72" s="164"/>
      <c r="E72" s="225" t="s">
        <v>78</v>
      </c>
      <c r="F72" s="226">
        <v>71161</v>
      </c>
      <c r="G72" s="216"/>
      <c r="H72" s="216"/>
      <c r="J72" s="216"/>
      <c r="K72" s="216"/>
      <c r="L72" s="231"/>
      <c r="M72" s="231"/>
      <c r="N72" s="231"/>
      <c r="P72" s="231"/>
    </row>
    <row r="73" spans="1:16" ht="15" hidden="1">
      <c r="A73" s="166" t="s">
        <v>79</v>
      </c>
      <c r="B73" s="162"/>
      <c r="C73" s="163"/>
      <c r="D73" s="163"/>
      <c r="E73" s="227"/>
      <c r="F73" s="228">
        <f>SUM(F71:F72)</f>
        <v>16405.879999999997</v>
      </c>
      <c r="G73" s="216"/>
      <c r="H73" s="216"/>
      <c r="J73" s="216"/>
      <c r="K73" s="216"/>
      <c r="L73" s="231"/>
      <c r="M73" s="231"/>
      <c r="N73" s="231"/>
      <c r="P73" s="231"/>
    </row>
    <row r="74" spans="1:16" ht="15" hidden="1">
      <c r="A74" s="161"/>
      <c r="B74" s="162"/>
      <c r="C74" s="163"/>
      <c r="D74" s="163"/>
      <c r="E74" s="216"/>
      <c r="F74" s="216">
        <f>F69+F57+F42+F27+F13</f>
        <v>212894.88</v>
      </c>
      <c r="G74" s="216"/>
      <c r="H74" s="216"/>
      <c r="J74" s="216"/>
      <c r="K74" s="216"/>
      <c r="L74" s="231"/>
      <c r="M74" s="231"/>
      <c r="N74" s="231"/>
      <c r="P74" s="231"/>
    </row>
    <row r="75" spans="1:16" s="91" customFormat="1" ht="15">
      <c r="A75" s="249" t="s">
        <v>11</v>
      </c>
      <c r="B75" s="250"/>
      <c r="C75" s="250"/>
      <c r="D75" s="251">
        <f>D69+D57+D42+D27+D13</f>
        <v>2765991.54</v>
      </c>
      <c r="E75" s="251">
        <f>E69+E57+E42+E27+E13</f>
        <v>-2738362.2600000002</v>
      </c>
      <c r="F75" s="251">
        <f>F69+F57+F42+F27+F13</f>
        <v>212894.88</v>
      </c>
      <c r="G75" s="251">
        <f>G69+G57+G42+G27+G13</f>
        <v>240524.15999999997</v>
      </c>
      <c r="H75" s="251"/>
      <c r="I75" s="252"/>
      <c r="J75" s="251">
        <f>J69+J57+J42+J27+J13</f>
        <v>3030050.54</v>
      </c>
      <c r="K75" s="251">
        <f>K69+K57+K42+K27+K13</f>
        <v>-2883165.9469501944</v>
      </c>
      <c r="L75" s="251">
        <f>L69+L57+L42+L27+L13</f>
        <v>57396.88552080083</v>
      </c>
      <c r="M75" s="251">
        <f>M69+M57+M42+M27+M13</f>
        <v>204281.47857060705</v>
      </c>
      <c r="N75" s="251">
        <f>M75-G75</f>
        <v>-36242.68142939292</v>
      </c>
      <c r="P75" s="251">
        <f>P69+P57+P42+P27+P13</f>
        <v>-36242.68142939289</v>
      </c>
    </row>
    <row r="76" spans="4:11" s="162" customFormat="1" ht="15" hidden="1">
      <c r="D76" s="134"/>
      <c r="E76" s="134"/>
      <c r="F76" s="134"/>
      <c r="G76" s="134"/>
      <c r="H76" s="134"/>
      <c r="I76" s="134"/>
      <c r="J76" s="134">
        <f>'G-28 Summary'!G53</f>
        <v>3030049.5833333335</v>
      </c>
      <c r="K76" s="134">
        <f>'G-28 Summary'!G54</f>
        <v>2883165.9469501935</v>
      </c>
    </row>
    <row r="77" spans="4:11" s="162" customFormat="1" ht="15" hidden="1">
      <c r="D77" s="134"/>
      <c r="E77" s="134"/>
      <c r="F77" s="134"/>
      <c r="G77" s="134"/>
      <c r="H77" s="134"/>
      <c r="I77" s="134"/>
      <c r="J77" s="134">
        <f>J75-J76</f>
        <v>0.9566666665486991</v>
      </c>
      <c r="K77" s="87" t="s">
        <v>127</v>
      </c>
    </row>
    <row r="78" spans="4:11" s="162" customFormat="1" ht="15">
      <c r="D78" s="134"/>
      <c r="E78" s="134"/>
      <c r="F78" s="134"/>
      <c r="G78" s="134"/>
      <c r="H78" s="134"/>
      <c r="I78" s="134"/>
      <c r="J78" s="134"/>
      <c r="K78" s="134"/>
    </row>
    <row r="79" spans="3:11" s="162" customFormat="1" ht="15">
      <c r="C79" s="3"/>
      <c r="D79" s="134"/>
      <c r="E79" s="134"/>
      <c r="F79" s="134"/>
      <c r="G79" s="134"/>
      <c r="H79" s="134"/>
      <c r="I79" s="134"/>
      <c r="J79" s="134"/>
      <c r="K79" s="134"/>
    </row>
    <row r="80" spans="4:11" s="162" customFormat="1" ht="15">
      <c r="D80" s="134"/>
      <c r="E80" s="134"/>
      <c r="F80" s="134"/>
      <c r="G80" s="134"/>
      <c r="H80" s="134"/>
      <c r="I80" s="134"/>
      <c r="J80" s="134"/>
      <c r="K80" s="134"/>
    </row>
  </sheetData>
  <sheetProtection/>
  <printOptions/>
  <pageMargins left="0.2" right="0.2" top="0.75" bottom="0.75" header="0.3" footer="0.3"/>
  <pageSetup fitToHeight="2" fitToWidth="1" horizontalDpi="600" verticalDpi="600" orientation="landscape" scale="74" r:id="rId1"/>
  <headerFooter>
    <oddHeader>&amp;C&amp;F&amp;A&amp;RWoodstock Hydro 
EB-2011-0207
September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O170"/>
  <sheetViews>
    <sheetView showGridLines="0" zoomScalePageLayoutView="0" workbookViewId="0" topLeftCell="A133">
      <selection activeCell="J159" sqref="J159"/>
    </sheetView>
  </sheetViews>
  <sheetFormatPr defaultColWidth="9.140625" defaultRowHeight="15"/>
  <cols>
    <col min="1" max="1" width="5.421875" style="0" bestFit="1" customWidth="1"/>
    <col min="2" max="2" width="14.7109375" style="0" hidden="1" customWidth="1"/>
    <col min="3" max="3" width="9.00390625" style="0" customWidth="1"/>
    <col min="4" max="5" width="11.57421875" style="0" bestFit="1" customWidth="1"/>
    <col min="6" max="6" width="7.140625" style="83" customWidth="1"/>
    <col min="7" max="7" width="12.57421875" style="83" bestFit="1" customWidth="1"/>
    <col min="8" max="8" width="13.57421875" style="83" bestFit="1" customWidth="1"/>
    <col min="9" max="9" width="11.57421875" style="0" bestFit="1" customWidth="1"/>
    <col min="10" max="10" width="11.8515625" style="0" customWidth="1"/>
    <col min="11" max="11" width="14.00390625" style="0" customWidth="1"/>
    <col min="12" max="12" width="2.140625" style="0" customWidth="1"/>
    <col min="13" max="13" width="12.57421875" style="0" bestFit="1" customWidth="1"/>
    <col min="14" max="14" width="2.28125" style="0" customWidth="1"/>
    <col min="15" max="15" width="12.57421875" style="0" bestFit="1" customWidth="1"/>
  </cols>
  <sheetData>
    <row r="1" spans="1:11" ht="15">
      <c r="A1" s="93"/>
      <c r="B1" s="93"/>
      <c r="C1" s="247"/>
      <c r="D1" s="212" t="s">
        <v>137</v>
      </c>
      <c r="E1" s="211"/>
      <c r="G1" s="170" t="s">
        <v>111</v>
      </c>
      <c r="H1" s="209"/>
      <c r="I1" s="210"/>
      <c r="J1" s="210"/>
      <c r="K1" s="211"/>
    </row>
    <row r="2" spans="1:15" s="1" customFormat="1" ht="45">
      <c r="A2" s="201" t="s">
        <v>30</v>
      </c>
      <c r="B2" s="202" t="s">
        <v>66</v>
      </c>
      <c r="C2" s="202" t="s">
        <v>31</v>
      </c>
      <c r="D2" s="201" t="s">
        <v>138</v>
      </c>
      <c r="E2" s="203" t="s">
        <v>139</v>
      </c>
      <c r="F2" s="204"/>
      <c r="G2" s="205" t="s">
        <v>83</v>
      </c>
      <c r="H2" s="204" t="s">
        <v>84</v>
      </c>
      <c r="I2" s="204" t="s">
        <v>85</v>
      </c>
      <c r="J2" s="204" t="s">
        <v>86</v>
      </c>
      <c r="K2" s="206" t="s">
        <v>87</v>
      </c>
      <c r="M2" s="296" t="s">
        <v>159</v>
      </c>
      <c r="O2" s="244" t="s">
        <v>158</v>
      </c>
    </row>
    <row r="3" spans="1:15" s="1" customFormat="1" ht="15">
      <c r="A3" s="99"/>
      <c r="B3" s="21"/>
      <c r="C3" s="21" t="s">
        <v>40</v>
      </c>
      <c r="D3" s="99"/>
      <c r="E3" s="100"/>
      <c r="F3" s="82"/>
      <c r="G3" s="101"/>
      <c r="H3" s="102"/>
      <c r="I3" s="102"/>
      <c r="J3" s="102"/>
      <c r="K3" s="103"/>
      <c r="M3" s="245"/>
      <c r="O3" s="245"/>
    </row>
    <row r="4" spans="1:15" ht="15">
      <c r="A4" s="70">
        <v>2002</v>
      </c>
      <c r="B4" s="3">
        <v>3</v>
      </c>
      <c r="C4" s="3" t="s">
        <v>41</v>
      </c>
      <c r="D4" s="70"/>
      <c r="E4" s="57"/>
      <c r="G4" s="86">
        <f>H3</f>
        <v>0</v>
      </c>
      <c r="H4" s="87">
        <f>'G-34a Principal trueup'!N3</f>
        <v>57701.94853799998</v>
      </c>
      <c r="I4" s="104">
        <v>0.0725</v>
      </c>
      <c r="J4" s="87">
        <f>G4*I4/12</f>
        <v>0</v>
      </c>
      <c r="K4" s="88">
        <f>J4</f>
        <v>0</v>
      </c>
      <c r="M4" s="246"/>
      <c r="O4" s="246"/>
    </row>
    <row r="5" spans="1:15" ht="15">
      <c r="A5" s="70">
        <v>2002</v>
      </c>
      <c r="B5" s="3">
        <v>4</v>
      </c>
      <c r="C5" s="3" t="s">
        <v>42</v>
      </c>
      <c r="D5" s="70"/>
      <c r="E5" s="57"/>
      <c r="G5" s="86">
        <f>H4</f>
        <v>57701.94853799998</v>
      </c>
      <c r="H5" s="87">
        <f>'G-34a Principal trueup'!N4</f>
        <v>80126.68569799997</v>
      </c>
      <c r="I5" s="104">
        <v>0.0725</v>
      </c>
      <c r="J5" s="87">
        <f aca="true" t="shared" si="0" ref="J5:J13">G5*I5/12</f>
        <v>348.6159390837499</v>
      </c>
      <c r="K5" s="88">
        <f>K4+J5</f>
        <v>348.6159390837499</v>
      </c>
      <c r="M5" s="246"/>
      <c r="O5" s="246"/>
    </row>
    <row r="6" spans="1:15" ht="15">
      <c r="A6" s="70">
        <v>2002</v>
      </c>
      <c r="B6" s="3">
        <v>5</v>
      </c>
      <c r="C6" s="3" t="s">
        <v>35</v>
      </c>
      <c r="D6" s="70"/>
      <c r="E6" s="57"/>
      <c r="G6" s="86">
        <f aca="true" t="shared" si="1" ref="G6:G13">H5</f>
        <v>80126.68569799997</v>
      </c>
      <c r="H6" s="87">
        <f>'G-34a Principal trueup'!N5</f>
        <v>104513.60069199996</v>
      </c>
      <c r="I6" s="104">
        <v>0.0725</v>
      </c>
      <c r="J6" s="87">
        <f t="shared" si="0"/>
        <v>484.0987260920831</v>
      </c>
      <c r="K6" s="88">
        <f>K5+J6</f>
        <v>832.714665175833</v>
      </c>
      <c r="M6" s="246"/>
      <c r="O6" s="246"/>
    </row>
    <row r="7" spans="1:15" ht="15">
      <c r="A7" s="70">
        <v>2002</v>
      </c>
      <c r="B7" s="3">
        <v>6</v>
      </c>
      <c r="C7" s="3" t="s">
        <v>36</v>
      </c>
      <c r="D7" s="70"/>
      <c r="E7" s="57"/>
      <c r="G7" s="86">
        <f t="shared" si="1"/>
        <v>104513.60069199996</v>
      </c>
      <c r="H7" s="87">
        <f>'G-34a Principal trueup'!N6</f>
        <v>145897.40748084598</v>
      </c>
      <c r="I7" s="104">
        <v>0.0725</v>
      </c>
      <c r="J7" s="87">
        <f t="shared" si="0"/>
        <v>631.4363375141664</v>
      </c>
      <c r="K7" s="88">
        <f aca="true" t="shared" si="2" ref="K7:K13">K6+J7</f>
        <v>1464.1510026899996</v>
      </c>
      <c r="M7" s="246"/>
      <c r="O7" s="246"/>
    </row>
    <row r="8" spans="1:15" ht="15">
      <c r="A8" s="70">
        <v>2002</v>
      </c>
      <c r="B8" s="3">
        <v>7</v>
      </c>
      <c r="C8" s="3" t="s">
        <v>44</v>
      </c>
      <c r="D8" s="207"/>
      <c r="E8" s="57"/>
      <c r="G8" s="86">
        <f t="shared" si="1"/>
        <v>145897.40748084598</v>
      </c>
      <c r="H8" s="87">
        <f>'G-34a Principal trueup'!N7</f>
        <v>154590.32197784598</v>
      </c>
      <c r="I8" s="104">
        <v>0.0725</v>
      </c>
      <c r="J8" s="87">
        <f t="shared" si="0"/>
        <v>881.4635035301111</v>
      </c>
      <c r="K8" s="88">
        <f t="shared" si="2"/>
        <v>2345.614506220111</v>
      </c>
      <c r="M8" s="246"/>
      <c r="O8" s="246"/>
    </row>
    <row r="9" spans="1:15" ht="15">
      <c r="A9" s="70">
        <v>2002</v>
      </c>
      <c r="B9" s="3">
        <v>8</v>
      </c>
      <c r="C9" s="3" t="s">
        <v>45</v>
      </c>
      <c r="D9" s="70"/>
      <c r="E9" s="57"/>
      <c r="G9" s="86">
        <f t="shared" si="1"/>
        <v>154590.32197784598</v>
      </c>
      <c r="H9" s="87">
        <f>'G-34a Principal trueup'!N8</f>
        <v>177620.76584384596</v>
      </c>
      <c r="I9" s="104">
        <v>0.0725</v>
      </c>
      <c r="J9" s="87">
        <f t="shared" si="0"/>
        <v>933.9831952828193</v>
      </c>
      <c r="K9" s="88">
        <f t="shared" si="2"/>
        <v>3279.5977015029302</v>
      </c>
      <c r="M9" s="246"/>
      <c r="O9" s="246"/>
    </row>
    <row r="10" spans="1:15" ht="15">
      <c r="A10" s="70">
        <v>2002</v>
      </c>
      <c r="B10" s="3">
        <v>9</v>
      </c>
      <c r="C10" s="3" t="s">
        <v>71</v>
      </c>
      <c r="D10" s="70"/>
      <c r="E10" s="57"/>
      <c r="G10" s="86">
        <f t="shared" si="1"/>
        <v>177620.76584384596</v>
      </c>
      <c r="H10" s="87">
        <f>'G-34a Principal trueup'!N9</f>
        <v>156060.26934984594</v>
      </c>
      <c r="I10" s="104">
        <v>0.0725</v>
      </c>
      <c r="J10" s="87">
        <f t="shared" si="0"/>
        <v>1073.1254603065693</v>
      </c>
      <c r="K10" s="88">
        <f t="shared" si="2"/>
        <v>4352.723161809499</v>
      </c>
      <c r="M10" s="246"/>
      <c r="O10" s="246"/>
    </row>
    <row r="11" spans="1:15" ht="15">
      <c r="A11" s="70">
        <v>2002</v>
      </c>
      <c r="B11" s="3">
        <v>10</v>
      </c>
      <c r="C11" s="3" t="s">
        <v>47</v>
      </c>
      <c r="D11" s="70"/>
      <c r="E11" s="57"/>
      <c r="G11" s="86">
        <f t="shared" si="1"/>
        <v>156060.26934984594</v>
      </c>
      <c r="H11" s="87">
        <f>'G-34a Principal trueup'!N10</f>
        <v>168805.13127784594</v>
      </c>
      <c r="I11" s="104">
        <v>0.0725</v>
      </c>
      <c r="J11" s="87">
        <f t="shared" si="0"/>
        <v>942.8641273219858</v>
      </c>
      <c r="K11" s="88">
        <f t="shared" si="2"/>
        <v>5295.587289131485</v>
      </c>
      <c r="M11" s="246"/>
      <c r="O11" s="246"/>
    </row>
    <row r="12" spans="1:15" ht="15">
      <c r="A12" s="70">
        <v>2002</v>
      </c>
      <c r="B12" s="3">
        <v>11</v>
      </c>
      <c r="C12" s="3" t="s">
        <v>48</v>
      </c>
      <c r="D12" s="70"/>
      <c r="E12" s="57"/>
      <c r="G12" s="86">
        <f t="shared" si="1"/>
        <v>168805.13127784594</v>
      </c>
      <c r="H12" s="87">
        <f>'G-34a Principal trueup'!N11</f>
        <v>199490.93393684592</v>
      </c>
      <c r="I12" s="104">
        <v>0.0725</v>
      </c>
      <c r="J12" s="87">
        <f t="shared" si="0"/>
        <v>1019.8643348036525</v>
      </c>
      <c r="K12" s="88">
        <f t="shared" si="2"/>
        <v>6315.451623935137</v>
      </c>
      <c r="M12" s="246"/>
      <c r="O12" s="246"/>
    </row>
    <row r="13" spans="1:15" ht="15">
      <c r="A13" s="70">
        <v>2002</v>
      </c>
      <c r="B13" s="3">
        <v>12</v>
      </c>
      <c r="C13" s="3" t="s">
        <v>49</v>
      </c>
      <c r="D13" s="207">
        <v>0</v>
      </c>
      <c r="E13" s="208">
        <f>D13</f>
        <v>0</v>
      </c>
      <c r="G13" s="86">
        <f t="shared" si="1"/>
        <v>199490.93393684592</v>
      </c>
      <c r="H13" s="87">
        <f>'G-34a Principal trueup'!N12</f>
        <v>185412.5122103459</v>
      </c>
      <c r="I13" s="104">
        <v>0.0725</v>
      </c>
      <c r="J13" s="87">
        <f t="shared" si="0"/>
        <v>1205.257725868444</v>
      </c>
      <c r="K13" s="88">
        <f t="shared" si="2"/>
        <v>7520.709349803581</v>
      </c>
      <c r="M13" s="246"/>
      <c r="O13" s="246"/>
    </row>
    <row r="14" spans="1:15" ht="15">
      <c r="A14" s="55"/>
      <c r="B14" s="84"/>
      <c r="C14" s="197"/>
      <c r="D14" s="89">
        <f>SUM(D4:D13)</f>
        <v>0</v>
      </c>
      <c r="E14" s="90"/>
      <c r="F14" s="85"/>
      <c r="G14" s="89"/>
      <c r="H14" s="198"/>
      <c r="I14" s="198"/>
      <c r="J14" s="198">
        <f>SUM(J4:J13)</f>
        <v>7520.709349803581</v>
      </c>
      <c r="K14" s="90"/>
      <c r="M14" s="229">
        <f>J14-D14</f>
        <v>7520.709349803581</v>
      </c>
      <c r="O14" s="229">
        <v>7520.709349803581</v>
      </c>
    </row>
    <row r="15" spans="1:15" ht="15">
      <c r="A15" s="70"/>
      <c r="B15" s="3"/>
      <c r="C15" s="3"/>
      <c r="D15" s="86" t="s">
        <v>145</v>
      </c>
      <c r="E15" s="88"/>
      <c r="F15" s="87"/>
      <c r="G15" s="86"/>
      <c r="H15" s="87"/>
      <c r="I15" s="87"/>
      <c r="J15" s="87"/>
      <c r="K15" s="88"/>
      <c r="M15" s="246"/>
      <c r="O15" s="246"/>
    </row>
    <row r="16" spans="1:15" ht="15">
      <c r="A16" s="70"/>
      <c r="B16" s="3"/>
      <c r="C16" s="3"/>
      <c r="D16" s="70"/>
      <c r="E16" s="57"/>
      <c r="G16" s="86"/>
      <c r="H16" s="87"/>
      <c r="I16" s="3"/>
      <c r="J16" s="87"/>
      <c r="K16" s="88"/>
      <c r="M16" s="246"/>
      <c r="O16" s="246"/>
    </row>
    <row r="17" spans="1:15" ht="15">
      <c r="A17" s="70">
        <v>2003</v>
      </c>
      <c r="B17" s="75">
        <v>1</v>
      </c>
      <c r="C17" s="3" t="s">
        <v>39</v>
      </c>
      <c r="D17" s="86">
        <f>1641+13999</f>
        <v>15640</v>
      </c>
      <c r="E17" s="88">
        <f>E13+D17</f>
        <v>15640</v>
      </c>
      <c r="G17" s="86">
        <f>H13</f>
        <v>185412.5122103459</v>
      </c>
      <c r="H17" s="87">
        <f>'G-34a Principal trueup'!N15</f>
        <v>170617.4085976095</v>
      </c>
      <c r="I17" s="104">
        <v>0.0725</v>
      </c>
      <c r="J17" s="87">
        <f aca="true" t="shared" si="3" ref="J17:J28">G17*I17/12</f>
        <v>1120.2005946041731</v>
      </c>
      <c r="K17" s="88">
        <f>K13+J17</f>
        <v>8640.909944407755</v>
      </c>
      <c r="M17" s="246"/>
      <c r="O17" s="246"/>
    </row>
    <row r="18" spans="1:15" ht="15">
      <c r="A18" s="70">
        <v>2003</v>
      </c>
      <c r="B18" s="75">
        <v>2</v>
      </c>
      <c r="C18" s="3" t="s">
        <v>40</v>
      </c>
      <c r="D18" s="86">
        <v>1435</v>
      </c>
      <c r="E18" s="88">
        <f>D18+E17</f>
        <v>17075</v>
      </c>
      <c r="G18" s="86">
        <f>H17</f>
        <v>170617.4085976095</v>
      </c>
      <c r="H18" s="87">
        <f>'G-34a Principal trueup'!N16</f>
        <v>164777.37143880335</v>
      </c>
      <c r="I18" s="104">
        <v>0.0725</v>
      </c>
      <c r="J18" s="87">
        <f t="shared" si="3"/>
        <v>1030.813510277224</v>
      </c>
      <c r="K18" s="88">
        <f>K17+J18</f>
        <v>9671.72345468498</v>
      </c>
      <c r="M18" s="246"/>
      <c r="O18" s="246"/>
    </row>
    <row r="19" spans="1:15" ht="15">
      <c r="A19" s="70">
        <v>2003</v>
      </c>
      <c r="B19" s="75">
        <v>3</v>
      </c>
      <c r="C19" s="3" t="s">
        <v>41</v>
      </c>
      <c r="D19" s="86">
        <v>1310</v>
      </c>
      <c r="E19" s="88">
        <f aca="true" t="shared" si="4" ref="E19:E28">D19+E18</f>
        <v>18385</v>
      </c>
      <c r="G19" s="86">
        <f aca="true" t="shared" si="5" ref="G19:G28">H18</f>
        <v>164777.37143880335</v>
      </c>
      <c r="H19" s="87">
        <f>'G-34a Principal trueup'!N17</f>
        <v>146540.90433122666</v>
      </c>
      <c r="I19" s="104">
        <v>0.0725</v>
      </c>
      <c r="J19" s="87">
        <f t="shared" si="3"/>
        <v>995.5299524427702</v>
      </c>
      <c r="K19" s="88">
        <f aca="true" t="shared" si="6" ref="K19:K27">K18+J19</f>
        <v>10667.25340712775</v>
      </c>
      <c r="M19" s="246"/>
      <c r="O19" s="246"/>
    </row>
    <row r="20" spans="1:15" ht="15">
      <c r="A20" s="70">
        <v>2003</v>
      </c>
      <c r="B20" s="75">
        <v>4</v>
      </c>
      <c r="C20" s="3" t="s">
        <v>42</v>
      </c>
      <c r="D20" s="86">
        <v>1063</v>
      </c>
      <c r="E20" s="88">
        <f t="shared" si="4"/>
        <v>19448</v>
      </c>
      <c r="G20" s="86">
        <f t="shared" si="5"/>
        <v>146540.90433122666</v>
      </c>
      <c r="H20" s="87">
        <f>'G-34a Principal trueup'!N18</f>
        <v>147228.13480704903</v>
      </c>
      <c r="I20" s="104">
        <v>0.0725</v>
      </c>
      <c r="J20" s="87">
        <f t="shared" si="3"/>
        <v>885.351297001161</v>
      </c>
      <c r="K20" s="88">
        <f t="shared" si="6"/>
        <v>11552.604704128911</v>
      </c>
      <c r="M20" s="246"/>
      <c r="O20" s="246"/>
    </row>
    <row r="21" spans="1:15" ht="15">
      <c r="A21" s="70">
        <v>2003</v>
      </c>
      <c r="B21" s="75">
        <v>5</v>
      </c>
      <c r="C21" s="3" t="s">
        <v>35</v>
      </c>
      <c r="D21" s="86">
        <v>994</v>
      </c>
      <c r="E21" s="88">
        <f t="shared" si="4"/>
        <v>20442</v>
      </c>
      <c r="G21" s="86">
        <f t="shared" si="5"/>
        <v>147228.13480704903</v>
      </c>
      <c r="H21" s="87">
        <f>'G-34a Principal trueup'!N19</f>
        <v>149392.93054695992</v>
      </c>
      <c r="I21" s="104">
        <v>0.0725</v>
      </c>
      <c r="J21" s="87">
        <f t="shared" si="3"/>
        <v>889.5033144592545</v>
      </c>
      <c r="K21" s="88">
        <f t="shared" si="6"/>
        <v>12442.108018588166</v>
      </c>
      <c r="M21" s="246"/>
      <c r="O21" s="246"/>
    </row>
    <row r="22" spans="1:15" ht="15">
      <c r="A22" s="70">
        <v>2003</v>
      </c>
      <c r="B22" s="75">
        <v>6</v>
      </c>
      <c r="C22" s="3" t="s">
        <v>36</v>
      </c>
      <c r="D22" s="86">
        <v>930</v>
      </c>
      <c r="E22" s="88">
        <f t="shared" si="4"/>
        <v>21372</v>
      </c>
      <c r="G22" s="86">
        <f t="shared" si="5"/>
        <v>149392.93054695992</v>
      </c>
      <c r="H22" s="87">
        <f>'G-34a Principal trueup'!N20</f>
        <v>156678.10364207055</v>
      </c>
      <c r="I22" s="104">
        <v>0.0725</v>
      </c>
      <c r="J22" s="87">
        <f t="shared" si="3"/>
        <v>902.5822887212162</v>
      </c>
      <c r="K22" s="88">
        <f t="shared" si="6"/>
        <v>13344.690307309382</v>
      </c>
      <c r="M22" s="246"/>
      <c r="O22" s="246"/>
    </row>
    <row r="23" spans="1:15" ht="15">
      <c r="A23" s="70">
        <v>2003</v>
      </c>
      <c r="B23" s="75">
        <v>7</v>
      </c>
      <c r="C23" s="3" t="s">
        <v>44</v>
      </c>
      <c r="D23" s="86">
        <v>517</v>
      </c>
      <c r="E23" s="88">
        <f t="shared" si="4"/>
        <v>21889</v>
      </c>
      <c r="G23" s="86">
        <f t="shared" si="5"/>
        <v>156678.10364207055</v>
      </c>
      <c r="H23" s="87">
        <f>'G-34a Principal trueup'!N21</f>
        <v>158598.15734769835</v>
      </c>
      <c r="I23" s="104">
        <v>0.0725</v>
      </c>
      <c r="J23" s="87">
        <f t="shared" si="3"/>
        <v>946.5968761708428</v>
      </c>
      <c r="K23" s="88">
        <f t="shared" si="6"/>
        <v>14291.287183480224</v>
      </c>
      <c r="M23" s="246"/>
      <c r="O23" s="246"/>
    </row>
    <row r="24" spans="1:15" ht="15">
      <c r="A24" s="70">
        <v>2003</v>
      </c>
      <c r="B24" s="75">
        <v>8</v>
      </c>
      <c r="C24" s="3" t="s">
        <v>45</v>
      </c>
      <c r="D24" s="86">
        <v>452</v>
      </c>
      <c r="E24" s="88">
        <f t="shared" si="4"/>
        <v>22341</v>
      </c>
      <c r="G24" s="86">
        <f t="shared" si="5"/>
        <v>158598.15734769835</v>
      </c>
      <c r="H24" s="87">
        <f>'G-34a Principal trueup'!N22</f>
        <v>153736.53558576765</v>
      </c>
      <c r="I24" s="104">
        <v>0.0725</v>
      </c>
      <c r="J24" s="87">
        <f t="shared" si="3"/>
        <v>958.197200642344</v>
      </c>
      <c r="K24" s="88">
        <f t="shared" si="6"/>
        <v>15249.484384122568</v>
      </c>
      <c r="M24" s="246"/>
      <c r="O24" s="246"/>
    </row>
    <row r="25" spans="1:15" ht="15">
      <c r="A25" s="70">
        <v>2003</v>
      </c>
      <c r="B25" s="75">
        <v>9</v>
      </c>
      <c r="C25" s="3" t="s">
        <v>71</v>
      </c>
      <c r="D25" s="86">
        <v>330</v>
      </c>
      <c r="E25" s="88">
        <f t="shared" si="4"/>
        <v>22671</v>
      </c>
      <c r="G25" s="86">
        <f t="shared" si="5"/>
        <v>153736.53558576765</v>
      </c>
      <c r="H25" s="87">
        <f>'G-34a Principal trueup'!N23</f>
        <v>151548.8651140085</v>
      </c>
      <c r="I25" s="104">
        <v>0.0725</v>
      </c>
      <c r="J25" s="87">
        <f t="shared" si="3"/>
        <v>928.8249024973461</v>
      </c>
      <c r="K25" s="88">
        <f t="shared" si="6"/>
        <v>16178.309286619915</v>
      </c>
      <c r="M25" s="246"/>
      <c r="O25" s="246"/>
    </row>
    <row r="26" spans="1:15" ht="15">
      <c r="A26" s="70">
        <v>2003</v>
      </c>
      <c r="B26" s="75">
        <v>10</v>
      </c>
      <c r="C26" s="3" t="s">
        <v>47</v>
      </c>
      <c r="D26" s="86">
        <v>241</v>
      </c>
      <c r="E26" s="88">
        <f t="shared" si="4"/>
        <v>22912</v>
      </c>
      <c r="G26" s="86">
        <f t="shared" si="5"/>
        <v>151548.8651140085</v>
      </c>
      <c r="H26" s="87">
        <f>'G-34a Principal trueup'!N24</f>
        <v>151594.48244440183</v>
      </c>
      <c r="I26" s="104">
        <v>0.0725</v>
      </c>
      <c r="J26" s="87">
        <f t="shared" si="3"/>
        <v>915.607726730468</v>
      </c>
      <c r="K26" s="88">
        <f t="shared" si="6"/>
        <v>17093.917013350383</v>
      </c>
      <c r="M26" s="246"/>
      <c r="O26" s="246"/>
    </row>
    <row r="27" spans="1:15" ht="15">
      <c r="A27" s="70">
        <v>2003</v>
      </c>
      <c r="B27" s="75">
        <v>11</v>
      </c>
      <c r="C27" s="3" t="s">
        <v>48</v>
      </c>
      <c r="D27" s="86">
        <v>161</v>
      </c>
      <c r="E27" s="88">
        <f t="shared" si="4"/>
        <v>23073</v>
      </c>
      <c r="G27" s="86">
        <f t="shared" si="5"/>
        <v>151594.48244440183</v>
      </c>
      <c r="H27" s="87">
        <f>'G-34a Principal trueup'!N25</f>
        <v>151469.1293434461</v>
      </c>
      <c r="I27" s="104">
        <v>0.0725</v>
      </c>
      <c r="J27" s="87">
        <f t="shared" si="3"/>
        <v>915.8833314349276</v>
      </c>
      <c r="K27" s="88">
        <f t="shared" si="6"/>
        <v>18009.80034478531</v>
      </c>
      <c r="M27" s="246"/>
      <c r="O27" s="246"/>
    </row>
    <row r="28" spans="1:15" ht="15">
      <c r="A28" s="70">
        <v>2003</v>
      </c>
      <c r="B28" s="75">
        <v>12</v>
      </c>
      <c r="C28" s="3" t="s">
        <v>49</v>
      </c>
      <c r="D28" s="86">
        <v>71</v>
      </c>
      <c r="E28" s="88">
        <f t="shared" si="4"/>
        <v>23144</v>
      </c>
      <c r="G28" s="86">
        <f t="shared" si="5"/>
        <v>151469.1293434461</v>
      </c>
      <c r="H28" s="87">
        <f>'G-34a Principal trueup'!N26</f>
        <v>142974.91982082248</v>
      </c>
      <c r="I28" s="104">
        <v>0.0725</v>
      </c>
      <c r="J28" s="87">
        <f t="shared" si="3"/>
        <v>915.1259897833202</v>
      </c>
      <c r="K28" s="88">
        <f>K27+J28</f>
        <v>18924.92633456863</v>
      </c>
      <c r="M28" s="246"/>
      <c r="O28" s="246"/>
    </row>
    <row r="29" spans="1:15" ht="15">
      <c r="A29" s="55"/>
      <c r="B29" s="84"/>
      <c r="C29" s="197"/>
      <c r="D29" s="89">
        <f>SUM(D17:D28)</f>
        <v>23144</v>
      </c>
      <c r="E29" s="94"/>
      <c r="F29" s="85"/>
      <c r="G29" s="89"/>
      <c r="H29" s="198"/>
      <c r="I29" s="197"/>
      <c r="J29" s="198">
        <f>SUM(J17:J28)</f>
        <v>11404.21698476505</v>
      </c>
      <c r="K29" s="90"/>
      <c r="M29" s="229">
        <f>J29-D29</f>
        <v>-11739.78301523495</v>
      </c>
      <c r="O29" s="229">
        <v>7520.709349803581</v>
      </c>
    </row>
    <row r="30" spans="1:15" ht="15">
      <c r="A30" s="70"/>
      <c r="B30" s="75"/>
      <c r="C30" s="3"/>
      <c r="D30" s="70"/>
      <c r="E30" s="57"/>
      <c r="G30" s="86"/>
      <c r="H30" s="87"/>
      <c r="I30" s="3"/>
      <c r="J30" s="3"/>
      <c r="K30" s="57"/>
      <c r="M30" s="40"/>
      <c r="O30" s="40"/>
    </row>
    <row r="31" spans="1:15" ht="15">
      <c r="A31" s="70"/>
      <c r="B31" s="75"/>
      <c r="C31" s="3"/>
      <c r="D31" s="86"/>
      <c r="E31" s="57"/>
      <c r="G31" s="86"/>
      <c r="H31" s="87"/>
      <c r="I31" s="3"/>
      <c r="J31" s="3"/>
      <c r="K31" s="57"/>
      <c r="M31" s="40"/>
      <c r="O31" s="40"/>
    </row>
    <row r="32" spans="1:15" ht="15">
      <c r="A32" s="70">
        <v>2004</v>
      </c>
      <c r="B32" s="75">
        <v>1</v>
      </c>
      <c r="C32" s="3" t="s">
        <v>39</v>
      </c>
      <c r="D32" s="86">
        <v>-3</v>
      </c>
      <c r="E32" s="88">
        <f>E28+D32</f>
        <v>23141</v>
      </c>
      <c r="G32" s="86">
        <f>H28</f>
        <v>142974.91982082248</v>
      </c>
      <c r="H32" s="87">
        <f>'G-34a Principal trueup'!N30</f>
        <v>138985.02880345064</v>
      </c>
      <c r="I32" s="104">
        <v>0.0725</v>
      </c>
      <c r="J32" s="87">
        <f>G32*I32/12</f>
        <v>863.8068072508025</v>
      </c>
      <c r="K32" s="88">
        <f>K28+J32</f>
        <v>19788.733141819434</v>
      </c>
      <c r="M32" s="246"/>
      <c r="O32" s="246"/>
    </row>
    <row r="33" spans="1:15" ht="15">
      <c r="A33" s="70">
        <v>2004</v>
      </c>
      <c r="B33" s="75">
        <v>2</v>
      </c>
      <c r="C33" s="3" t="s">
        <v>40</v>
      </c>
      <c r="D33" s="86">
        <v>-118</v>
      </c>
      <c r="E33" s="88">
        <f>E32+D33</f>
        <v>23023</v>
      </c>
      <c r="G33" s="86">
        <f>H32</f>
        <v>138985.02880345064</v>
      </c>
      <c r="H33" s="87">
        <f>'G-34a Principal trueup'!N31</f>
        <v>135538.30693209666</v>
      </c>
      <c r="I33" s="104">
        <v>0.0725</v>
      </c>
      <c r="J33" s="87">
        <f aca="true" t="shared" si="7" ref="J33:J43">G33*I33/12</f>
        <v>839.7012156875143</v>
      </c>
      <c r="K33" s="88">
        <f>K32+J33</f>
        <v>20628.434357506947</v>
      </c>
      <c r="M33" s="246"/>
      <c r="O33" s="246"/>
    </row>
    <row r="34" spans="1:15" ht="15">
      <c r="A34" s="70">
        <v>2004</v>
      </c>
      <c r="B34" s="75">
        <v>3</v>
      </c>
      <c r="C34" s="3" t="s">
        <v>41</v>
      </c>
      <c r="D34" s="86">
        <v>-228</v>
      </c>
      <c r="E34" s="88">
        <f aca="true" t="shared" si="8" ref="E34:E43">E33+D34</f>
        <v>22795</v>
      </c>
      <c r="G34" s="86">
        <f aca="true" t="shared" si="9" ref="G34:G43">H33</f>
        <v>135538.30693209666</v>
      </c>
      <c r="H34" s="87">
        <f>'G-34a Principal trueup'!N32</f>
        <v>125977.29949602233</v>
      </c>
      <c r="I34" s="104">
        <v>0.0725</v>
      </c>
      <c r="J34" s="87">
        <f t="shared" si="7"/>
        <v>818.8772710480839</v>
      </c>
      <c r="K34" s="88">
        <f aca="true" t="shared" si="10" ref="K34:K42">K33+J34</f>
        <v>21447.31162855503</v>
      </c>
      <c r="M34" s="246"/>
      <c r="O34" s="246"/>
    </row>
    <row r="35" spans="1:15" ht="15">
      <c r="A35" s="70">
        <v>2004</v>
      </c>
      <c r="B35" s="75">
        <v>4</v>
      </c>
      <c r="C35" s="3" t="s">
        <v>42</v>
      </c>
      <c r="D35" s="86">
        <v>-386</v>
      </c>
      <c r="E35" s="88">
        <f t="shared" si="8"/>
        <v>22409</v>
      </c>
      <c r="G35" s="86">
        <f t="shared" si="9"/>
        <v>125977.29949602233</v>
      </c>
      <c r="H35" s="87">
        <f>'G-34a Principal trueup'!N33</f>
        <v>135063.7684322723</v>
      </c>
      <c r="I35" s="104">
        <v>0.0725</v>
      </c>
      <c r="J35" s="87">
        <f t="shared" si="7"/>
        <v>761.1128511218016</v>
      </c>
      <c r="K35" s="88">
        <f t="shared" si="10"/>
        <v>22208.424479676833</v>
      </c>
      <c r="M35" s="246"/>
      <c r="O35" s="246"/>
    </row>
    <row r="36" spans="1:15" ht="15">
      <c r="A36" s="70">
        <v>2004</v>
      </c>
      <c r="B36" s="75">
        <v>5</v>
      </c>
      <c r="C36" s="3" t="s">
        <v>35</v>
      </c>
      <c r="D36" s="86">
        <v>-405.96</v>
      </c>
      <c r="E36" s="88">
        <f t="shared" si="8"/>
        <v>22003.04</v>
      </c>
      <c r="G36" s="86">
        <f t="shared" si="9"/>
        <v>135063.7684322723</v>
      </c>
      <c r="H36" s="87">
        <f>'G-34a Principal trueup'!N34</f>
        <v>139725.53643973012</v>
      </c>
      <c r="I36" s="104">
        <v>0.0725</v>
      </c>
      <c r="J36" s="87">
        <f t="shared" si="7"/>
        <v>816.0102676116452</v>
      </c>
      <c r="K36" s="88">
        <f t="shared" si="10"/>
        <v>23024.434747288477</v>
      </c>
      <c r="M36" s="246"/>
      <c r="O36" s="246"/>
    </row>
    <row r="37" spans="1:15" ht="15">
      <c r="A37" s="70">
        <v>2004</v>
      </c>
      <c r="B37" s="75">
        <v>6</v>
      </c>
      <c r="C37" s="3" t="s">
        <v>36</v>
      </c>
      <c r="D37" s="86">
        <v>-392.94</v>
      </c>
      <c r="E37" s="88">
        <f t="shared" si="8"/>
        <v>21610.100000000002</v>
      </c>
      <c r="G37" s="86">
        <f t="shared" si="9"/>
        <v>139725.53643973012</v>
      </c>
      <c r="H37" s="87">
        <f>'G-34a Principal trueup'!N35</f>
        <v>90771.28425268385</v>
      </c>
      <c r="I37" s="104">
        <v>0.0725</v>
      </c>
      <c r="J37" s="87">
        <f t="shared" si="7"/>
        <v>844.175115990036</v>
      </c>
      <c r="K37" s="88">
        <f t="shared" si="10"/>
        <v>23868.609863278514</v>
      </c>
      <c r="M37" s="246"/>
      <c r="O37" s="246"/>
    </row>
    <row r="38" spans="1:15" ht="15">
      <c r="A38" s="70">
        <v>2004</v>
      </c>
      <c r="B38" s="75">
        <v>7</v>
      </c>
      <c r="C38" s="3" t="s">
        <v>44</v>
      </c>
      <c r="D38" s="86">
        <v>-228.92999999999995</v>
      </c>
      <c r="E38" s="88">
        <f t="shared" si="8"/>
        <v>21381.170000000002</v>
      </c>
      <c r="G38" s="86">
        <f t="shared" si="9"/>
        <v>90771.28425268385</v>
      </c>
      <c r="H38" s="87">
        <f>'G-34a Principal trueup'!N36</f>
        <v>91898.99500864653</v>
      </c>
      <c r="I38" s="104">
        <v>0.0725</v>
      </c>
      <c r="J38" s="87">
        <f t="shared" si="7"/>
        <v>548.409842359965</v>
      </c>
      <c r="K38" s="88">
        <f t="shared" si="10"/>
        <v>24417.01970563848</v>
      </c>
      <c r="M38" s="246"/>
      <c r="O38" s="246"/>
    </row>
    <row r="39" spans="1:15" ht="15">
      <c r="A39" s="70">
        <v>2004</v>
      </c>
      <c r="B39" s="75">
        <v>8</v>
      </c>
      <c r="C39" s="3" t="s">
        <v>45</v>
      </c>
      <c r="D39" s="86">
        <v>-219.59000000000003</v>
      </c>
      <c r="E39" s="88">
        <f t="shared" si="8"/>
        <v>21161.58</v>
      </c>
      <c r="G39" s="86">
        <f t="shared" si="9"/>
        <v>91898.99500864653</v>
      </c>
      <c r="H39" s="87">
        <f>'G-34a Principal trueup'!N37</f>
        <v>96700.40462183284</v>
      </c>
      <c r="I39" s="104">
        <v>0.0725</v>
      </c>
      <c r="J39" s="87">
        <f t="shared" si="7"/>
        <v>555.2230948439061</v>
      </c>
      <c r="K39" s="88">
        <f t="shared" si="10"/>
        <v>24972.242800482385</v>
      </c>
      <c r="M39" s="246"/>
      <c r="O39" s="246"/>
    </row>
    <row r="40" spans="1:15" ht="15">
      <c r="A40" s="70">
        <v>2004</v>
      </c>
      <c r="B40" s="75">
        <v>9</v>
      </c>
      <c r="C40" s="3" t="s">
        <v>71</v>
      </c>
      <c r="D40" s="86">
        <v>-181.54999999999995</v>
      </c>
      <c r="E40" s="88">
        <f t="shared" si="8"/>
        <v>20980.030000000002</v>
      </c>
      <c r="G40" s="86">
        <f t="shared" si="9"/>
        <v>96700.40462183284</v>
      </c>
      <c r="H40" s="87">
        <f>'G-34a Principal trueup'!N38</f>
        <v>95391.79333825634</v>
      </c>
      <c r="I40" s="104">
        <v>0.0725</v>
      </c>
      <c r="J40" s="87">
        <f t="shared" si="7"/>
        <v>584.2316112569067</v>
      </c>
      <c r="K40" s="88">
        <f t="shared" si="10"/>
        <v>25556.47441173929</v>
      </c>
      <c r="M40" s="246"/>
      <c r="O40" s="246"/>
    </row>
    <row r="41" spans="1:15" ht="15">
      <c r="A41" s="70">
        <v>2004</v>
      </c>
      <c r="B41" s="75">
        <v>10</v>
      </c>
      <c r="C41" s="3" t="s">
        <v>47</v>
      </c>
      <c r="D41" s="86">
        <v>-182.0999999999999</v>
      </c>
      <c r="E41" s="88">
        <f t="shared" si="8"/>
        <v>20797.930000000004</v>
      </c>
      <c r="G41" s="86">
        <f t="shared" si="9"/>
        <v>95391.79333825634</v>
      </c>
      <c r="H41" s="87">
        <f>'G-34a Principal trueup'!N39</f>
        <v>101400.85739827022</v>
      </c>
      <c r="I41" s="104">
        <v>0.0725</v>
      </c>
      <c r="J41" s="87">
        <f t="shared" si="7"/>
        <v>576.3254180852987</v>
      </c>
      <c r="K41" s="88">
        <f t="shared" si="10"/>
        <v>26132.79982982459</v>
      </c>
      <c r="M41" s="246"/>
      <c r="O41" s="246"/>
    </row>
    <row r="42" spans="1:15" ht="15">
      <c r="A42" s="70">
        <v>2004</v>
      </c>
      <c r="B42" s="75">
        <v>11</v>
      </c>
      <c r="C42" s="3" t="s">
        <v>48</v>
      </c>
      <c r="D42" s="86">
        <v>-136.80999999999995</v>
      </c>
      <c r="E42" s="88">
        <f t="shared" si="8"/>
        <v>20661.120000000003</v>
      </c>
      <c r="G42" s="86">
        <f t="shared" si="9"/>
        <v>101400.85739827022</v>
      </c>
      <c r="H42" s="87">
        <f>'G-34a Principal trueup'!N40</f>
        <v>104622.37470321223</v>
      </c>
      <c r="I42" s="104">
        <v>0.0725</v>
      </c>
      <c r="J42" s="87">
        <f t="shared" si="7"/>
        <v>612.6301801145493</v>
      </c>
      <c r="K42" s="88">
        <f t="shared" si="10"/>
        <v>26745.43000993914</v>
      </c>
      <c r="M42" s="246"/>
      <c r="O42" s="246"/>
    </row>
    <row r="43" spans="1:15" ht="15">
      <c r="A43" s="70">
        <v>2004</v>
      </c>
      <c r="B43" s="75">
        <v>12</v>
      </c>
      <c r="C43" s="3" t="s">
        <v>49</v>
      </c>
      <c r="D43" s="86">
        <v>-118.36999999999989</v>
      </c>
      <c r="E43" s="88">
        <f t="shared" si="8"/>
        <v>20542.750000000004</v>
      </c>
      <c r="G43" s="86">
        <f t="shared" si="9"/>
        <v>104622.37470321223</v>
      </c>
      <c r="H43" s="87">
        <f>'G-34a Principal trueup'!N41</f>
        <v>87856.92837821152</v>
      </c>
      <c r="I43" s="104">
        <v>0.0725</v>
      </c>
      <c r="J43" s="87">
        <f t="shared" si="7"/>
        <v>632.0935138319072</v>
      </c>
      <c r="K43" s="88">
        <f>K42+J43</f>
        <v>27377.523523771048</v>
      </c>
      <c r="M43" s="246"/>
      <c r="O43" s="246"/>
    </row>
    <row r="44" spans="1:15" ht="15">
      <c r="A44" s="55"/>
      <c r="B44" s="84"/>
      <c r="C44" s="197"/>
      <c r="D44" s="89">
        <f>SUM(D32:D43)</f>
        <v>-2601.25</v>
      </c>
      <c r="E44" s="94"/>
      <c r="F44" s="85"/>
      <c r="G44" s="89"/>
      <c r="H44" s="198"/>
      <c r="I44" s="198">
        <f>SUM(I32:I43)</f>
        <v>0.87</v>
      </c>
      <c r="J44" s="198">
        <f>SUM(J32:J43)</f>
        <v>8452.597189202417</v>
      </c>
      <c r="K44" s="90"/>
      <c r="M44" s="229">
        <f>J44-D44</f>
        <v>11053.847189202417</v>
      </c>
      <c r="O44" s="229">
        <v>11053.847189202417</v>
      </c>
    </row>
    <row r="45" spans="1:15" ht="15">
      <c r="A45" s="70"/>
      <c r="B45" s="75"/>
      <c r="C45" s="3"/>
      <c r="D45" s="70"/>
      <c r="E45" s="57"/>
      <c r="G45" s="86"/>
      <c r="H45" s="87"/>
      <c r="I45" s="3"/>
      <c r="J45" s="3"/>
      <c r="K45" s="57"/>
      <c r="M45" s="40"/>
      <c r="O45" s="40"/>
    </row>
    <row r="46" spans="1:15" ht="15">
      <c r="A46" s="70"/>
      <c r="B46" s="75"/>
      <c r="C46" s="3"/>
      <c r="D46" s="70"/>
      <c r="E46" s="57"/>
      <c r="G46" s="86"/>
      <c r="H46" s="87"/>
      <c r="I46" s="3"/>
      <c r="J46" s="3"/>
      <c r="K46" s="57"/>
      <c r="M46" s="40"/>
      <c r="O46" s="40"/>
    </row>
    <row r="47" spans="1:15" ht="15">
      <c r="A47" s="70">
        <v>2005</v>
      </c>
      <c r="B47" s="75">
        <v>1</v>
      </c>
      <c r="C47" s="3" t="s">
        <v>39</v>
      </c>
      <c r="D47" s="86">
        <v>-78.92</v>
      </c>
      <c r="E47" s="88">
        <f>E43+D47</f>
        <v>20463.830000000005</v>
      </c>
      <c r="G47" s="86">
        <f>H43</f>
        <v>87856.92837821152</v>
      </c>
      <c r="H47" s="87">
        <f>'G-34a Principal trueup'!N45</f>
        <v>84592.75521583151</v>
      </c>
      <c r="I47" s="104">
        <v>0.0725</v>
      </c>
      <c r="J47" s="87">
        <f aca="true" t="shared" si="11" ref="J47:J58">G47*I47/12</f>
        <v>530.8022756183613</v>
      </c>
      <c r="K47" s="88">
        <f>K43+J47</f>
        <v>27908.325799389408</v>
      </c>
      <c r="M47" s="246"/>
      <c r="O47" s="246"/>
    </row>
    <row r="48" spans="1:15" ht="15">
      <c r="A48" s="70">
        <v>2005</v>
      </c>
      <c r="B48" s="75">
        <v>2</v>
      </c>
      <c r="C48" s="3" t="s">
        <v>40</v>
      </c>
      <c r="D48" s="86">
        <v>-88.72</v>
      </c>
      <c r="E48" s="88">
        <f>E47+D48</f>
        <v>20375.110000000004</v>
      </c>
      <c r="G48" s="86">
        <f>H47</f>
        <v>84592.75521583151</v>
      </c>
      <c r="H48" s="87">
        <f>'G-34a Principal trueup'!N46</f>
        <v>80958.63181148542</v>
      </c>
      <c r="I48" s="104">
        <v>0.0725</v>
      </c>
      <c r="J48" s="87">
        <f t="shared" si="11"/>
        <v>511.081229428982</v>
      </c>
      <c r="K48" s="88">
        <f aca="true" t="shared" si="12" ref="K48:K58">K47+J48</f>
        <v>28419.40702881839</v>
      </c>
      <c r="M48" s="246"/>
      <c r="O48" s="246"/>
    </row>
    <row r="49" spans="1:15" ht="15">
      <c r="A49" s="70">
        <v>2005</v>
      </c>
      <c r="B49" s="75">
        <v>3</v>
      </c>
      <c r="C49" s="3" t="s">
        <v>41</v>
      </c>
      <c r="D49" s="86">
        <v>-91.87</v>
      </c>
      <c r="E49" s="88">
        <f aca="true" t="shared" si="13" ref="E49:E57">E48+D49</f>
        <v>20283.240000000005</v>
      </c>
      <c r="G49" s="86">
        <f aca="true" t="shared" si="14" ref="G49:G58">H48</f>
        <v>80958.63181148542</v>
      </c>
      <c r="H49" s="87">
        <f>'G-34a Principal trueup'!N47</f>
        <v>82788.07086039099</v>
      </c>
      <c r="I49" s="104">
        <v>0.0725</v>
      </c>
      <c r="J49" s="87">
        <f t="shared" si="11"/>
        <v>489.125067194391</v>
      </c>
      <c r="K49" s="88">
        <f t="shared" si="12"/>
        <v>28908.532096012783</v>
      </c>
      <c r="M49" s="246"/>
      <c r="O49" s="246"/>
    </row>
    <row r="50" spans="1:15" ht="15">
      <c r="A50" s="70">
        <v>2005</v>
      </c>
      <c r="B50" s="75">
        <v>4</v>
      </c>
      <c r="C50" s="3" t="s">
        <v>42</v>
      </c>
      <c r="D50" s="86">
        <v>-66.13</v>
      </c>
      <c r="E50" s="88">
        <f t="shared" si="13"/>
        <v>20217.110000000004</v>
      </c>
      <c r="G50" s="86">
        <f t="shared" si="14"/>
        <v>82788.07086039099</v>
      </c>
      <c r="H50" s="87">
        <f>'G-34a Principal trueup'!N48</f>
        <v>84314.2882135649</v>
      </c>
      <c r="I50" s="104">
        <v>0.0725</v>
      </c>
      <c r="J50" s="87">
        <f t="shared" si="11"/>
        <v>500.1779281148622</v>
      </c>
      <c r="K50" s="88">
        <f t="shared" si="12"/>
        <v>29408.710024127646</v>
      </c>
      <c r="M50" s="246"/>
      <c r="O50" s="246"/>
    </row>
    <row r="51" spans="1:15" ht="15">
      <c r="A51" s="70">
        <v>2005</v>
      </c>
      <c r="B51" s="75">
        <v>5</v>
      </c>
      <c r="C51" s="3" t="s">
        <v>35</v>
      </c>
      <c r="D51" s="86">
        <v>-138.5</v>
      </c>
      <c r="E51" s="88">
        <f t="shared" si="13"/>
        <v>20078.610000000004</v>
      </c>
      <c r="G51" s="86">
        <f t="shared" si="14"/>
        <v>84314.2882135649</v>
      </c>
      <c r="H51" s="87">
        <f>'G-34a Principal trueup'!N49</f>
        <v>90729.55779614329</v>
      </c>
      <c r="I51" s="104">
        <v>0.0725</v>
      </c>
      <c r="J51" s="87">
        <f t="shared" si="11"/>
        <v>509.39882462362124</v>
      </c>
      <c r="K51" s="88">
        <f t="shared" si="12"/>
        <v>29918.108848751268</v>
      </c>
      <c r="M51" s="246"/>
      <c r="O51" s="246"/>
    </row>
    <row r="52" spans="1:15" ht="15">
      <c r="A52" s="70">
        <v>2005</v>
      </c>
      <c r="B52" s="75">
        <v>6</v>
      </c>
      <c r="C52" s="3" t="s">
        <v>36</v>
      </c>
      <c r="D52" s="86">
        <v>-103.68</v>
      </c>
      <c r="E52" s="88">
        <f t="shared" si="13"/>
        <v>19974.930000000004</v>
      </c>
      <c r="G52" s="86">
        <f t="shared" si="14"/>
        <v>90729.55779614329</v>
      </c>
      <c r="H52" s="87">
        <f>'G-34a Principal trueup'!N50</f>
        <v>24088.967119111505</v>
      </c>
      <c r="I52" s="104">
        <v>0.0725</v>
      </c>
      <c r="J52" s="87">
        <f t="shared" si="11"/>
        <v>548.1577450183656</v>
      </c>
      <c r="K52" s="88">
        <f t="shared" si="12"/>
        <v>30466.266593769633</v>
      </c>
      <c r="M52" s="246"/>
      <c r="O52" s="246"/>
    </row>
    <row r="53" spans="1:15" ht="15">
      <c r="A53" s="70">
        <v>2005</v>
      </c>
      <c r="B53" s="75">
        <v>7</v>
      </c>
      <c r="C53" s="3" t="s">
        <v>44</v>
      </c>
      <c r="D53" s="86">
        <v>1360.23</v>
      </c>
      <c r="E53" s="88">
        <f t="shared" si="13"/>
        <v>21335.160000000003</v>
      </c>
      <c r="G53" s="86">
        <f t="shared" si="14"/>
        <v>24088.967119111505</v>
      </c>
      <c r="H53" s="87">
        <f>'G-34a Principal trueup'!N51</f>
        <v>25469.252702379512</v>
      </c>
      <c r="I53" s="104">
        <v>0.0725</v>
      </c>
      <c r="J53" s="87">
        <f t="shared" si="11"/>
        <v>145.53750967796535</v>
      </c>
      <c r="K53" s="88">
        <f t="shared" si="12"/>
        <v>30611.804103447597</v>
      </c>
      <c r="M53" s="246"/>
      <c r="O53" s="246"/>
    </row>
    <row r="54" spans="1:15" ht="15">
      <c r="A54" s="70">
        <v>2005</v>
      </c>
      <c r="B54" s="75">
        <v>8</v>
      </c>
      <c r="C54" s="3" t="s">
        <v>45</v>
      </c>
      <c r="D54" s="86">
        <v>1378.27</v>
      </c>
      <c r="E54" s="88">
        <f t="shared" si="13"/>
        <v>22713.430000000004</v>
      </c>
      <c r="G54" s="86">
        <f t="shared" si="14"/>
        <v>25469.252702379512</v>
      </c>
      <c r="H54" s="87">
        <f>'G-34a Principal trueup'!N52</f>
        <v>21899.63751488323</v>
      </c>
      <c r="I54" s="104">
        <v>0.0725</v>
      </c>
      <c r="J54" s="87">
        <f t="shared" si="11"/>
        <v>153.8767350768762</v>
      </c>
      <c r="K54" s="88">
        <f t="shared" si="12"/>
        <v>30765.680838524473</v>
      </c>
      <c r="M54" s="246"/>
      <c r="O54" s="246"/>
    </row>
    <row r="55" spans="1:15" ht="15">
      <c r="A55" s="70">
        <v>2005</v>
      </c>
      <c r="B55" s="75">
        <v>9</v>
      </c>
      <c r="C55" s="3" t="s">
        <v>71</v>
      </c>
      <c r="D55" s="86">
        <v>1364.78</v>
      </c>
      <c r="E55" s="88">
        <f t="shared" si="13"/>
        <v>24078.210000000003</v>
      </c>
      <c r="G55" s="86">
        <f t="shared" si="14"/>
        <v>21899.63751488323</v>
      </c>
      <c r="H55" s="87">
        <f>'G-34a Principal trueup'!N53</f>
        <v>20390.553108179083</v>
      </c>
      <c r="I55" s="104">
        <v>0.0725</v>
      </c>
      <c r="J55" s="87">
        <f t="shared" si="11"/>
        <v>132.31030998575284</v>
      </c>
      <c r="K55" s="88">
        <f t="shared" si="12"/>
        <v>30897.991148510228</v>
      </c>
      <c r="M55" s="246"/>
      <c r="O55" s="246"/>
    </row>
    <row r="56" spans="1:15" ht="15">
      <c r="A56" s="70">
        <v>2005</v>
      </c>
      <c r="B56" s="75">
        <v>10</v>
      </c>
      <c r="C56" s="3" t="s">
        <v>47</v>
      </c>
      <c r="D56" s="86">
        <v>1364.95</v>
      </c>
      <c r="E56" s="88">
        <f t="shared" si="13"/>
        <v>25443.160000000003</v>
      </c>
      <c r="G56" s="86">
        <f t="shared" si="14"/>
        <v>20390.553108179083</v>
      </c>
      <c r="H56" s="87">
        <f>'G-34a Principal trueup'!N54</f>
        <v>22429.759573161224</v>
      </c>
      <c r="I56" s="104">
        <v>0.0725</v>
      </c>
      <c r="J56" s="87">
        <f>G56*I56/12</f>
        <v>123.19292502858195</v>
      </c>
      <c r="K56" s="88">
        <f t="shared" si="12"/>
        <v>31021.18407353881</v>
      </c>
      <c r="M56" s="246"/>
      <c r="O56" s="246"/>
    </row>
    <row r="57" spans="1:15" ht="15">
      <c r="A57" s="70">
        <v>2005</v>
      </c>
      <c r="B57" s="75">
        <v>11</v>
      </c>
      <c r="C57" s="3" t="s">
        <v>48</v>
      </c>
      <c r="D57" s="86">
        <v>1382.65</v>
      </c>
      <c r="E57" s="88">
        <f t="shared" si="13"/>
        <v>26825.810000000005</v>
      </c>
      <c r="G57" s="86">
        <f t="shared" si="14"/>
        <v>22429.759573161224</v>
      </c>
      <c r="H57" s="87">
        <f>'G-34a Principal trueup'!N55</f>
        <v>25596.95993002534</v>
      </c>
      <c r="I57" s="104">
        <v>0.0725</v>
      </c>
      <c r="J57" s="87">
        <f t="shared" si="11"/>
        <v>135.51313075451571</v>
      </c>
      <c r="K57" s="88">
        <f t="shared" si="12"/>
        <v>31156.697204293327</v>
      </c>
      <c r="M57" s="246"/>
      <c r="O57" s="246"/>
    </row>
    <row r="58" spans="1:15" ht="15">
      <c r="A58" s="70">
        <v>2005</v>
      </c>
      <c r="B58" s="75">
        <v>12</v>
      </c>
      <c r="C58" s="3" t="s">
        <v>49</v>
      </c>
      <c r="D58" s="86">
        <v>1435.88</v>
      </c>
      <c r="E58" s="88">
        <f>E57+D58</f>
        <v>28261.690000000006</v>
      </c>
      <c r="G58" s="86">
        <f t="shared" si="14"/>
        <v>25596.95993002534</v>
      </c>
      <c r="H58" s="87">
        <f>'G-34a Principal trueup'!N56</f>
        <v>17094.77434060927</v>
      </c>
      <c r="I58" s="104">
        <v>0.0725</v>
      </c>
      <c r="J58" s="87">
        <f t="shared" si="11"/>
        <v>154.64829957723643</v>
      </c>
      <c r="K58" s="88">
        <f t="shared" si="12"/>
        <v>31311.34550387056</v>
      </c>
      <c r="M58" s="246"/>
      <c r="O58" s="246"/>
    </row>
    <row r="59" spans="1:15" ht="15">
      <c r="A59" s="55"/>
      <c r="B59" s="84"/>
      <c r="C59" s="197"/>
      <c r="D59" s="89">
        <f>SUM(D47:D58)</f>
        <v>7718.94</v>
      </c>
      <c r="E59" s="94"/>
      <c r="F59" s="85"/>
      <c r="G59" s="89"/>
      <c r="H59" s="198"/>
      <c r="I59" s="198">
        <f>SUM(I47:I58)</f>
        <v>0.87</v>
      </c>
      <c r="J59" s="297">
        <f>SUM(J47:J58)</f>
        <v>3933.821980099512</v>
      </c>
      <c r="K59" s="90"/>
      <c r="M59" s="229">
        <f>J59-D59</f>
        <v>-3785.1180199004875</v>
      </c>
      <c r="N59" s="294"/>
      <c r="O59" s="229">
        <v>-3240.26</v>
      </c>
    </row>
    <row r="60" spans="1:15" ht="15">
      <c r="A60" s="70"/>
      <c r="B60" s="75"/>
      <c r="C60" s="3"/>
      <c r="D60" s="70"/>
      <c r="E60" s="57"/>
      <c r="G60" s="86"/>
      <c r="H60" s="87"/>
      <c r="I60" s="3"/>
      <c r="J60" s="3"/>
      <c r="K60" s="57"/>
      <c r="M60" s="40"/>
      <c r="O60" s="40"/>
    </row>
    <row r="61" spans="1:15" ht="15">
      <c r="A61" s="70"/>
      <c r="B61" s="75"/>
      <c r="C61" s="3"/>
      <c r="D61" s="70"/>
      <c r="E61" s="57"/>
      <c r="G61" s="86"/>
      <c r="H61" s="87"/>
      <c r="I61" s="3"/>
      <c r="J61" s="3"/>
      <c r="K61" s="57"/>
      <c r="M61" s="40"/>
      <c r="O61" s="40"/>
    </row>
    <row r="62" spans="1:15" ht="15">
      <c r="A62" s="70">
        <v>2006</v>
      </c>
      <c r="B62" s="75">
        <v>1</v>
      </c>
      <c r="C62" s="3" t="s">
        <v>39</v>
      </c>
      <c r="D62" s="86">
        <v>1472.88</v>
      </c>
      <c r="E62" s="88">
        <f>E58+D62</f>
        <v>29734.570000000007</v>
      </c>
      <c r="G62" s="86">
        <f>H58</f>
        <v>17094.77434060927</v>
      </c>
      <c r="H62" s="87">
        <f>'G-34a Principal trueup'!N65</f>
        <v>14630.082962171386</v>
      </c>
      <c r="I62" s="104">
        <v>0.0725</v>
      </c>
      <c r="J62" s="298">
        <f aca="true" t="shared" si="15" ref="J62:J73">G62*I62/12</f>
        <v>103.28092830784766</v>
      </c>
      <c r="K62" s="88">
        <f>K58+J62</f>
        <v>31414.626432178407</v>
      </c>
      <c r="M62" s="246"/>
      <c r="O62" s="246"/>
    </row>
    <row r="63" spans="1:15" ht="15">
      <c r="A63" s="70">
        <v>2006</v>
      </c>
      <c r="B63" s="75">
        <v>2</v>
      </c>
      <c r="C63" s="3" t="s">
        <v>40</v>
      </c>
      <c r="D63" s="86">
        <v>1472.49</v>
      </c>
      <c r="E63" s="88">
        <f>E62+D63</f>
        <v>31207.06000000001</v>
      </c>
      <c r="G63" s="86">
        <f>H62</f>
        <v>14630.082962171386</v>
      </c>
      <c r="H63" s="87">
        <f>'G-34a Principal trueup'!N66</f>
        <v>10605.124603299082</v>
      </c>
      <c r="I63" s="104">
        <v>0.0725</v>
      </c>
      <c r="J63" s="298">
        <f t="shared" si="15"/>
        <v>88.39008456311878</v>
      </c>
      <c r="K63" s="88">
        <f aca="true" t="shared" si="16" ref="K63:K73">K62+J63</f>
        <v>31503.016516741525</v>
      </c>
      <c r="M63" s="246"/>
      <c r="O63" s="246"/>
    </row>
    <row r="64" spans="1:15" ht="15">
      <c r="A64" s="70">
        <v>2006</v>
      </c>
      <c r="B64" s="75">
        <v>3</v>
      </c>
      <c r="C64" s="3" t="s">
        <v>41</v>
      </c>
      <c r="D64" s="86">
        <v>1463.42</v>
      </c>
      <c r="E64" s="88">
        <f aca="true" t="shared" si="17" ref="E64:E73">E63+D64</f>
        <v>32670.48000000001</v>
      </c>
      <c r="G64" s="86">
        <f aca="true" t="shared" si="18" ref="G64:G73">H63</f>
        <v>10605.124603299082</v>
      </c>
      <c r="H64" s="87">
        <f>'G-34a Principal trueup'!N67</f>
        <v>12055.011872613584</v>
      </c>
      <c r="I64" s="104">
        <v>0.0725</v>
      </c>
      <c r="J64" s="298">
        <f t="shared" si="15"/>
        <v>64.07262781159862</v>
      </c>
      <c r="K64" s="88">
        <f t="shared" si="16"/>
        <v>31567.089144553123</v>
      </c>
      <c r="M64" s="246"/>
      <c r="O64" s="246"/>
    </row>
    <row r="65" spans="1:15" ht="15">
      <c r="A65" s="277">
        <v>2006</v>
      </c>
      <c r="B65" s="278">
        <v>4</v>
      </c>
      <c r="C65" s="279" t="s">
        <v>42</v>
      </c>
      <c r="D65" s="280">
        <v>1485.61</v>
      </c>
      <c r="E65" s="276">
        <f t="shared" si="17"/>
        <v>34156.09000000001</v>
      </c>
      <c r="F65" s="281"/>
      <c r="G65" s="280">
        <f t="shared" si="18"/>
        <v>12055.011872613584</v>
      </c>
      <c r="H65" s="282">
        <f>'G-34a Principal trueup'!N68</f>
        <v>204281.47857060714</v>
      </c>
      <c r="I65" s="213">
        <v>0.0725</v>
      </c>
      <c r="J65" s="298">
        <f>G65*I65/12</f>
        <v>72.8323633970404</v>
      </c>
      <c r="K65" s="276">
        <f t="shared" si="16"/>
        <v>31639.921507950163</v>
      </c>
      <c r="M65" s="246"/>
      <c r="O65" s="246"/>
    </row>
    <row r="66" spans="1:15" ht="15">
      <c r="A66" s="70">
        <v>2006</v>
      </c>
      <c r="B66" s="75">
        <v>5</v>
      </c>
      <c r="C66" s="3" t="s">
        <v>35</v>
      </c>
      <c r="D66" s="86">
        <v>871.45</v>
      </c>
      <c r="E66" s="88">
        <f t="shared" si="17"/>
        <v>35027.54000000001</v>
      </c>
      <c r="G66" s="86">
        <f t="shared" si="18"/>
        <v>204281.47857060714</v>
      </c>
      <c r="H66" s="87">
        <f>H65</f>
        <v>204281.47857060714</v>
      </c>
      <c r="I66" s="104">
        <v>0.0414</v>
      </c>
      <c r="J66" s="87">
        <f t="shared" si="15"/>
        <v>704.7711010685947</v>
      </c>
      <c r="K66" s="88">
        <f t="shared" si="16"/>
        <v>32344.69260901876</v>
      </c>
      <c r="M66" s="246"/>
      <c r="O66" s="246"/>
    </row>
    <row r="67" spans="1:15" ht="15">
      <c r="A67" s="70">
        <v>2006</v>
      </c>
      <c r="B67" s="75">
        <v>6</v>
      </c>
      <c r="C67" s="3" t="s">
        <v>36</v>
      </c>
      <c r="D67" s="86">
        <v>1010.11</v>
      </c>
      <c r="E67" s="88">
        <f t="shared" si="17"/>
        <v>36037.65000000001</v>
      </c>
      <c r="G67" s="86">
        <f t="shared" si="18"/>
        <v>204281.47857060714</v>
      </c>
      <c r="H67" s="87">
        <f aca="true" t="shared" si="19" ref="H67:H73">H66</f>
        <v>204281.47857060714</v>
      </c>
      <c r="I67" s="104">
        <v>0.0414</v>
      </c>
      <c r="J67" s="87">
        <f t="shared" si="15"/>
        <v>704.7711010685947</v>
      </c>
      <c r="K67" s="88">
        <f t="shared" si="16"/>
        <v>33049.46371008735</v>
      </c>
      <c r="M67" s="246"/>
      <c r="O67" s="246"/>
    </row>
    <row r="68" spans="1:15" ht="15">
      <c r="A68" s="70">
        <v>2006</v>
      </c>
      <c r="B68" s="75">
        <v>7</v>
      </c>
      <c r="C68" s="3" t="s">
        <v>44</v>
      </c>
      <c r="D68" s="86">
        <v>1100.41</v>
      </c>
      <c r="E68" s="88">
        <f t="shared" si="17"/>
        <v>37138.06000000001</v>
      </c>
      <c r="G68" s="86">
        <f t="shared" si="18"/>
        <v>204281.47857060714</v>
      </c>
      <c r="H68" s="87">
        <f t="shared" si="19"/>
        <v>204281.47857060714</v>
      </c>
      <c r="I68" s="104">
        <v>0.0459</v>
      </c>
      <c r="J68" s="87">
        <f t="shared" si="15"/>
        <v>781.3766555325724</v>
      </c>
      <c r="K68" s="88">
        <f t="shared" si="16"/>
        <v>33830.84036561992</v>
      </c>
      <c r="M68" s="246"/>
      <c r="O68" s="246"/>
    </row>
    <row r="69" spans="1:15" ht="15">
      <c r="A69" s="70">
        <v>2006</v>
      </c>
      <c r="B69" s="75">
        <v>8</v>
      </c>
      <c r="C69" s="3" t="s">
        <v>45</v>
      </c>
      <c r="D69" s="86">
        <v>1121.35</v>
      </c>
      <c r="E69" s="88">
        <f t="shared" si="17"/>
        <v>38259.41000000001</v>
      </c>
      <c r="G69" s="86">
        <f t="shared" si="18"/>
        <v>204281.47857060714</v>
      </c>
      <c r="H69" s="87">
        <f t="shared" si="19"/>
        <v>204281.47857060714</v>
      </c>
      <c r="I69" s="104">
        <v>0.0459</v>
      </c>
      <c r="J69" s="87">
        <f t="shared" si="15"/>
        <v>781.3766555325724</v>
      </c>
      <c r="K69" s="88">
        <f t="shared" si="16"/>
        <v>34612.21702115249</v>
      </c>
      <c r="M69" s="246"/>
      <c r="O69" s="246"/>
    </row>
    <row r="70" spans="1:15" ht="15">
      <c r="A70" s="70">
        <v>2006</v>
      </c>
      <c r="B70" s="75">
        <v>9</v>
      </c>
      <c r="C70" s="3" t="s">
        <v>71</v>
      </c>
      <c r="D70" s="86">
        <v>1111.82</v>
      </c>
      <c r="E70" s="88">
        <f t="shared" si="17"/>
        <v>39371.23000000001</v>
      </c>
      <c r="G70" s="86">
        <f t="shared" si="18"/>
        <v>204281.47857060714</v>
      </c>
      <c r="H70" s="87">
        <f t="shared" si="19"/>
        <v>204281.47857060714</v>
      </c>
      <c r="I70" s="104">
        <v>0.0459</v>
      </c>
      <c r="J70" s="87">
        <f t="shared" si="15"/>
        <v>781.3766555325724</v>
      </c>
      <c r="K70" s="88">
        <f t="shared" si="16"/>
        <v>35393.593676685065</v>
      </c>
      <c r="M70" s="246"/>
      <c r="O70" s="246"/>
    </row>
    <row r="71" spans="1:15" ht="15">
      <c r="A71" s="70">
        <v>2006</v>
      </c>
      <c r="B71" s="75">
        <v>10</v>
      </c>
      <c r="C71" s="3" t="s">
        <v>47</v>
      </c>
      <c r="D71" s="86">
        <v>1236.44</v>
      </c>
      <c r="E71" s="88">
        <f t="shared" si="17"/>
        <v>40607.67000000001</v>
      </c>
      <c r="G71" s="86">
        <f t="shared" si="18"/>
        <v>204281.47857060714</v>
      </c>
      <c r="H71" s="87">
        <f t="shared" si="19"/>
        <v>204281.47857060714</v>
      </c>
      <c r="I71" s="104">
        <v>0.0459</v>
      </c>
      <c r="J71" s="87">
        <f t="shared" si="15"/>
        <v>781.3766555325724</v>
      </c>
      <c r="K71" s="88">
        <f t="shared" si="16"/>
        <v>36174.970332217636</v>
      </c>
      <c r="M71" s="246"/>
      <c r="O71" s="246"/>
    </row>
    <row r="72" spans="1:15" ht="15">
      <c r="A72" s="70">
        <v>2006</v>
      </c>
      <c r="B72" s="75">
        <v>11</v>
      </c>
      <c r="C72" s="3" t="s">
        <v>48</v>
      </c>
      <c r="D72" s="86">
        <v>1215.99</v>
      </c>
      <c r="E72" s="88">
        <f t="shared" si="17"/>
        <v>41823.66000000001</v>
      </c>
      <c r="G72" s="86">
        <f t="shared" si="18"/>
        <v>204281.47857060714</v>
      </c>
      <c r="H72" s="87">
        <f t="shared" si="19"/>
        <v>204281.47857060714</v>
      </c>
      <c r="I72" s="104">
        <v>0.0459</v>
      </c>
      <c r="J72" s="87">
        <f t="shared" si="15"/>
        <v>781.3766555325724</v>
      </c>
      <c r="K72" s="88">
        <f t="shared" si="16"/>
        <v>36956.34698775021</v>
      </c>
      <c r="M72" s="246"/>
      <c r="O72" s="246"/>
    </row>
    <row r="73" spans="1:15" ht="15">
      <c r="A73" s="70">
        <v>2006</v>
      </c>
      <c r="B73" s="75">
        <v>12</v>
      </c>
      <c r="C73" s="3" t="s">
        <v>49</v>
      </c>
      <c r="D73" s="86">
        <v>1658.55</v>
      </c>
      <c r="E73" s="88">
        <f t="shared" si="17"/>
        <v>43482.210000000014</v>
      </c>
      <c r="G73" s="86">
        <f t="shared" si="18"/>
        <v>204281.47857060714</v>
      </c>
      <c r="H73" s="87">
        <f t="shared" si="19"/>
        <v>204281.47857060714</v>
      </c>
      <c r="I73" s="104">
        <v>0.0459</v>
      </c>
      <c r="J73" s="87">
        <f t="shared" si="15"/>
        <v>781.3766555325724</v>
      </c>
      <c r="K73" s="88">
        <f t="shared" si="16"/>
        <v>37737.72364328278</v>
      </c>
      <c r="M73" s="246"/>
      <c r="O73" s="246"/>
    </row>
    <row r="74" spans="1:15" ht="15">
      <c r="A74" s="55"/>
      <c r="B74" s="84"/>
      <c r="C74" s="197"/>
      <c r="D74" s="89">
        <f>SUM(D62:D73)</f>
        <v>15220.519999999999</v>
      </c>
      <c r="E74" s="94"/>
      <c r="F74" s="85"/>
      <c r="G74" s="89"/>
      <c r="H74" s="198"/>
      <c r="I74" s="198"/>
      <c r="J74" s="198">
        <f>SUM(J62:J73)</f>
        <v>6426.378139412231</v>
      </c>
      <c r="K74" s="90"/>
      <c r="M74" s="229">
        <f>J74-D74</f>
        <v>-8794.141860587768</v>
      </c>
      <c r="N74" s="294"/>
      <c r="O74" s="229">
        <v>-7474.13</v>
      </c>
    </row>
    <row r="75" spans="1:15" ht="15">
      <c r="A75" s="70"/>
      <c r="B75" s="75"/>
      <c r="C75" s="91"/>
      <c r="D75" s="95"/>
      <c r="E75" s="92"/>
      <c r="G75" s="86"/>
      <c r="H75" s="87"/>
      <c r="I75" s="3"/>
      <c r="J75" s="3"/>
      <c r="K75" s="57"/>
      <c r="M75" s="40"/>
      <c r="O75" s="40"/>
    </row>
    <row r="76" spans="1:15" ht="15">
      <c r="A76" s="70"/>
      <c r="B76" s="75"/>
      <c r="C76" s="3"/>
      <c r="D76" s="70"/>
      <c r="E76" s="57"/>
      <c r="G76" s="86"/>
      <c r="H76" s="87"/>
      <c r="I76" s="3"/>
      <c r="J76" s="3"/>
      <c r="K76" s="57"/>
      <c r="M76" s="40"/>
      <c r="O76" s="40"/>
    </row>
    <row r="77" spans="1:15" ht="15">
      <c r="A77" s="70">
        <v>2007</v>
      </c>
      <c r="B77" s="75">
        <v>1</v>
      </c>
      <c r="C77" s="3" t="s">
        <v>39</v>
      </c>
      <c r="D77" s="86">
        <v>1290.42</v>
      </c>
      <c r="E77" s="88">
        <f>E73+D77</f>
        <v>44772.63000000001</v>
      </c>
      <c r="G77" s="86">
        <f>H73</f>
        <v>204281.47857060714</v>
      </c>
      <c r="H77" s="87">
        <f>G77</f>
        <v>204281.47857060714</v>
      </c>
      <c r="I77" s="104">
        <v>0.0459</v>
      </c>
      <c r="J77" s="87">
        <f aca="true" t="shared" si="20" ref="J77:J88">G77*I77/12</f>
        <v>781.3766555325724</v>
      </c>
      <c r="K77" s="88">
        <f>K73+J77</f>
        <v>38519.10029881535</v>
      </c>
      <c r="M77" s="246"/>
      <c r="O77" s="246"/>
    </row>
    <row r="78" spans="1:15" ht="15">
      <c r="A78" s="70">
        <v>2007</v>
      </c>
      <c r="B78" s="75">
        <v>2</v>
      </c>
      <c r="C78" s="3" t="s">
        <v>40</v>
      </c>
      <c r="D78" s="86">
        <v>1162.01</v>
      </c>
      <c r="E78" s="88">
        <f>E77+D78</f>
        <v>45934.640000000014</v>
      </c>
      <c r="G78" s="86">
        <f>H77</f>
        <v>204281.47857060714</v>
      </c>
      <c r="H78" s="87">
        <f>G78</f>
        <v>204281.47857060714</v>
      </c>
      <c r="I78" s="104">
        <v>0.0459</v>
      </c>
      <c r="J78" s="87">
        <f t="shared" si="20"/>
        <v>781.3766555325724</v>
      </c>
      <c r="K78" s="88">
        <f>K77+J78</f>
        <v>39300.47695434792</v>
      </c>
      <c r="M78" s="246"/>
      <c r="O78" s="246"/>
    </row>
    <row r="79" spans="1:15" ht="15">
      <c r="A79" s="70">
        <v>2007</v>
      </c>
      <c r="B79" s="75">
        <v>3</v>
      </c>
      <c r="C79" s="3" t="s">
        <v>41</v>
      </c>
      <c r="D79" s="86">
        <v>1276.88</v>
      </c>
      <c r="E79" s="88">
        <f aca="true" t="shared" si="21" ref="E79:E88">E78+D79</f>
        <v>47211.52000000001</v>
      </c>
      <c r="G79" s="86">
        <f aca="true" t="shared" si="22" ref="G79:G88">H78</f>
        <v>204281.47857060714</v>
      </c>
      <c r="H79" s="87">
        <f aca="true" t="shared" si="23" ref="H79:H88">G79</f>
        <v>204281.47857060714</v>
      </c>
      <c r="I79" s="104">
        <v>0.0459</v>
      </c>
      <c r="J79" s="87">
        <f t="shared" si="20"/>
        <v>781.3766555325724</v>
      </c>
      <c r="K79" s="88">
        <f aca="true" t="shared" si="24" ref="K79:K88">K78+J79</f>
        <v>40081.85360988049</v>
      </c>
      <c r="M79" s="246"/>
      <c r="O79" s="246"/>
    </row>
    <row r="80" spans="1:15" ht="15">
      <c r="A80" s="70">
        <v>2007</v>
      </c>
      <c r="B80" s="75">
        <v>4</v>
      </c>
      <c r="C80" s="3" t="s">
        <v>42</v>
      </c>
      <c r="D80" s="86">
        <v>1242.33</v>
      </c>
      <c r="E80" s="88">
        <f t="shared" si="21"/>
        <v>48453.85000000001</v>
      </c>
      <c r="G80" s="86">
        <f t="shared" si="22"/>
        <v>204281.47857060714</v>
      </c>
      <c r="H80" s="87">
        <f t="shared" si="23"/>
        <v>204281.47857060714</v>
      </c>
      <c r="I80" s="104">
        <v>0.0459</v>
      </c>
      <c r="J80" s="87">
        <f t="shared" si="20"/>
        <v>781.3766555325724</v>
      </c>
      <c r="K80" s="88">
        <f t="shared" si="24"/>
        <v>40863.23026541306</v>
      </c>
      <c r="M80" s="246"/>
      <c r="O80" s="246"/>
    </row>
    <row r="81" spans="1:15" ht="15">
      <c r="A81" s="70">
        <v>2007</v>
      </c>
      <c r="B81" s="75">
        <v>5</v>
      </c>
      <c r="C81" s="3" t="s">
        <v>35</v>
      </c>
      <c r="D81" s="86">
        <v>1294.2</v>
      </c>
      <c r="E81" s="88">
        <f t="shared" si="21"/>
        <v>49748.05000000001</v>
      </c>
      <c r="G81" s="86">
        <f t="shared" si="22"/>
        <v>204281.47857060714</v>
      </c>
      <c r="H81" s="87">
        <f t="shared" si="23"/>
        <v>204281.47857060714</v>
      </c>
      <c r="I81" s="104">
        <v>0.0459</v>
      </c>
      <c r="J81" s="87">
        <f t="shared" si="20"/>
        <v>781.3766555325724</v>
      </c>
      <c r="K81" s="88">
        <f t="shared" si="24"/>
        <v>41644.60692094563</v>
      </c>
      <c r="M81" s="246"/>
      <c r="O81" s="246"/>
    </row>
    <row r="82" spans="1:15" ht="15">
      <c r="A82" s="70">
        <v>2007</v>
      </c>
      <c r="B82" s="75">
        <v>6</v>
      </c>
      <c r="C82" s="3" t="s">
        <v>36</v>
      </c>
      <c r="D82" s="86">
        <v>1276.67</v>
      </c>
      <c r="E82" s="88">
        <f t="shared" si="21"/>
        <v>51024.72000000001</v>
      </c>
      <c r="G82" s="86">
        <f t="shared" si="22"/>
        <v>204281.47857060714</v>
      </c>
      <c r="H82" s="87">
        <f t="shared" si="23"/>
        <v>204281.47857060714</v>
      </c>
      <c r="I82" s="104">
        <v>0.0459</v>
      </c>
      <c r="J82" s="87">
        <f t="shared" si="20"/>
        <v>781.3766555325724</v>
      </c>
      <c r="K82" s="88">
        <f t="shared" si="24"/>
        <v>42425.983576478204</v>
      </c>
      <c r="M82" s="246"/>
      <c r="O82" s="246"/>
    </row>
    <row r="83" spans="1:15" ht="15">
      <c r="A83" s="70">
        <v>2007</v>
      </c>
      <c r="B83" s="75">
        <v>7</v>
      </c>
      <c r="C83" s="3" t="s">
        <v>44</v>
      </c>
      <c r="D83" s="86">
        <v>-3522.84</v>
      </c>
      <c r="E83" s="88">
        <f t="shared" si="21"/>
        <v>47501.880000000005</v>
      </c>
      <c r="G83" s="86">
        <f t="shared" si="22"/>
        <v>204281.47857060714</v>
      </c>
      <c r="H83" s="87">
        <f t="shared" si="23"/>
        <v>204281.47857060714</v>
      </c>
      <c r="I83" s="104">
        <v>0.0459</v>
      </c>
      <c r="J83" s="87">
        <f t="shared" si="20"/>
        <v>781.3766555325724</v>
      </c>
      <c r="K83" s="88">
        <f t="shared" si="24"/>
        <v>43207.360232010775</v>
      </c>
      <c r="M83" s="246"/>
      <c r="O83" s="246"/>
    </row>
    <row r="84" spans="1:15" ht="15">
      <c r="A84" s="70">
        <v>2007</v>
      </c>
      <c r="B84" s="75">
        <v>8</v>
      </c>
      <c r="C84" s="3" t="s">
        <v>45</v>
      </c>
      <c r="D84" s="86">
        <v>937.65</v>
      </c>
      <c r="E84" s="88">
        <f t="shared" si="21"/>
        <v>48439.530000000006</v>
      </c>
      <c r="G84" s="86">
        <f t="shared" si="22"/>
        <v>204281.47857060714</v>
      </c>
      <c r="H84" s="87">
        <f t="shared" si="23"/>
        <v>204281.47857060714</v>
      </c>
      <c r="I84" s="104">
        <v>0.0459</v>
      </c>
      <c r="J84" s="87">
        <f t="shared" si="20"/>
        <v>781.3766555325724</v>
      </c>
      <c r="K84" s="88">
        <f t="shared" si="24"/>
        <v>43988.736887543346</v>
      </c>
      <c r="M84" s="246"/>
      <c r="O84" s="246"/>
    </row>
    <row r="85" spans="1:15" ht="15">
      <c r="A85" s="70">
        <v>2007</v>
      </c>
      <c r="B85" s="75">
        <v>9</v>
      </c>
      <c r="C85" s="3" t="s">
        <v>71</v>
      </c>
      <c r="D85" s="86">
        <v>907.4</v>
      </c>
      <c r="E85" s="88">
        <f t="shared" si="21"/>
        <v>49346.93000000001</v>
      </c>
      <c r="G85" s="86">
        <f t="shared" si="22"/>
        <v>204281.47857060714</v>
      </c>
      <c r="H85" s="87">
        <f t="shared" si="23"/>
        <v>204281.47857060714</v>
      </c>
      <c r="I85" s="104">
        <v>0.0459</v>
      </c>
      <c r="J85" s="87">
        <f t="shared" si="20"/>
        <v>781.3766555325724</v>
      </c>
      <c r="K85" s="88">
        <f t="shared" si="24"/>
        <v>44770.11354307592</v>
      </c>
      <c r="M85" s="246"/>
      <c r="O85" s="246"/>
    </row>
    <row r="86" spans="1:15" ht="15">
      <c r="A86" s="70">
        <v>2007</v>
      </c>
      <c r="B86" s="75">
        <v>10</v>
      </c>
      <c r="C86" s="3" t="s">
        <v>47</v>
      </c>
      <c r="D86" s="86">
        <v>1050</v>
      </c>
      <c r="E86" s="88">
        <f t="shared" si="21"/>
        <v>50396.93000000001</v>
      </c>
      <c r="G86" s="86">
        <f t="shared" si="22"/>
        <v>204281.47857060714</v>
      </c>
      <c r="H86" s="87">
        <f t="shared" si="23"/>
        <v>204281.47857060714</v>
      </c>
      <c r="I86" s="104">
        <v>0.0514</v>
      </c>
      <c r="J86" s="87">
        <f t="shared" si="20"/>
        <v>875.0056665441007</v>
      </c>
      <c r="K86" s="88">
        <f t="shared" si="24"/>
        <v>45645.11920962002</v>
      </c>
      <c r="M86" s="246"/>
      <c r="O86" s="246"/>
    </row>
    <row r="87" spans="1:15" ht="15">
      <c r="A87" s="70">
        <v>2007</v>
      </c>
      <c r="B87" s="75">
        <v>11</v>
      </c>
      <c r="C87" s="3" t="s">
        <v>48</v>
      </c>
      <c r="D87" s="86">
        <v>1016.13</v>
      </c>
      <c r="E87" s="88">
        <f t="shared" si="21"/>
        <v>51413.060000000005</v>
      </c>
      <c r="G87" s="86">
        <f t="shared" si="22"/>
        <v>204281.47857060714</v>
      </c>
      <c r="H87" s="87">
        <f t="shared" si="23"/>
        <v>204281.47857060714</v>
      </c>
      <c r="I87" s="104">
        <v>0.0514</v>
      </c>
      <c r="J87" s="87">
        <f t="shared" si="20"/>
        <v>875.0056665441007</v>
      </c>
      <c r="K87" s="88">
        <f t="shared" si="24"/>
        <v>46520.12487616412</v>
      </c>
      <c r="M87" s="246"/>
      <c r="O87" s="246"/>
    </row>
    <row r="88" spans="1:15" ht="15">
      <c r="A88" s="70">
        <v>2007</v>
      </c>
      <c r="B88" s="75">
        <v>12</v>
      </c>
      <c r="C88" s="3" t="s">
        <v>49</v>
      </c>
      <c r="D88" s="86">
        <v>1050</v>
      </c>
      <c r="E88" s="88">
        <f t="shared" si="21"/>
        <v>52463.060000000005</v>
      </c>
      <c r="G88" s="86">
        <f t="shared" si="22"/>
        <v>204281.47857060714</v>
      </c>
      <c r="H88" s="87">
        <f t="shared" si="23"/>
        <v>204281.47857060714</v>
      </c>
      <c r="I88" s="105">
        <v>0.051399999999999994</v>
      </c>
      <c r="J88" s="87">
        <f t="shared" si="20"/>
        <v>875.0056665441006</v>
      </c>
      <c r="K88" s="88">
        <f t="shared" si="24"/>
        <v>47395.13054270822</v>
      </c>
      <c r="M88" s="246"/>
      <c r="O88" s="246"/>
    </row>
    <row r="89" spans="1:15" ht="15">
      <c r="A89" s="55"/>
      <c r="B89" s="84"/>
      <c r="C89" s="197"/>
      <c r="D89" s="89">
        <f>SUM(D77:D88)</f>
        <v>8980.849999999999</v>
      </c>
      <c r="E89" s="94"/>
      <c r="F89" s="85"/>
      <c r="G89" s="89"/>
      <c r="H89" s="198"/>
      <c r="I89" s="198"/>
      <c r="J89" s="198">
        <f>SUM(J77:J88)</f>
        <v>9657.406899425454</v>
      </c>
      <c r="K89" s="90"/>
      <c r="M89" s="229">
        <f>J89-D89</f>
        <v>676.5568994254554</v>
      </c>
      <c r="N89" s="294"/>
      <c r="O89" s="229">
        <v>2191.85</v>
      </c>
    </row>
    <row r="90" spans="4:15" ht="15">
      <c r="D90" s="70"/>
      <c r="E90" s="57"/>
      <c r="G90" s="86"/>
      <c r="H90" s="87"/>
      <c r="I90" s="3"/>
      <c r="J90" s="3"/>
      <c r="K90" s="57"/>
      <c r="M90" s="40"/>
      <c r="O90" s="40"/>
    </row>
    <row r="91" spans="1:15" ht="15">
      <c r="A91" s="70">
        <v>2008</v>
      </c>
      <c r="B91" s="75">
        <v>1</v>
      </c>
      <c r="C91" s="3" t="s">
        <v>39</v>
      </c>
      <c r="D91" s="86">
        <v>1050</v>
      </c>
      <c r="E91" s="88">
        <f>E88+D91</f>
        <v>53513.060000000005</v>
      </c>
      <c r="G91" s="86">
        <f>H88</f>
        <v>204281.47857060714</v>
      </c>
      <c r="H91" s="87">
        <f>G91</f>
        <v>204281.47857060714</v>
      </c>
      <c r="I91" s="104">
        <v>0.0514</v>
      </c>
      <c r="J91" s="87">
        <f aca="true" t="shared" si="25" ref="J91:J102">G91*I91/12</f>
        <v>875.0056665441007</v>
      </c>
      <c r="K91" s="88">
        <f>K88+J91</f>
        <v>48270.13620925232</v>
      </c>
      <c r="M91" s="246"/>
      <c r="O91" s="246"/>
    </row>
    <row r="92" spans="1:15" ht="15">
      <c r="A92" s="70">
        <v>2008</v>
      </c>
      <c r="B92" s="75">
        <v>2</v>
      </c>
      <c r="C92" s="3" t="s">
        <v>40</v>
      </c>
      <c r="D92" s="86">
        <v>982.26</v>
      </c>
      <c r="E92" s="88">
        <f>E91+D92</f>
        <v>54495.32000000001</v>
      </c>
      <c r="G92" s="86">
        <f>H91</f>
        <v>204281.47857060714</v>
      </c>
      <c r="H92" s="87">
        <f>G92</f>
        <v>204281.47857060714</v>
      </c>
      <c r="I92" s="104">
        <v>0.0514</v>
      </c>
      <c r="J92" s="87">
        <f t="shared" si="25"/>
        <v>875.0056665441007</v>
      </c>
      <c r="K92" s="88">
        <f>K91+J92</f>
        <v>49145.14187579642</v>
      </c>
      <c r="M92" s="246"/>
      <c r="O92" s="246"/>
    </row>
    <row r="93" spans="1:15" ht="15">
      <c r="A93" s="70">
        <v>2008</v>
      </c>
      <c r="B93" s="75">
        <v>3</v>
      </c>
      <c r="C93" s="3" t="s">
        <v>41</v>
      </c>
      <c r="D93" s="86">
        <v>1050</v>
      </c>
      <c r="E93" s="88">
        <f aca="true" t="shared" si="26" ref="E93:E102">E92+D93</f>
        <v>55545.32000000001</v>
      </c>
      <c r="G93" s="86">
        <f aca="true" t="shared" si="27" ref="G93:G102">H92</f>
        <v>204281.47857060714</v>
      </c>
      <c r="H93" s="87">
        <f aca="true" t="shared" si="28" ref="H93:H102">G93</f>
        <v>204281.47857060714</v>
      </c>
      <c r="I93" s="104">
        <v>0.0514</v>
      </c>
      <c r="J93" s="87">
        <f t="shared" si="25"/>
        <v>875.0056665441007</v>
      </c>
      <c r="K93" s="88">
        <f aca="true" t="shared" si="29" ref="K93:K102">K92+J93</f>
        <v>50020.14754234052</v>
      </c>
      <c r="M93" s="246"/>
      <c r="O93" s="246"/>
    </row>
    <row r="94" spans="1:15" ht="15">
      <c r="A94" s="70">
        <v>2008</v>
      </c>
      <c r="B94" s="75">
        <v>4</v>
      </c>
      <c r="C94" s="3" t="s">
        <v>42</v>
      </c>
      <c r="D94" s="86">
        <v>806.58</v>
      </c>
      <c r="E94" s="88">
        <f t="shared" si="26"/>
        <v>56351.90000000001</v>
      </c>
      <c r="G94" s="86">
        <f t="shared" si="27"/>
        <v>204281.47857060714</v>
      </c>
      <c r="H94" s="87">
        <f t="shared" si="28"/>
        <v>204281.47857060714</v>
      </c>
      <c r="I94" s="105">
        <v>0.0408</v>
      </c>
      <c r="J94" s="87">
        <f t="shared" si="25"/>
        <v>694.5570271400643</v>
      </c>
      <c r="K94" s="88">
        <f t="shared" si="29"/>
        <v>50714.704569480586</v>
      </c>
      <c r="M94" s="246"/>
      <c r="O94" s="246"/>
    </row>
    <row r="95" spans="1:15" ht="15">
      <c r="A95" s="70">
        <v>2008</v>
      </c>
      <c r="B95" s="75">
        <v>5</v>
      </c>
      <c r="C95" s="3" t="s">
        <v>35</v>
      </c>
      <c r="D95" s="86">
        <v>833.47</v>
      </c>
      <c r="E95" s="88">
        <f t="shared" si="26"/>
        <v>57185.37000000001</v>
      </c>
      <c r="G95" s="86">
        <f t="shared" si="27"/>
        <v>204281.47857060714</v>
      </c>
      <c r="H95" s="87">
        <f t="shared" si="28"/>
        <v>204281.47857060714</v>
      </c>
      <c r="I95" s="105">
        <v>0.0408</v>
      </c>
      <c r="J95" s="87">
        <f t="shared" si="25"/>
        <v>694.5570271400643</v>
      </c>
      <c r="K95" s="88">
        <f t="shared" si="29"/>
        <v>51409.26159662065</v>
      </c>
      <c r="M95" s="246"/>
      <c r="O95" s="246"/>
    </row>
    <row r="96" spans="1:15" ht="15">
      <c r="A96" s="70">
        <v>2008</v>
      </c>
      <c r="B96" s="75">
        <v>6</v>
      </c>
      <c r="C96" s="3" t="s">
        <v>36</v>
      </c>
      <c r="D96" s="86">
        <v>806.58</v>
      </c>
      <c r="E96" s="88">
        <f t="shared" si="26"/>
        <v>57991.95000000001</v>
      </c>
      <c r="G96" s="86">
        <f t="shared" si="27"/>
        <v>204281.47857060714</v>
      </c>
      <c r="H96" s="87">
        <f t="shared" si="28"/>
        <v>204281.47857060714</v>
      </c>
      <c r="I96" s="105">
        <v>0.0408</v>
      </c>
      <c r="J96" s="87">
        <f t="shared" si="25"/>
        <v>694.5570271400643</v>
      </c>
      <c r="K96" s="88">
        <f t="shared" si="29"/>
        <v>52103.818623760715</v>
      </c>
      <c r="M96" s="246"/>
      <c r="O96" s="246"/>
    </row>
    <row r="97" spans="1:15" ht="15">
      <c r="A97" s="70">
        <v>2008</v>
      </c>
      <c r="B97" s="75">
        <v>7</v>
      </c>
      <c r="C97" s="3" t="s">
        <v>44</v>
      </c>
      <c r="D97" s="86">
        <v>684.34</v>
      </c>
      <c r="E97" s="88">
        <f t="shared" si="26"/>
        <v>58676.29000000001</v>
      </c>
      <c r="G97" s="86">
        <f t="shared" si="27"/>
        <v>204281.47857060714</v>
      </c>
      <c r="H97" s="87">
        <f t="shared" si="28"/>
        <v>204281.47857060714</v>
      </c>
      <c r="I97" s="105">
        <v>0.0335</v>
      </c>
      <c r="J97" s="87">
        <f t="shared" si="25"/>
        <v>570.285794342945</v>
      </c>
      <c r="K97" s="88">
        <f t="shared" si="29"/>
        <v>52674.10441810366</v>
      </c>
      <c r="M97" s="246"/>
      <c r="O97" s="246"/>
    </row>
    <row r="98" spans="1:15" ht="15">
      <c r="A98" s="70">
        <v>2008</v>
      </c>
      <c r="B98" s="75">
        <v>8</v>
      </c>
      <c r="C98" s="3" t="s">
        <v>45</v>
      </c>
      <c r="D98" s="86">
        <v>684.34</v>
      </c>
      <c r="E98" s="88">
        <f t="shared" si="26"/>
        <v>59360.630000000005</v>
      </c>
      <c r="G98" s="86">
        <f t="shared" si="27"/>
        <v>204281.47857060714</v>
      </c>
      <c r="H98" s="87">
        <f t="shared" si="28"/>
        <v>204281.47857060714</v>
      </c>
      <c r="I98" s="105">
        <v>0.0335</v>
      </c>
      <c r="J98" s="87">
        <f t="shared" si="25"/>
        <v>570.285794342945</v>
      </c>
      <c r="K98" s="88">
        <f t="shared" si="29"/>
        <v>53244.39021244661</v>
      </c>
      <c r="M98" s="246"/>
      <c r="O98" s="246"/>
    </row>
    <row r="99" spans="1:15" ht="15">
      <c r="A99" s="70">
        <v>2008</v>
      </c>
      <c r="B99" s="75">
        <v>9</v>
      </c>
      <c r="C99" s="3" t="s">
        <v>71</v>
      </c>
      <c r="D99" s="86">
        <v>662.27</v>
      </c>
      <c r="E99" s="88">
        <f t="shared" si="26"/>
        <v>60022.9</v>
      </c>
      <c r="G99" s="86">
        <f t="shared" si="27"/>
        <v>204281.47857060714</v>
      </c>
      <c r="H99" s="87">
        <f t="shared" si="28"/>
        <v>204281.47857060714</v>
      </c>
      <c r="I99" s="105">
        <v>0.0335</v>
      </c>
      <c r="J99" s="87">
        <f t="shared" si="25"/>
        <v>570.285794342945</v>
      </c>
      <c r="K99" s="88">
        <f t="shared" si="29"/>
        <v>53814.67600678956</v>
      </c>
      <c r="M99" s="246"/>
      <c r="O99" s="246"/>
    </row>
    <row r="100" spans="1:15" ht="15">
      <c r="A100" s="70">
        <v>2008</v>
      </c>
      <c r="B100" s="75">
        <v>10</v>
      </c>
      <c r="C100" s="3" t="s">
        <v>47</v>
      </c>
      <c r="D100" s="86">
        <v>684.34</v>
      </c>
      <c r="E100" s="88">
        <f t="shared" si="26"/>
        <v>60707.24</v>
      </c>
      <c r="G100" s="86">
        <f t="shared" si="27"/>
        <v>204281.47857060714</v>
      </c>
      <c r="H100" s="87">
        <f t="shared" si="28"/>
        <v>204281.47857060714</v>
      </c>
      <c r="I100" s="105">
        <v>0.0335</v>
      </c>
      <c r="J100" s="87">
        <f t="shared" si="25"/>
        <v>570.285794342945</v>
      </c>
      <c r="K100" s="88">
        <f t="shared" si="29"/>
        <v>54384.96180113251</v>
      </c>
      <c r="M100" s="246"/>
      <c r="O100" s="246"/>
    </row>
    <row r="101" spans="1:15" ht="15">
      <c r="A101" s="70">
        <v>2008</v>
      </c>
      <c r="B101" s="75">
        <v>11</v>
      </c>
      <c r="C101" s="3" t="s">
        <v>48</v>
      </c>
      <c r="D101" s="86">
        <v>662.27</v>
      </c>
      <c r="E101" s="88">
        <f t="shared" si="26"/>
        <v>61369.509999999995</v>
      </c>
      <c r="G101" s="86">
        <f t="shared" si="27"/>
        <v>204281.47857060714</v>
      </c>
      <c r="H101" s="87">
        <f t="shared" si="28"/>
        <v>204281.47857060714</v>
      </c>
      <c r="I101" s="105">
        <v>0.0335</v>
      </c>
      <c r="J101" s="87">
        <f t="shared" si="25"/>
        <v>570.285794342945</v>
      </c>
      <c r="K101" s="88">
        <f t="shared" si="29"/>
        <v>54955.247595475455</v>
      </c>
      <c r="M101" s="246"/>
      <c r="O101" s="246"/>
    </row>
    <row r="102" spans="1:15" ht="15">
      <c r="A102" s="70">
        <v>2008</v>
      </c>
      <c r="B102" s="75">
        <v>12</v>
      </c>
      <c r="C102" s="3" t="s">
        <v>49</v>
      </c>
      <c r="D102" s="86">
        <v>684.34</v>
      </c>
      <c r="E102" s="88">
        <f t="shared" si="26"/>
        <v>62053.84999999999</v>
      </c>
      <c r="G102" s="86">
        <f t="shared" si="27"/>
        <v>204281.47857060714</v>
      </c>
      <c r="H102" s="87">
        <f t="shared" si="28"/>
        <v>204281.47857060714</v>
      </c>
      <c r="I102" s="105">
        <v>0.0335</v>
      </c>
      <c r="J102" s="87">
        <f t="shared" si="25"/>
        <v>570.285794342945</v>
      </c>
      <c r="K102" s="88">
        <f t="shared" si="29"/>
        <v>55525.5333898184</v>
      </c>
      <c r="M102" s="246"/>
      <c r="O102" s="246"/>
    </row>
    <row r="103" spans="1:15" ht="15">
      <c r="A103" s="55"/>
      <c r="B103" s="84"/>
      <c r="C103" s="197"/>
      <c r="D103" s="89">
        <f>SUM(D91:D102)</f>
        <v>9590.79</v>
      </c>
      <c r="E103" s="94"/>
      <c r="F103" s="85"/>
      <c r="G103" s="89"/>
      <c r="H103" s="198"/>
      <c r="I103" s="198"/>
      <c r="J103" s="198">
        <f>SUM(J91:J102)</f>
        <v>8130.4028471101665</v>
      </c>
      <c r="K103" s="90"/>
      <c r="M103" s="229">
        <f>J103-D103</f>
        <v>-1460.3871528898344</v>
      </c>
      <c r="N103" s="294"/>
      <c r="O103" s="229">
        <v>-184.69</v>
      </c>
    </row>
    <row r="104" spans="4:15" ht="15">
      <c r="D104" s="70"/>
      <c r="E104" s="57"/>
      <c r="G104" s="86"/>
      <c r="H104" s="87"/>
      <c r="I104" s="3"/>
      <c r="J104" s="3"/>
      <c r="K104" s="57"/>
      <c r="M104" s="40"/>
      <c r="O104" s="40"/>
    </row>
    <row r="105" spans="1:15" ht="15">
      <c r="A105" s="70">
        <v>2009</v>
      </c>
      <c r="B105" s="75">
        <v>1</v>
      </c>
      <c r="C105" s="3" t="s">
        <v>39</v>
      </c>
      <c r="D105" s="86">
        <v>500.49</v>
      </c>
      <c r="E105" s="88">
        <f>E102+D105</f>
        <v>62554.33999999999</v>
      </c>
      <c r="G105" s="86">
        <f>H101</f>
        <v>204281.47857060714</v>
      </c>
      <c r="H105" s="87">
        <f>G105</f>
        <v>204281.47857060714</v>
      </c>
      <c r="I105" s="105">
        <v>0.0245</v>
      </c>
      <c r="J105" s="87">
        <f aca="true" t="shared" si="30" ref="J105:J116">G105*I105/12</f>
        <v>417.0746854149896</v>
      </c>
      <c r="K105" s="88">
        <f>K102+J105</f>
        <v>55942.608075233395</v>
      </c>
      <c r="M105" s="246"/>
      <c r="O105" s="246"/>
    </row>
    <row r="106" spans="1:15" ht="15">
      <c r="A106" s="70">
        <v>2009</v>
      </c>
      <c r="B106" s="75">
        <v>2</v>
      </c>
      <c r="C106" s="3" t="s">
        <v>40</v>
      </c>
      <c r="D106" s="86">
        <v>452.05</v>
      </c>
      <c r="E106" s="88">
        <f>E105+D106</f>
        <v>63006.38999999999</v>
      </c>
      <c r="G106" s="86">
        <f>H105</f>
        <v>204281.47857060714</v>
      </c>
      <c r="H106" s="87">
        <f>G106</f>
        <v>204281.47857060714</v>
      </c>
      <c r="I106" s="105">
        <v>0.0245</v>
      </c>
      <c r="J106" s="87">
        <f t="shared" si="30"/>
        <v>417.0746854149896</v>
      </c>
      <c r="K106" s="88">
        <f>K105+J106</f>
        <v>56359.682760648386</v>
      </c>
      <c r="M106" s="246"/>
      <c r="O106" s="246"/>
    </row>
    <row r="107" spans="1:15" ht="15">
      <c r="A107" s="70">
        <v>2009</v>
      </c>
      <c r="B107" s="75">
        <v>3</v>
      </c>
      <c r="C107" s="3" t="s">
        <v>41</v>
      </c>
      <c r="D107" s="86">
        <v>500.49</v>
      </c>
      <c r="E107" s="88">
        <f aca="true" t="shared" si="31" ref="E107:E116">E106+D107</f>
        <v>63506.87999999999</v>
      </c>
      <c r="G107" s="86">
        <f aca="true" t="shared" si="32" ref="G107:G116">H106</f>
        <v>204281.47857060714</v>
      </c>
      <c r="H107" s="87">
        <f aca="true" t="shared" si="33" ref="H107:H116">G107</f>
        <v>204281.47857060714</v>
      </c>
      <c r="I107" s="105">
        <v>0.0245</v>
      </c>
      <c r="J107" s="87">
        <f t="shared" si="30"/>
        <v>417.0746854149896</v>
      </c>
      <c r="K107" s="88">
        <f aca="true" t="shared" si="34" ref="K107:K116">K106+J107</f>
        <v>56776.75744606338</v>
      </c>
      <c r="M107" s="246"/>
      <c r="O107" s="246"/>
    </row>
    <row r="108" spans="1:15" ht="15">
      <c r="A108" s="70">
        <v>2009</v>
      </c>
      <c r="B108" s="75">
        <v>4</v>
      </c>
      <c r="C108" s="3" t="s">
        <v>42</v>
      </c>
      <c r="D108" s="86">
        <v>197.69</v>
      </c>
      <c r="E108" s="88">
        <f t="shared" si="31"/>
        <v>63704.56999999999</v>
      </c>
      <c r="G108" s="86">
        <f t="shared" si="32"/>
        <v>204281.47857060714</v>
      </c>
      <c r="H108" s="87">
        <f t="shared" si="33"/>
        <v>204281.47857060714</v>
      </c>
      <c r="I108" s="105">
        <v>0.01</v>
      </c>
      <c r="J108" s="87">
        <f t="shared" si="30"/>
        <v>170.23456547550595</v>
      </c>
      <c r="K108" s="88">
        <f t="shared" si="34"/>
        <v>56946.99201153888</v>
      </c>
      <c r="M108" s="246"/>
      <c r="O108" s="246"/>
    </row>
    <row r="109" spans="1:15" ht="15">
      <c r="A109" s="70">
        <v>2009</v>
      </c>
      <c r="B109" s="75">
        <v>5</v>
      </c>
      <c r="C109" s="3" t="s">
        <v>35</v>
      </c>
      <c r="D109" s="86">
        <v>204.28</v>
      </c>
      <c r="E109" s="88">
        <f t="shared" si="31"/>
        <v>63908.84999999999</v>
      </c>
      <c r="G109" s="86">
        <f t="shared" si="32"/>
        <v>204281.47857060714</v>
      </c>
      <c r="H109" s="87">
        <f t="shared" si="33"/>
        <v>204281.47857060714</v>
      </c>
      <c r="I109" s="105">
        <v>0.01</v>
      </c>
      <c r="J109" s="87">
        <f t="shared" si="30"/>
        <v>170.23456547550595</v>
      </c>
      <c r="K109" s="88">
        <f t="shared" si="34"/>
        <v>57117.226577014386</v>
      </c>
      <c r="M109" s="246"/>
      <c r="O109" s="246"/>
    </row>
    <row r="110" spans="1:15" ht="15">
      <c r="A110" s="70">
        <v>2009</v>
      </c>
      <c r="B110" s="75">
        <v>6</v>
      </c>
      <c r="C110" s="3" t="s">
        <v>36</v>
      </c>
      <c r="D110" s="86">
        <v>197.69</v>
      </c>
      <c r="E110" s="88">
        <f t="shared" si="31"/>
        <v>64106.53999999999</v>
      </c>
      <c r="G110" s="86">
        <f t="shared" si="32"/>
        <v>204281.47857060714</v>
      </c>
      <c r="H110" s="87">
        <f t="shared" si="33"/>
        <v>204281.47857060714</v>
      </c>
      <c r="I110" s="105">
        <v>0.01</v>
      </c>
      <c r="J110" s="87">
        <f t="shared" si="30"/>
        <v>170.23456547550595</v>
      </c>
      <c r="K110" s="88">
        <f t="shared" si="34"/>
        <v>57287.46114248989</v>
      </c>
      <c r="M110" s="246"/>
      <c r="O110" s="246"/>
    </row>
    <row r="111" spans="1:15" ht="15">
      <c r="A111" s="70">
        <v>2009</v>
      </c>
      <c r="B111" s="75">
        <v>7</v>
      </c>
      <c r="C111" s="3" t="s">
        <v>44</v>
      </c>
      <c r="D111" s="86">
        <v>112.35</v>
      </c>
      <c r="E111" s="88">
        <f t="shared" si="31"/>
        <v>64218.88999999999</v>
      </c>
      <c r="G111" s="86">
        <f t="shared" si="32"/>
        <v>204281.47857060714</v>
      </c>
      <c r="H111" s="87">
        <f t="shared" si="33"/>
        <v>204281.47857060714</v>
      </c>
      <c r="I111" s="105">
        <v>0.0055</v>
      </c>
      <c r="J111" s="87">
        <f t="shared" si="30"/>
        <v>93.62901101152828</v>
      </c>
      <c r="K111" s="88">
        <f t="shared" si="34"/>
        <v>57381.09015350142</v>
      </c>
      <c r="M111" s="246"/>
      <c r="O111" s="246"/>
    </row>
    <row r="112" spans="1:15" ht="15">
      <c r="A112" s="70">
        <v>2009</v>
      </c>
      <c r="B112" s="75">
        <v>8</v>
      </c>
      <c r="C112" s="3" t="s">
        <v>45</v>
      </c>
      <c r="D112" s="86">
        <v>112.35</v>
      </c>
      <c r="E112" s="88">
        <f t="shared" si="31"/>
        <v>64331.23999999999</v>
      </c>
      <c r="G112" s="86">
        <f t="shared" si="32"/>
        <v>204281.47857060714</v>
      </c>
      <c r="H112" s="87">
        <f t="shared" si="33"/>
        <v>204281.47857060714</v>
      </c>
      <c r="I112" s="105">
        <v>0.0055</v>
      </c>
      <c r="J112" s="87">
        <f t="shared" si="30"/>
        <v>93.62901101152828</v>
      </c>
      <c r="K112" s="88">
        <f t="shared" si="34"/>
        <v>57474.71916451295</v>
      </c>
      <c r="M112" s="246"/>
      <c r="O112" s="246"/>
    </row>
    <row r="113" spans="1:15" ht="15">
      <c r="A113" s="70">
        <v>2009</v>
      </c>
      <c r="B113" s="75">
        <v>9</v>
      </c>
      <c r="C113" s="3" t="s">
        <v>71</v>
      </c>
      <c r="D113" s="86">
        <v>108.73</v>
      </c>
      <c r="E113" s="88">
        <f t="shared" si="31"/>
        <v>64439.969999999994</v>
      </c>
      <c r="G113" s="86">
        <f t="shared" si="32"/>
        <v>204281.47857060714</v>
      </c>
      <c r="H113" s="87">
        <f t="shared" si="33"/>
        <v>204281.47857060714</v>
      </c>
      <c r="I113" s="105">
        <v>0.0055</v>
      </c>
      <c r="J113" s="87">
        <f t="shared" si="30"/>
        <v>93.62901101152828</v>
      </c>
      <c r="K113" s="88">
        <f t="shared" si="34"/>
        <v>57568.34817552448</v>
      </c>
      <c r="M113" s="246"/>
      <c r="O113" s="246"/>
    </row>
    <row r="114" spans="1:15" ht="15">
      <c r="A114" s="70">
        <v>2009</v>
      </c>
      <c r="B114" s="75">
        <v>10</v>
      </c>
      <c r="C114" s="3" t="s">
        <v>47</v>
      </c>
      <c r="D114" s="86">
        <v>112.35</v>
      </c>
      <c r="E114" s="88">
        <f t="shared" si="31"/>
        <v>64552.31999999999</v>
      </c>
      <c r="G114" s="86">
        <f t="shared" si="32"/>
        <v>204281.47857060714</v>
      </c>
      <c r="H114" s="87">
        <f t="shared" si="33"/>
        <v>204281.47857060714</v>
      </c>
      <c r="I114" s="105">
        <v>0.0055</v>
      </c>
      <c r="J114" s="87">
        <f t="shared" si="30"/>
        <v>93.62901101152828</v>
      </c>
      <c r="K114" s="88">
        <f t="shared" si="34"/>
        <v>57661.97718653601</v>
      </c>
      <c r="M114" s="246"/>
      <c r="O114" s="246"/>
    </row>
    <row r="115" spans="1:15" ht="15">
      <c r="A115" s="70">
        <v>2009</v>
      </c>
      <c r="B115" s="75">
        <v>11</v>
      </c>
      <c r="C115" s="3" t="s">
        <v>48</v>
      </c>
      <c r="D115" s="86">
        <v>108.73</v>
      </c>
      <c r="E115" s="88">
        <f t="shared" si="31"/>
        <v>64661.049999999996</v>
      </c>
      <c r="G115" s="86">
        <f t="shared" si="32"/>
        <v>204281.47857060714</v>
      </c>
      <c r="H115" s="87">
        <f t="shared" si="33"/>
        <v>204281.47857060714</v>
      </c>
      <c r="I115" s="105">
        <v>0.0055</v>
      </c>
      <c r="J115" s="87">
        <f t="shared" si="30"/>
        <v>93.62901101152828</v>
      </c>
      <c r="K115" s="88">
        <f t="shared" si="34"/>
        <v>57755.60619754754</v>
      </c>
      <c r="M115" s="246"/>
      <c r="O115" s="246"/>
    </row>
    <row r="116" spans="1:15" ht="15">
      <c r="A116" s="70">
        <v>2009</v>
      </c>
      <c r="B116" s="75">
        <v>12</v>
      </c>
      <c r="C116" s="3" t="s">
        <v>49</v>
      </c>
      <c r="D116" s="86">
        <v>112.35</v>
      </c>
      <c r="E116" s="88">
        <f t="shared" si="31"/>
        <v>64773.399999999994</v>
      </c>
      <c r="G116" s="86">
        <f t="shared" si="32"/>
        <v>204281.47857060714</v>
      </c>
      <c r="H116" s="87">
        <f t="shared" si="33"/>
        <v>204281.47857060714</v>
      </c>
      <c r="I116" s="105">
        <v>0.0055</v>
      </c>
      <c r="J116" s="87">
        <f t="shared" si="30"/>
        <v>93.62901101152828</v>
      </c>
      <c r="K116" s="88">
        <f t="shared" si="34"/>
        <v>57849.23520855907</v>
      </c>
      <c r="M116" s="246"/>
      <c r="O116" s="246"/>
    </row>
    <row r="117" spans="1:15" ht="15">
      <c r="A117" s="55"/>
      <c r="B117" s="84"/>
      <c r="C117" s="197"/>
      <c r="D117" s="89">
        <f>SUM(D105:D116)</f>
        <v>2719.5499999999997</v>
      </c>
      <c r="E117" s="94"/>
      <c r="F117" s="85"/>
      <c r="G117" s="89"/>
      <c r="H117" s="198"/>
      <c r="I117" s="198"/>
      <c r="J117" s="198">
        <f>SUM(J105:J116)</f>
        <v>2323.701818740656</v>
      </c>
      <c r="K117" s="90"/>
      <c r="M117" s="229">
        <f>J117-D117</f>
        <v>-395.8481812593436</v>
      </c>
      <c r="N117" s="294"/>
      <c r="O117" s="229">
        <v>-31.25</v>
      </c>
    </row>
    <row r="118" spans="4:15" ht="15">
      <c r="D118" s="70"/>
      <c r="E118" s="57"/>
      <c r="G118" s="86"/>
      <c r="H118" s="87"/>
      <c r="I118" s="3"/>
      <c r="J118" s="3"/>
      <c r="K118" s="57"/>
      <c r="M118" s="40"/>
      <c r="O118" s="40"/>
    </row>
    <row r="119" spans="1:15" ht="15">
      <c r="A119" s="70">
        <v>2010</v>
      </c>
      <c r="B119" s="75">
        <v>1</v>
      </c>
      <c r="C119" s="3" t="s">
        <v>39</v>
      </c>
      <c r="D119" s="86">
        <v>112.35</v>
      </c>
      <c r="E119" s="88">
        <f>E116+D119</f>
        <v>64885.74999999999</v>
      </c>
      <c r="G119" s="86">
        <f>H115</f>
        <v>204281.47857060714</v>
      </c>
      <c r="H119" s="87">
        <f>G119</f>
        <v>204281.47857060714</v>
      </c>
      <c r="I119" s="105">
        <v>0.0055</v>
      </c>
      <c r="J119" s="87">
        <f aca="true" t="shared" si="35" ref="J119:J130">G119*I119/12</f>
        <v>93.62901101152828</v>
      </c>
      <c r="K119" s="88">
        <f>K116+J119</f>
        <v>57942.8642195706</v>
      </c>
      <c r="M119" s="246"/>
      <c r="O119" s="246"/>
    </row>
    <row r="120" spans="1:15" ht="15">
      <c r="A120" s="70">
        <v>2010</v>
      </c>
      <c r="B120" s="75">
        <v>2</v>
      </c>
      <c r="C120" s="3" t="s">
        <v>40</v>
      </c>
      <c r="D120" s="86">
        <v>101.48</v>
      </c>
      <c r="E120" s="88">
        <f>E119+D120</f>
        <v>64987.229999999996</v>
      </c>
      <c r="G120" s="86">
        <f>H119</f>
        <v>204281.47857060714</v>
      </c>
      <c r="H120" s="87">
        <f>G120</f>
        <v>204281.47857060714</v>
      </c>
      <c r="I120" s="105">
        <v>0.0055</v>
      </c>
      <c r="J120" s="87">
        <f t="shared" si="35"/>
        <v>93.62901101152828</v>
      </c>
      <c r="K120" s="88">
        <f>K119+J120</f>
        <v>58036.49323058213</v>
      </c>
      <c r="M120" s="246"/>
      <c r="O120" s="246"/>
    </row>
    <row r="121" spans="1:15" ht="15">
      <c r="A121" s="70">
        <v>2010</v>
      </c>
      <c r="B121" s="75">
        <v>3</v>
      </c>
      <c r="C121" s="3" t="s">
        <v>41</v>
      </c>
      <c r="D121" s="86">
        <v>112.35</v>
      </c>
      <c r="E121" s="88">
        <f aca="true" t="shared" si="36" ref="E121:E130">E120+D121</f>
        <v>65099.579999999994</v>
      </c>
      <c r="G121" s="86">
        <f aca="true" t="shared" si="37" ref="G121:G130">H120</f>
        <v>204281.47857060714</v>
      </c>
      <c r="H121" s="87">
        <f aca="true" t="shared" si="38" ref="H121:H130">G121</f>
        <v>204281.47857060714</v>
      </c>
      <c r="I121" s="105">
        <v>0.0055</v>
      </c>
      <c r="J121" s="87">
        <f t="shared" si="35"/>
        <v>93.62901101152828</v>
      </c>
      <c r="K121" s="88">
        <f aca="true" t="shared" si="39" ref="K121:K130">K120+J121</f>
        <v>58130.12224159366</v>
      </c>
      <c r="M121" s="246"/>
      <c r="O121" s="246"/>
    </row>
    <row r="122" spans="1:15" ht="15">
      <c r="A122" s="70">
        <v>2010</v>
      </c>
      <c r="B122" s="75">
        <v>4</v>
      </c>
      <c r="C122" s="3" t="s">
        <v>42</v>
      </c>
      <c r="D122" s="86">
        <v>108.73</v>
      </c>
      <c r="E122" s="88">
        <f t="shared" si="36"/>
        <v>65208.31</v>
      </c>
      <c r="G122" s="86">
        <f t="shared" si="37"/>
        <v>204281.47857060714</v>
      </c>
      <c r="H122" s="87">
        <f t="shared" si="38"/>
        <v>204281.47857060714</v>
      </c>
      <c r="I122" s="105">
        <v>0.0055</v>
      </c>
      <c r="J122" s="87">
        <f t="shared" si="35"/>
        <v>93.62901101152828</v>
      </c>
      <c r="K122" s="88">
        <f t="shared" si="39"/>
        <v>58223.75125260519</v>
      </c>
      <c r="M122" s="246"/>
      <c r="O122" s="246"/>
    </row>
    <row r="123" spans="1:15" ht="15">
      <c r="A123" s="70">
        <v>2010</v>
      </c>
      <c r="B123" s="75">
        <v>5</v>
      </c>
      <c r="C123" s="3" t="s">
        <v>35</v>
      </c>
      <c r="D123" s="86">
        <v>112.35</v>
      </c>
      <c r="E123" s="88">
        <f t="shared" si="36"/>
        <v>65320.659999999996</v>
      </c>
      <c r="G123" s="86">
        <f t="shared" si="37"/>
        <v>204281.47857060714</v>
      </c>
      <c r="H123" s="87">
        <f t="shared" si="38"/>
        <v>204281.47857060714</v>
      </c>
      <c r="I123" s="105">
        <v>0.0055</v>
      </c>
      <c r="J123" s="87">
        <f t="shared" si="35"/>
        <v>93.62901101152828</v>
      </c>
      <c r="K123" s="88">
        <f t="shared" si="39"/>
        <v>58317.38026361672</v>
      </c>
      <c r="M123" s="246"/>
      <c r="O123" s="246"/>
    </row>
    <row r="124" spans="1:15" ht="15">
      <c r="A124" s="70">
        <v>2010</v>
      </c>
      <c r="B124" s="75">
        <v>6</v>
      </c>
      <c r="C124" s="3" t="s">
        <v>36</v>
      </c>
      <c r="D124" s="86">
        <v>108.73</v>
      </c>
      <c r="E124" s="88">
        <f t="shared" si="36"/>
        <v>65429.39</v>
      </c>
      <c r="G124" s="86">
        <f t="shared" si="37"/>
        <v>204281.47857060714</v>
      </c>
      <c r="H124" s="87">
        <f t="shared" si="38"/>
        <v>204281.47857060714</v>
      </c>
      <c r="I124" s="105">
        <v>0.0055</v>
      </c>
      <c r="J124" s="87">
        <f t="shared" si="35"/>
        <v>93.62901101152828</v>
      </c>
      <c r="K124" s="88">
        <f t="shared" si="39"/>
        <v>58411.009274628246</v>
      </c>
      <c r="M124" s="246"/>
      <c r="O124" s="246"/>
    </row>
    <row r="125" spans="1:15" ht="15">
      <c r="A125" s="70">
        <v>2010</v>
      </c>
      <c r="B125" s="75">
        <v>7</v>
      </c>
      <c r="C125" s="3" t="s">
        <v>44</v>
      </c>
      <c r="D125" s="86">
        <v>181.81</v>
      </c>
      <c r="E125" s="88">
        <f t="shared" si="36"/>
        <v>65611.2</v>
      </c>
      <c r="G125" s="86">
        <f t="shared" si="37"/>
        <v>204281.47857060714</v>
      </c>
      <c r="H125" s="87">
        <f t="shared" si="38"/>
        <v>204281.47857060714</v>
      </c>
      <c r="I125" s="105">
        <v>0.0089</v>
      </c>
      <c r="J125" s="87">
        <f t="shared" si="35"/>
        <v>151.5087632732003</v>
      </c>
      <c r="K125" s="88">
        <f t="shared" si="39"/>
        <v>58562.51803790145</v>
      </c>
      <c r="M125" s="246"/>
      <c r="O125" s="246"/>
    </row>
    <row r="126" spans="1:15" ht="15">
      <c r="A126" s="70">
        <v>2010</v>
      </c>
      <c r="B126" s="75">
        <v>8</v>
      </c>
      <c r="C126" s="3" t="s">
        <v>45</v>
      </c>
      <c r="D126" s="86">
        <v>181.81</v>
      </c>
      <c r="E126" s="88">
        <f t="shared" si="36"/>
        <v>65793.01</v>
      </c>
      <c r="G126" s="86">
        <f t="shared" si="37"/>
        <v>204281.47857060714</v>
      </c>
      <c r="H126" s="87">
        <f t="shared" si="38"/>
        <v>204281.47857060714</v>
      </c>
      <c r="I126" s="105">
        <v>0.0089</v>
      </c>
      <c r="J126" s="87">
        <f t="shared" si="35"/>
        <v>151.5087632732003</v>
      </c>
      <c r="K126" s="88">
        <f t="shared" si="39"/>
        <v>58714.02680117465</v>
      </c>
      <c r="M126" s="246"/>
      <c r="O126" s="246"/>
    </row>
    <row r="127" spans="1:15" ht="15">
      <c r="A127" s="70">
        <v>2010</v>
      </c>
      <c r="B127" s="75">
        <v>9</v>
      </c>
      <c r="C127" s="3" t="s">
        <v>71</v>
      </c>
      <c r="D127" s="86">
        <v>175.95</v>
      </c>
      <c r="E127" s="88">
        <f t="shared" si="36"/>
        <v>65968.95999999999</v>
      </c>
      <c r="G127" s="86">
        <f t="shared" si="37"/>
        <v>204281.47857060714</v>
      </c>
      <c r="H127" s="87">
        <f t="shared" si="38"/>
        <v>204281.47857060714</v>
      </c>
      <c r="I127" s="105">
        <v>0.0089</v>
      </c>
      <c r="J127" s="87">
        <f t="shared" si="35"/>
        <v>151.5087632732003</v>
      </c>
      <c r="K127" s="88">
        <f t="shared" si="39"/>
        <v>58865.535564447855</v>
      </c>
      <c r="M127" s="246"/>
      <c r="O127" s="246"/>
    </row>
    <row r="128" spans="1:15" ht="15">
      <c r="A128" s="70">
        <v>2010</v>
      </c>
      <c r="B128" s="75">
        <v>10</v>
      </c>
      <c r="C128" s="3" t="s">
        <v>47</v>
      </c>
      <c r="D128" s="86">
        <v>245.14</v>
      </c>
      <c r="E128" s="88">
        <f t="shared" si="36"/>
        <v>66214.09999999999</v>
      </c>
      <c r="G128" s="86">
        <f t="shared" si="37"/>
        <v>204281.47857060714</v>
      </c>
      <c r="H128" s="87">
        <f t="shared" si="38"/>
        <v>204281.47857060714</v>
      </c>
      <c r="I128" s="105">
        <v>0.012</v>
      </c>
      <c r="J128" s="87">
        <f t="shared" si="35"/>
        <v>204.28147857060716</v>
      </c>
      <c r="K128" s="88">
        <f t="shared" si="39"/>
        <v>59069.81704301846</v>
      </c>
      <c r="M128" s="246"/>
      <c r="O128" s="246"/>
    </row>
    <row r="129" spans="1:15" ht="15">
      <c r="A129" s="70">
        <v>2010</v>
      </c>
      <c r="B129" s="75">
        <v>11</v>
      </c>
      <c r="C129" s="3" t="s">
        <v>48</v>
      </c>
      <c r="D129" s="86">
        <v>237.23</v>
      </c>
      <c r="E129" s="88">
        <f t="shared" si="36"/>
        <v>66451.32999999999</v>
      </c>
      <c r="G129" s="86">
        <f t="shared" si="37"/>
        <v>204281.47857060714</v>
      </c>
      <c r="H129" s="87">
        <f t="shared" si="38"/>
        <v>204281.47857060714</v>
      </c>
      <c r="I129" s="105">
        <v>0.012</v>
      </c>
      <c r="J129" s="87">
        <f t="shared" si="35"/>
        <v>204.28147857060716</v>
      </c>
      <c r="K129" s="88">
        <f t="shared" si="39"/>
        <v>59274.09852158907</v>
      </c>
      <c r="M129" s="246"/>
      <c r="O129" s="246"/>
    </row>
    <row r="130" spans="1:15" ht="15">
      <c r="A130" s="70">
        <v>2010</v>
      </c>
      <c r="B130" s="75">
        <v>12</v>
      </c>
      <c r="C130" s="3" t="s">
        <v>49</v>
      </c>
      <c r="D130" s="86">
        <v>245.14</v>
      </c>
      <c r="E130" s="88">
        <f t="shared" si="36"/>
        <v>66696.46999999999</v>
      </c>
      <c r="G130" s="86">
        <f t="shared" si="37"/>
        <v>204281.47857060714</v>
      </c>
      <c r="H130" s="87">
        <f t="shared" si="38"/>
        <v>204281.47857060714</v>
      </c>
      <c r="I130" s="105">
        <v>0.012</v>
      </c>
      <c r="J130" s="87">
        <f t="shared" si="35"/>
        <v>204.28147857060716</v>
      </c>
      <c r="K130" s="88">
        <f t="shared" si="39"/>
        <v>59478.380000159676</v>
      </c>
      <c r="M130" s="246"/>
      <c r="O130" s="246"/>
    </row>
    <row r="131" spans="1:15" ht="15">
      <c r="A131" s="55"/>
      <c r="B131" s="84"/>
      <c r="C131" s="197"/>
      <c r="D131" s="89">
        <f>SUM(D119:D130)</f>
        <v>1923.0699999999997</v>
      </c>
      <c r="E131" s="94"/>
      <c r="F131" s="85"/>
      <c r="G131" s="89"/>
      <c r="H131" s="198"/>
      <c r="I131" s="198"/>
      <c r="J131" s="198">
        <f>SUM(J119:J130)</f>
        <v>1629.1447916005918</v>
      </c>
      <c r="K131" s="90"/>
      <c r="M131" s="229">
        <f>J131-D131</f>
        <v>-293.9252083994079</v>
      </c>
      <c r="N131" s="294"/>
      <c r="O131" s="229">
        <v>-38.3</v>
      </c>
    </row>
    <row r="132" spans="4:15" ht="15">
      <c r="D132" s="70"/>
      <c r="E132" s="57"/>
      <c r="G132" s="86"/>
      <c r="H132" s="87"/>
      <c r="I132" s="3"/>
      <c r="J132" s="3"/>
      <c r="K132" s="57"/>
      <c r="M132" s="40"/>
      <c r="O132" s="40"/>
    </row>
    <row r="133" spans="1:15" ht="15">
      <c r="A133" s="70">
        <v>2011</v>
      </c>
      <c r="B133" s="75">
        <v>1</v>
      </c>
      <c r="C133" s="3" t="s">
        <v>39</v>
      </c>
      <c r="D133" s="86">
        <v>300.29</v>
      </c>
      <c r="E133" s="88">
        <f>E130+D133</f>
        <v>66996.75999999998</v>
      </c>
      <c r="G133" s="86">
        <f>H129</f>
        <v>204281.47857060714</v>
      </c>
      <c r="H133" s="87">
        <f>G133</f>
        <v>204281.47857060714</v>
      </c>
      <c r="I133" s="105">
        <v>0.0147</v>
      </c>
      <c r="J133" s="87">
        <f aca="true" t="shared" si="40" ref="J133:J144">G133*I133/12</f>
        <v>250.24481124899376</v>
      </c>
      <c r="K133" s="88">
        <f>K130+J133</f>
        <v>59728.62481140867</v>
      </c>
      <c r="M133" s="246"/>
      <c r="O133" s="246"/>
    </row>
    <row r="134" spans="1:15" ht="15">
      <c r="A134" s="70">
        <v>2011</v>
      </c>
      <c r="B134" s="75">
        <v>2</v>
      </c>
      <c r="C134" s="3" t="s">
        <v>40</v>
      </c>
      <c r="D134" s="86">
        <v>271.23</v>
      </c>
      <c r="E134" s="88">
        <f>E133+D134</f>
        <v>67267.98999999998</v>
      </c>
      <c r="G134" s="86">
        <f>H133</f>
        <v>204281.47857060714</v>
      </c>
      <c r="H134" s="87">
        <f>G134</f>
        <v>204281.47857060714</v>
      </c>
      <c r="I134" s="105">
        <v>0.0147</v>
      </c>
      <c r="J134" s="87">
        <f t="shared" si="40"/>
        <v>250.24481124899376</v>
      </c>
      <c r="K134" s="88">
        <f>K133+J134</f>
        <v>59978.869622657665</v>
      </c>
      <c r="M134" s="246"/>
      <c r="O134" s="246"/>
    </row>
    <row r="135" spans="1:15" ht="15">
      <c r="A135" s="70">
        <v>2011</v>
      </c>
      <c r="B135" s="75">
        <v>3</v>
      </c>
      <c r="C135" s="3" t="s">
        <v>41</v>
      </c>
      <c r="D135" s="86">
        <v>300.29</v>
      </c>
      <c r="E135" s="88">
        <f aca="true" t="shared" si="41" ref="E135:E144">E134+D135</f>
        <v>67568.27999999997</v>
      </c>
      <c r="G135" s="86">
        <f aca="true" t="shared" si="42" ref="G135:G144">H134</f>
        <v>204281.47857060714</v>
      </c>
      <c r="H135" s="87">
        <f aca="true" t="shared" si="43" ref="H135:H144">G135</f>
        <v>204281.47857060714</v>
      </c>
      <c r="I135" s="105">
        <v>0.0147</v>
      </c>
      <c r="J135" s="87">
        <f t="shared" si="40"/>
        <v>250.24481124899376</v>
      </c>
      <c r="K135" s="88">
        <f aca="true" t="shared" si="44" ref="K135:K144">K134+J135</f>
        <v>60229.11443390666</v>
      </c>
      <c r="M135" s="246"/>
      <c r="O135" s="246"/>
    </row>
    <row r="136" spans="1:15" ht="15">
      <c r="A136" s="70">
        <v>2011</v>
      </c>
      <c r="B136" s="75">
        <v>4</v>
      </c>
      <c r="C136" s="3" t="s">
        <v>42</v>
      </c>
      <c r="D136" s="86">
        <v>290.61</v>
      </c>
      <c r="E136" s="88">
        <f t="shared" si="41"/>
        <v>67858.88999999997</v>
      </c>
      <c r="G136" s="86">
        <f t="shared" si="42"/>
        <v>204281.47857060714</v>
      </c>
      <c r="H136" s="87">
        <f t="shared" si="43"/>
        <v>204281.47857060714</v>
      </c>
      <c r="I136" s="213">
        <v>0.0147</v>
      </c>
      <c r="J136" s="87">
        <f t="shared" si="40"/>
        <v>250.24481124899376</v>
      </c>
      <c r="K136" s="88">
        <f t="shared" si="44"/>
        <v>60479.359245155654</v>
      </c>
      <c r="M136" s="246"/>
      <c r="O136" s="246"/>
    </row>
    <row r="137" spans="1:15" ht="15">
      <c r="A137" s="70">
        <v>2011</v>
      </c>
      <c r="B137" s="75">
        <v>5</v>
      </c>
      <c r="C137" s="3" t="s">
        <v>35</v>
      </c>
      <c r="D137" s="86">
        <v>300.29</v>
      </c>
      <c r="E137" s="88">
        <f t="shared" si="41"/>
        <v>68159.17999999996</v>
      </c>
      <c r="G137" s="86">
        <f t="shared" si="42"/>
        <v>204281.47857060714</v>
      </c>
      <c r="H137" s="87">
        <f t="shared" si="43"/>
        <v>204281.47857060714</v>
      </c>
      <c r="I137" s="213">
        <v>0.0147</v>
      </c>
      <c r="J137" s="87">
        <f t="shared" si="40"/>
        <v>250.24481124899376</v>
      </c>
      <c r="K137" s="88">
        <f t="shared" si="44"/>
        <v>60729.60405640465</v>
      </c>
      <c r="M137" s="246"/>
      <c r="O137" s="246"/>
    </row>
    <row r="138" spans="1:15" ht="15">
      <c r="A138" s="70">
        <v>2011</v>
      </c>
      <c r="B138" s="75">
        <v>6</v>
      </c>
      <c r="C138" s="3" t="s">
        <v>36</v>
      </c>
      <c r="D138" s="86">
        <v>290.61</v>
      </c>
      <c r="E138" s="88">
        <f t="shared" si="41"/>
        <v>68449.78999999996</v>
      </c>
      <c r="G138" s="86">
        <f t="shared" si="42"/>
        <v>204281.47857060714</v>
      </c>
      <c r="H138" s="87">
        <f t="shared" si="43"/>
        <v>204281.47857060714</v>
      </c>
      <c r="I138" s="213">
        <v>0.0147</v>
      </c>
      <c r="J138" s="87">
        <f t="shared" si="40"/>
        <v>250.24481124899376</v>
      </c>
      <c r="K138" s="88">
        <f t="shared" si="44"/>
        <v>60979.84886765364</v>
      </c>
      <c r="M138" s="246"/>
      <c r="O138" s="246"/>
    </row>
    <row r="139" spans="1:15" ht="15">
      <c r="A139" s="70">
        <v>2011</v>
      </c>
      <c r="B139" s="75">
        <v>7</v>
      </c>
      <c r="C139" s="3" t="s">
        <v>44</v>
      </c>
      <c r="D139" s="86">
        <v>300.29</v>
      </c>
      <c r="E139" s="88">
        <f t="shared" si="41"/>
        <v>68750.07999999996</v>
      </c>
      <c r="G139" s="86">
        <f t="shared" si="42"/>
        <v>204281.47857060714</v>
      </c>
      <c r="H139" s="87">
        <f t="shared" si="43"/>
        <v>204281.47857060714</v>
      </c>
      <c r="I139" s="213">
        <v>0.0147</v>
      </c>
      <c r="J139" s="87">
        <f t="shared" si="40"/>
        <v>250.24481124899376</v>
      </c>
      <c r="K139" s="88">
        <f t="shared" si="44"/>
        <v>61230.09367890264</v>
      </c>
      <c r="M139" s="246"/>
      <c r="O139" s="246"/>
    </row>
    <row r="140" spans="1:15" ht="15">
      <c r="A140" s="70">
        <v>2011</v>
      </c>
      <c r="B140" s="75">
        <v>8</v>
      </c>
      <c r="C140" s="3" t="s">
        <v>45</v>
      </c>
      <c r="D140" s="248"/>
      <c r="E140" s="88">
        <f t="shared" si="41"/>
        <v>68750.07999999996</v>
      </c>
      <c r="G140" s="86">
        <f t="shared" si="42"/>
        <v>204281.47857060714</v>
      </c>
      <c r="H140" s="87">
        <f t="shared" si="43"/>
        <v>204281.47857060714</v>
      </c>
      <c r="I140" s="213">
        <v>0.0147</v>
      </c>
      <c r="J140" s="87">
        <f t="shared" si="40"/>
        <v>250.24481124899376</v>
      </c>
      <c r="K140" s="88">
        <f t="shared" si="44"/>
        <v>61480.33849015163</v>
      </c>
      <c r="M140" s="246"/>
      <c r="O140" s="246"/>
    </row>
    <row r="141" spans="1:15" ht="15">
      <c r="A141" s="70">
        <v>2011</v>
      </c>
      <c r="B141" s="75">
        <v>9</v>
      </c>
      <c r="C141" s="3" t="s">
        <v>71</v>
      </c>
      <c r="D141" s="248"/>
      <c r="E141" s="88">
        <f t="shared" si="41"/>
        <v>68750.07999999996</v>
      </c>
      <c r="G141" s="86">
        <f t="shared" si="42"/>
        <v>204281.47857060714</v>
      </c>
      <c r="H141" s="87">
        <f t="shared" si="43"/>
        <v>204281.47857060714</v>
      </c>
      <c r="I141" s="213">
        <v>0.0147</v>
      </c>
      <c r="J141" s="87">
        <f t="shared" si="40"/>
        <v>250.24481124899376</v>
      </c>
      <c r="K141" s="88">
        <f t="shared" si="44"/>
        <v>61730.58330140063</v>
      </c>
      <c r="M141" s="246"/>
      <c r="O141" s="246"/>
    </row>
    <row r="142" spans="1:15" ht="15">
      <c r="A142" s="70">
        <v>2011</v>
      </c>
      <c r="B142" s="75">
        <v>10</v>
      </c>
      <c r="C142" s="3" t="s">
        <v>47</v>
      </c>
      <c r="D142" s="248"/>
      <c r="E142" s="88">
        <f t="shared" si="41"/>
        <v>68750.07999999996</v>
      </c>
      <c r="G142" s="86">
        <f t="shared" si="42"/>
        <v>204281.47857060714</v>
      </c>
      <c r="H142" s="87">
        <f t="shared" si="43"/>
        <v>204281.47857060714</v>
      </c>
      <c r="I142" s="213">
        <v>0.0147</v>
      </c>
      <c r="J142" s="87">
        <f t="shared" si="40"/>
        <v>250.24481124899376</v>
      </c>
      <c r="K142" s="88">
        <f t="shared" si="44"/>
        <v>61980.82811264962</v>
      </c>
      <c r="M142" s="246"/>
      <c r="O142" s="246"/>
    </row>
    <row r="143" spans="1:15" ht="15">
      <c r="A143" s="70">
        <v>2011</v>
      </c>
      <c r="B143" s="75">
        <v>11</v>
      </c>
      <c r="C143" s="3" t="s">
        <v>48</v>
      </c>
      <c r="D143" s="248"/>
      <c r="E143" s="88">
        <f t="shared" si="41"/>
        <v>68750.07999999996</v>
      </c>
      <c r="G143" s="86">
        <f t="shared" si="42"/>
        <v>204281.47857060714</v>
      </c>
      <c r="H143" s="87">
        <f t="shared" si="43"/>
        <v>204281.47857060714</v>
      </c>
      <c r="I143" s="213">
        <v>0.0147</v>
      </c>
      <c r="J143" s="87">
        <f t="shared" si="40"/>
        <v>250.24481124899376</v>
      </c>
      <c r="K143" s="88">
        <f t="shared" si="44"/>
        <v>62231.07292389862</v>
      </c>
      <c r="M143" s="246"/>
      <c r="O143" s="246"/>
    </row>
    <row r="144" spans="1:15" ht="15">
      <c r="A144" s="70">
        <v>2011</v>
      </c>
      <c r="B144" s="75">
        <v>12</v>
      </c>
      <c r="C144" s="3" t="s">
        <v>49</v>
      </c>
      <c r="D144" s="248"/>
      <c r="E144" s="88">
        <f t="shared" si="41"/>
        <v>68750.07999999996</v>
      </c>
      <c r="G144" s="86">
        <f t="shared" si="42"/>
        <v>204281.47857060714</v>
      </c>
      <c r="H144" s="87">
        <f t="shared" si="43"/>
        <v>204281.47857060714</v>
      </c>
      <c r="I144" s="213">
        <v>0.0147</v>
      </c>
      <c r="J144" s="87">
        <f t="shared" si="40"/>
        <v>250.24481124899376</v>
      </c>
      <c r="K144" s="88">
        <f t="shared" si="44"/>
        <v>62481.31773514761</v>
      </c>
      <c r="M144" s="246"/>
      <c r="O144" s="246"/>
    </row>
    <row r="145" spans="1:15" ht="15">
      <c r="A145" s="55"/>
      <c r="B145" s="84"/>
      <c r="C145" s="197"/>
      <c r="D145" s="89">
        <f>SUM(D133:D144)</f>
        <v>2053.61</v>
      </c>
      <c r="E145" s="94"/>
      <c r="F145" s="85"/>
      <c r="G145" s="89"/>
      <c r="H145" s="198"/>
      <c r="I145" s="198"/>
      <c r="J145" s="198">
        <f>SUM(J133:J144)</f>
        <v>3002.937734987925</v>
      </c>
      <c r="K145" s="90"/>
      <c r="M145" s="229">
        <f>J145-D145</f>
        <v>949.3277349879249</v>
      </c>
      <c r="N145" s="294"/>
      <c r="O145" s="229">
        <v>1420.5</v>
      </c>
    </row>
    <row r="146" spans="4:15" ht="15">
      <c r="D146" s="70"/>
      <c r="E146" s="57"/>
      <c r="G146" s="86"/>
      <c r="H146" s="87"/>
      <c r="I146" s="3"/>
      <c r="J146" s="3"/>
      <c r="K146" s="57"/>
      <c r="M146" s="40"/>
      <c r="O146" s="40"/>
    </row>
    <row r="147" spans="1:15" ht="15">
      <c r="A147" s="70">
        <v>2012</v>
      </c>
      <c r="B147" s="75">
        <v>1</v>
      </c>
      <c r="C147" s="3" t="s">
        <v>39</v>
      </c>
      <c r="D147" s="248"/>
      <c r="E147" s="88">
        <f>E143+D147</f>
        <v>68750.07999999996</v>
      </c>
      <c r="G147" s="86">
        <f>H143</f>
        <v>204281.47857060714</v>
      </c>
      <c r="H147" s="87">
        <f>G147</f>
        <v>204281.47857060714</v>
      </c>
      <c r="I147" s="213">
        <v>0.0147</v>
      </c>
      <c r="J147" s="87">
        <f>G147*I147/12</f>
        <v>250.24481124899376</v>
      </c>
      <c r="K147" s="88">
        <f>K144+J147</f>
        <v>62731.562546396606</v>
      </c>
      <c r="M147" s="246"/>
      <c r="O147" s="246"/>
    </row>
    <row r="148" spans="1:15" ht="15">
      <c r="A148" s="70">
        <v>2012</v>
      </c>
      <c r="B148" s="75">
        <v>2</v>
      </c>
      <c r="C148" s="3" t="s">
        <v>40</v>
      </c>
      <c r="D148" s="248"/>
      <c r="E148" s="88">
        <f>E147+D148</f>
        <v>68750.07999999996</v>
      </c>
      <c r="G148" s="86">
        <f>H147</f>
        <v>204281.47857060714</v>
      </c>
      <c r="H148" s="87">
        <f>G148</f>
        <v>204281.47857060714</v>
      </c>
      <c r="I148" s="213">
        <v>0.0147</v>
      </c>
      <c r="J148" s="87">
        <f>G148*I148/12</f>
        <v>250.24481124899376</v>
      </c>
      <c r="K148" s="88">
        <f>K147+J148</f>
        <v>62981.8073576456</v>
      </c>
      <c r="M148" s="246"/>
      <c r="O148" s="246"/>
    </row>
    <row r="149" spans="1:15" ht="15">
      <c r="A149" s="70">
        <v>2012</v>
      </c>
      <c r="B149" s="75">
        <v>3</v>
      </c>
      <c r="C149" s="3" t="s">
        <v>41</v>
      </c>
      <c r="D149" s="248"/>
      <c r="E149" s="88">
        <f aca="true" t="shared" si="45" ref="E149:E158">E148+D149</f>
        <v>68750.07999999996</v>
      </c>
      <c r="G149" s="86">
        <f>H148</f>
        <v>204281.47857060714</v>
      </c>
      <c r="H149" s="87">
        <f>G149</f>
        <v>204281.47857060714</v>
      </c>
      <c r="I149" s="213">
        <v>0.0147</v>
      </c>
      <c r="J149" s="87">
        <f>G149*I149/12</f>
        <v>250.24481124899376</v>
      </c>
      <c r="K149" s="88">
        <f aca="true" t="shared" si="46" ref="K149:K158">K148+J149</f>
        <v>63232.052168894596</v>
      </c>
      <c r="M149" s="246"/>
      <c r="O149" s="246"/>
    </row>
    <row r="150" spans="1:15" ht="15">
      <c r="A150" s="70">
        <v>2012</v>
      </c>
      <c r="B150" s="75">
        <v>4</v>
      </c>
      <c r="C150" s="3" t="s">
        <v>42</v>
      </c>
      <c r="D150" s="248"/>
      <c r="E150" s="88">
        <f t="shared" si="45"/>
        <v>68750.07999999996</v>
      </c>
      <c r="G150" s="86">
        <f>H149</f>
        <v>204281.47857060714</v>
      </c>
      <c r="H150" s="87">
        <f>G150</f>
        <v>204281.47857060714</v>
      </c>
      <c r="I150" s="213">
        <v>0.0147</v>
      </c>
      <c r="J150" s="87">
        <f>G150*I150/12</f>
        <v>250.24481124899376</v>
      </c>
      <c r="K150" s="88">
        <f t="shared" si="46"/>
        <v>63482.29698014359</v>
      </c>
      <c r="M150" s="246"/>
      <c r="O150" s="246"/>
    </row>
    <row r="151" spans="1:15" ht="15" hidden="1">
      <c r="A151" s="70">
        <v>2012</v>
      </c>
      <c r="B151" s="75">
        <v>5</v>
      </c>
      <c r="C151" s="3" t="s">
        <v>35</v>
      </c>
      <c r="D151" s="86">
        <v>0</v>
      </c>
      <c r="E151" s="88">
        <f t="shared" si="45"/>
        <v>68750.07999999996</v>
      </c>
      <c r="G151" s="86">
        <v>0</v>
      </c>
      <c r="H151" s="87">
        <v>0</v>
      </c>
      <c r="I151" s="3"/>
      <c r="J151" s="87">
        <f aca="true" t="shared" si="47" ref="J151:J158">SUM(G151:I151)</f>
        <v>0</v>
      </c>
      <c r="K151" s="88">
        <f t="shared" si="46"/>
        <v>63482.29698014359</v>
      </c>
      <c r="M151" s="246"/>
      <c r="O151" s="246"/>
    </row>
    <row r="152" spans="1:15" ht="15" hidden="1">
      <c r="A152" s="70">
        <v>2012</v>
      </c>
      <c r="B152" s="75">
        <v>6</v>
      </c>
      <c r="C152" s="3" t="s">
        <v>36</v>
      </c>
      <c r="D152" s="86">
        <v>0</v>
      </c>
      <c r="E152" s="88">
        <f t="shared" si="45"/>
        <v>68750.07999999996</v>
      </c>
      <c r="G152" s="86">
        <v>0</v>
      </c>
      <c r="H152" s="87">
        <v>0</v>
      </c>
      <c r="I152" s="3"/>
      <c r="J152" s="87">
        <f t="shared" si="47"/>
        <v>0</v>
      </c>
      <c r="K152" s="88">
        <f t="shared" si="46"/>
        <v>63482.29698014359</v>
      </c>
      <c r="M152" s="246"/>
      <c r="O152" s="246"/>
    </row>
    <row r="153" spans="1:15" ht="15" hidden="1">
      <c r="A153" s="70">
        <v>2012</v>
      </c>
      <c r="B153" s="75">
        <v>7</v>
      </c>
      <c r="C153" s="3" t="s">
        <v>44</v>
      </c>
      <c r="D153" s="86">
        <v>0</v>
      </c>
      <c r="E153" s="88">
        <f t="shared" si="45"/>
        <v>68750.07999999996</v>
      </c>
      <c r="G153" s="86">
        <v>0</v>
      </c>
      <c r="H153" s="87">
        <v>0</v>
      </c>
      <c r="I153" s="3"/>
      <c r="J153" s="87">
        <f t="shared" si="47"/>
        <v>0</v>
      </c>
      <c r="K153" s="88">
        <f t="shared" si="46"/>
        <v>63482.29698014359</v>
      </c>
      <c r="M153" s="246"/>
      <c r="O153" s="246"/>
    </row>
    <row r="154" spans="1:15" ht="15" hidden="1">
      <c r="A154" s="70">
        <v>2012</v>
      </c>
      <c r="B154" s="75">
        <v>8</v>
      </c>
      <c r="C154" s="3" t="s">
        <v>45</v>
      </c>
      <c r="D154" s="86">
        <v>0</v>
      </c>
      <c r="E154" s="88">
        <f t="shared" si="45"/>
        <v>68750.07999999996</v>
      </c>
      <c r="G154" s="86">
        <v>0</v>
      </c>
      <c r="H154" s="87">
        <v>0</v>
      </c>
      <c r="I154" s="3"/>
      <c r="J154" s="87">
        <f t="shared" si="47"/>
        <v>0</v>
      </c>
      <c r="K154" s="88">
        <f t="shared" si="46"/>
        <v>63482.29698014359</v>
      </c>
      <c r="M154" s="246"/>
      <c r="O154" s="246"/>
    </row>
    <row r="155" spans="1:15" ht="15" hidden="1">
      <c r="A155" s="70">
        <v>2012</v>
      </c>
      <c r="B155" s="75">
        <v>9</v>
      </c>
      <c r="C155" s="3" t="s">
        <v>71</v>
      </c>
      <c r="D155" s="86">
        <v>0</v>
      </c>
      <c r="E155" s="88">
        <f t="shared" si="45"/>
        <v>68750.07999999996</v>
      </c>
      <c r="G155" s="86">
        <v>0</v>
      </c>
      <c r="H155" s="87">
        <v>0</v>
      </c>
      <c r="I155" s="3"/>
      <c r="J155" s="87">
        <f t="shared" si="47"/>
        <v>0</v>
      </c>
      <c r="K155" s="88">
        <f t="shared" si="46"/>
        <v>63482.29698014359</v>
      </c>
      <c r="M155" s="246"/>
      <c r="O155" s="246"/>
    </row>
    <row r="156" spans="1:15" ht="15" hidden="1">
      <c r="A156" s="70">
        <v>2012</v>
      </c>
      <c r="B156" s="75">
        <v>10</v>
      </c>
      <c r="C156" s="3" t="s">
        <v>47</v>
      </c>
      <c r="D156" s="86">
        <v>0</v>
      </c>
      <c r="E156" s="88">
        <f t="shared" si="45"/>
        <v>68750.07999999996</v>
      </c>
      <c r="G156" s="86">
        <v>0</v>
      </c>
      <c r="H156" s="87">
        <v>0</v>
      </c>
      <c r="I156" s="3"/>
      <c r="J156" s="87">
        <f t="shared" si="47"/>
        <v>0</v>
      </c>
      <c r="K156" s="88">
        <f t="shared" si="46"/>
        <v>63482.29698014359</v>
      </c>
      <c r="M156" s="246"/>
      <c r="O156" s="246"/>
    </row>
    <row r="157" spans="1:15" ht="15" hidden="1">
      <c r="A157" s="70">
        <v>2012</v>
      </c>
      <c r="B157" s="75">
        <v>11</v>
      </c>
      <c r="C157" s="3" t="s">
        <v>48</v>
      </c>
      <c r="D157" s="86">
        <v>0</v>
      </c>
      <c r="E157" s="88">
        <f t="shared" si="45"/>
        <v>68750.07999999996</v>
      </c>
      <c r="G157" s="86">
        <v>0</v>
      </c>
      <c r="H157" s="87">
        <v>0</v>
      </c>
      <c r="I157" s="3"/>
      <c r="J157" s="87">
        <f t="shared" si="47"/>
        <v>0</v>
      </c>
      <c r="K157" s="88">
        <f t="shared" si="46"/>
        <v>63482.29698014359</v>
      </c>
      <c r="M157" s="246"/>
      <c r="O157" s="246"/>
    </row>
    <row r="158" spans="1:15" ht="15" hidden="1">
      <c r="A158" s="70">
        <v>2012</v>
      </c>
      <c r="B158" s="75">
        <v>12</v>
      </c>
      <c r="C158" s="3" t="s">
        <v>49</v>
      </c>
      <c r="D158" s="86">
        <v>0</v>
      </c>
      <c r="E158" s="88">
        <f t="shared" si="45"/>
        <v>68750.07999999996</v>
      </c>
      <c r="G158" s="86">
        <v>0</v>
      </c>
      <c r="H158" s="87">
        <v>0</v>
      </c>
      <c r="I158" s="3"/>
      <c r="J158" s="87">
        <f t="shared" si="47"/>
        <v>0</v>
      </c>
      <c r="K158" s="88">
        <f t="shared" si="46"/>
        <v>63482.29698014359</v>
      </c>
      <c r="M158" s="246"/>
      <c r="O158" s="246"/>
    </row>
    <row r="159" spans="1:15" ht="15">
      <c r="A159" s="55"/>
      <c r="B159" s="84"/>
      <c r="C159" s="197"/>
      <c r="D159" s="89">
        <f>SUM(D147:D158)</f>
        <v>0</v>
      </c>
      <c r="E159" s="94"/>
      <c r="F159" s="85"/>
      <c r="G159" s="89"/>
      <c r="H159" s="198"/>
      <c r="I159" s="198"/>
      <c r="J159" s="198">
        <f>SUM(J147:J158)</f>
        <v>1000.979244995975</v>
      </c>
      <c r="K159" s="90"/>
      <c r="M159" s="229">
        <f>K161-E161</f>
        <v>-2516.1684920498483</v>
      </c>
      <c r="N159" s="294"/>
      <c r="O159" s="229">
        <v>-1608.08</v>
      </c>
    </row>
    <row r="160" spans="1:3" ht="15">
      <c r="A160" s="294" t="s">
        <v>157</v>
      </c>
      <c r="B160" s="294"/>
      <c r="C160" s="294"/>
    </row>
    <row r="161" spans="1:13" ht="15">
      <c r="A161" s="283" t="s">
        <v>143</v>
      </c>
      <c r="B161" s="284"/>
      <c r="C161" s="284"/>
      <c r="D161" s="284"/>
      <c r="E161" s="285">
        <f>E65</f>
        <v>34156.09000000001</v>
      </c>
      <c r="F161" s="285"/>
      <c r="G161" s="285"/>
      <c r="H161" s="285"/>
      <c r="I161" s="284"/>
      <c r="J161" s="284"/>
      <c r="K161" s="285">
        <f>K65</f>
        <v>31639.921507950163</v>
      </c>
      <c r="L161" s="284"/>
      <c r="M161" s="286">
        <f>K161-E161</f>
        <v>-2516.1684920498483</v>
      </c>
    </row>
    <row r="162" spans="1:13" ht="15">
      <c r="A162" s="70" t="s">
        <v>140</v>
      </c>
      <c r="B162" s="3"/>
      <c r="C162" s="3"/>
      <c r="D162" s="3"/>
      <c r="E162" s="87">
        <f>E130-E65</f>
        <v>32540.379999999976</v>
      </c>
      <c r="F162" s="87"/>
      <c r="G162" s="87"/>
      <c r="H162" s="87"/>
      <c r="I162" s="3"/>
      <c r="J162" s="3"/>
      <c r="K162" s="87">
        <f>K130-K65</f>
        <v>27838.458492209513</v>
      </c>
      <c r="L162" s="3"/>
      <c r="M162" s="88">
        <f>K162-E162</f>
        <v>-4701.921507790463</v>
      </c>
    </row>
    <row r="163" spans="1:13" ht="15">
      <c r="A163" s="70" t="s">
        <v>141</v>
      </c>
      <c r="B163" s="3"/>
      <c r="C163" s="3"/>
      <c r="D163" s="3"/>
      <c r="E163" s="87">
        <f>E150-E130</f>
        <v>2053.6099999999715</v>
      </c>
      <c r="F163" s="87"/>
      <c r="G163" s="87"/>
      <c r="H163" s="87"/>
      <c r="I163" s="3"/>
      <c r="J163" s="3"/>
      <c r="K163" s="87">
        <f>K150-K130</f>
        <v>4003.9169799839146</v>
      </c>
      <c r="L163" s="3"/>
      <c r="M163" s="88">
        <f>K163-E163</f>
        <v>1950.3069799839432</v>
      </c>
    </row>
    <row r="164" spans="1:13" ht="15">
      <c r="A164" s="253" t="s">
        <v>144</v>
      </c>
      <c r="B164" s="254"/>
      <c r="C164" s="254"/>
      <c r="D164" s="254"/>
      <c r="E164" s="255">
        <f>SUM(E161:E163)</f>
        <v>68750.07999999996</v>
      </c>
      <c r="F164" s="255"/>
      <c r="G164" s="255"/>
      <c r="H164" s="255"/>
      <c r="I164" s="254"/>
      <c r="J164" s="254"/>
      <c r="K164" s="287">
        <f>SUM(K161:K163)</f>
        <v>63482.29698014359</v>
      </c>
      <c r="L164" s="254"/>
      <c r="M164" s="256">
        <f>SUM(M161:M163)</f>
        <v>-5267.783019856368</v>
      </c>
    </row>
    <row r="166" ht="15">
      <c r="A166" t="s">
        <v>156</v>
      </c>
    </row>
    <row r="167" spans="1:13" ht="15">
      <c r="A167" s="283" t="s">
        <v>143</v>
      </c>
      <c r="B167" s="284"/>
      <c r="C167" s="284"/>
      <c r="D167" s="284"/>
      <c r="E167" s="285">
        <v>34156.09000000001</v>
      </c>
      <c r="F167" s="285"/>
      <c r="G167" s="285"/>
      <c r="H167" s="285"/>
      <c r="I167" s="284"/>
      <c r="J167" s="284"/>
      <c r="K167" s="285">
        <v>32548.01</v>
      </c>
      <c r="L167" s="284"/>
      <c r="M167" s="286">
        <f>K167-E167</f>
        <v>-1608.0800000000127</v>
      </c>
    </row>
    <row r="168" spans="1:13" ht="15">
      <c r="A168" s="70" t="s">
        <v>140</v>
      </c>
      <c r="B168" s="3"/>
      <c r="C168" s="3"/>
      <c r="D168" s="3"/>
      <c r="E168" s="87">
        <v>32540.379999999976</v>
      </c>
      <c r="F168" s="87"/>
      <c r="G168" s="87"/>
      <c r="H168" s="87"/>
      <c r="I168" s="3"/>
      <c r="J168" s="3"/>
      <c r="K168" s="87">
        <v>32206.45</v>
      </c>
      <c r="L168" s="3"/>
      <c r="M168" s="88">
        <f>K168-E168</f>
        <v>-333.9299999999748</v>
      </c>
    </row>
    <row r="169" spans="1:13" ht="15">
      <c r="A169" s="70" t="s">
        <v>141</v>
      </c>
      <c r="B169" s="3"/>
      <c r="C169" s="3"/>
      <c r="D169" s="3"/>
      <c r="E169" s="87">
        <v>2053.6099999999715</v>
      </c>
      <c r="F169" s="87"/>
      <c r="G169" s="87"/>
      <c r="H169" s="87"/>
      <c r="I169" s="3"/>
      <c r="J169" s="3"/>
      <c r="K169" s="87">
        <v>4632.15</v>
      </c>
      <c r="L169" s="3"/>
      <c r="M169" s="88">
        <f>K169-E169</f>
        <v>2578.540000000028</v>
      </c>
    </row>
    <row r="170" spans="1:13" ht="15">
      <c r="A170" s="253" t="s">
        <v>144</v>
      </c>
      <c r="B170" s="257"/>
      <c r="C170" s="257"/>
      <c r="D170" s="257"/>
      <c r="E170" s="255">
        <f>SUM(E167:E169)</f>
        <v>68750.07999999996</v>
      </c>
      <c r="F170" s="255"/>
      <c r="G170" s="255"/>
      <c r="H170" s="255"/>
      <c r="I170" s="257"/>
      <c r="J170" s="257"/>
      <c r="K170" s="287">
        <f>SUM(K167:K169)</f>
        <v>69386.61</v>
      </c>
      <c r="L170" s="257"/>
      <c r="M170" s="265">
        <f>SUM(M167:M169)</f>
        <v>636.5300000000407</v>
      </c>
    </row>
  </sheetData>
  <sheetProtection/>
  <printOptions/>
  <pageMargins left="0.2" right="0.2" top="1" bottom="0.75" header="0.3" footer="0.3"/>
  <pageSetup fitToHeight="3" fitToWidth="1" horizontalDpi="600" verticalDpi="600" orientation="portrait" scale="74" r:id="rId1"/>
  <headerFooter>
    <oddHeader>&amp;C&amp;F&amp;A&amp;RWoodstock Hydro
EB-2011-0207
September 2011
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2"/>
  <sheetViews>
    <sheetView showGridLines="0" zoomScalePageLayoutView="0" workbookViewId="0" topLeftCell="A61">
      <selection activeCell="C98" sqref="C98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2.57421875" style="0" hidden="1" customWidth="1"/>
    <col min="15" max="15" width="14.00390625" style="0" hidden="1" customWidth="1"/>
    <col min="16" max="16" width="9.8515625" style="0" hidden="1" customWidth="1"/>
    <col min="17" max="17" width="14.57421875" style="0" hidden="1" customWidth="1"/>
    <col min="18" max="18" width="13.8515625" style="0" customWidth="1"/>
  </cols>
  <sheetData>
    <row r="1" s="1" customFormat="1" ht="15.75" thickBot="1"/>
    <row r="2" spans="1:18" s="23" customFormat="1" ht="75">
      <c r="A2" s="37" t="s">
        <v>24</v>
      </c>
      <c r="B2" s="56"/>
      <c r="C2" s="38" t="s">
        <v>23</v>
      </c>
      <c r="D2" s="38" t="s">
        <v>58</v>
      </c>
      <c r="E2" s="38" t="s">
        <v>27</v>
      </c>
      <c r="F2" s="38" t="s">
        <v>9</v>
      </c>
      <c r="G2" s="39" t="s">
        <v>10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128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7" t="s">
        <v>0</v>
      </c>
      <c r="B3" s="57">
        <v>2002</v>
      </c>
      <c r="C3" s="40" t="s">
        <v>41</v>
      </c>
      <c r="D3" s="41">
        <f>'G-35 Customer Count'!C6</f>
        <v>5426</v>
      </c>
      <c r="E3" s="41">
        <v>1</v>
      </c>
      <c r="F3" s="41">
        <f>'G-36 Monthly Volumes'!C6</f>
        <v>3964236</v>
      </c>
      <c r="G3" s="42"/>
      <c r="H3" s="12">
        <f>0.4024</f>
        <v>0.4024</v>
      </c>
      <c r="I3" s="6">
        <f>0.000588</f>
        <v>0.000588</v>
      </c>
      <c r="J3" s="13">
        <f>D3*E3*H3+(F3+G3)*I3</f>
        <v>4514.3931680000005</v>
      </c>
      <c r="K3" s="12">
        <f>1.2132</f>
        <v>1.2132</v>
      </c>
      <c r="L3" s="6">
        <f>0.001773</f>
        <v>0.001773</v>
      </c>
      <c r="M3" s="13">
        <f>D3*E3*K3+(F3+G3)*L3</f>
        <v>13611.413628000002</v>
      </c>
      <c r="N3" s="19"/>
      <c r="O3" s="13">
        <f>(F3+G3)*N3</f>
        <v>0</v>
      </c>
      <c r="P3" s="19">
        <v>0</v>
      </c>
      <c r="Q3" s="13">
        <f>(F3+G3)*P3</f>
        <v>0</v>
      </c>
      <c r="R3" s="13">
        <f>J3+M3+O3+Q3</f>
        <v>18125.806796000004</v>
      </c>
    </row>
    <row r="4" spans="1:18" ht="15">
      <c r="A4" s="27" t="s">
        <v>0</v>
      </c>
      <c r="B4" s="57">
        <v>2002</v>
      </c>
      <c r="C4" s="40" t="s">
        <v>42</v>
      </c>
      <c r="D4" s="41">
        <f>'G-35 Customer Count'!C7</f>
        <v>11965</v>
      </c>
      <c r="E4" s="41">
        <v>1</v>
      </c>
      <c r="F4" s="41">
        <f>'G-36 Monthly Volumes'!C7</f>
        <v>8177457</v>
      </c>
      <c r="G4" s="42"/>
      <c r="H4" s="12">
        <f aca="true" t="shared" si="0" ref="H4:H13">0.4024</f>
        <v>0.4024</v>
      </c>
      <c r="I4" s="6">
        <f aca="true" t="shared" si="1" ref="I4:I13">0.000588</f>
        <v>0.000588</v>
      </c>
      <c r="J4" s="13">
        <f aca="true" t="shared" si="2" ref="J4:J13">D4*E4*H4+(F4+G4)*I4</f>
        <v>9623.060716</v>
      </c>
      <c r="K4" s="12">
        <f aca="true" t="shared" si="3" ref="K4:K13">1.2132</f>
        <v>1.2132</v>
      </c>
      <c r="L4" s="6">
        <f aca="true" t="shared" si="4" ref="L4:L13">0.001773</f>
        <v>0.001773</v>
      </c>
      <c r="M4" s="13">
        <f aca="true" t="shared" si="5" ref="M4:M13">D4*E4*K4+(F4+G4)*L4</f>
        <v>29014.569261</v>
      </c>
      <c r="N4" s="19"/>
      <c r="O4" s="13">
        <f aca="true" t="shared" si="6" ref="O4:O13">(F4+G4)*N4</f>
        <v>0</v>
      </c>
      <c r="P4" s="19">
        <v>0</v>
      </c>
      <c r="Q4" s="13">
        <f aca="true" t="shared" si="7" ref="Q4:Q13">(F4+G4)*P4</f>
        <v>0</v>
      </c>
      <c r="R4" s="13">
        <f aca="true" t="shared" si="8" ref="R4:R13">J4+M4+O4+Q4</f>
        <v>38637.629977000004</v>
      </c>
    </row>
    <row r="5" spans="1:18" ht="15">
      <c r="A5" s="27" t="s">
        <v>0</v>
      </c>
      <c r="B5" s="57">
        <v>2002</v>
      </c>
      <c r="C5" s="40" t="s">
        <v>35</v>
      </c>
      <c r="D5" s="41">
        <f>'G-35 Customer Count'!C8</f>
        <v>9580</v>
      </c>
      <c r="E5" s="41">
        <v>1</v>
      </c>
      <c r="F5" s="41">
        <f>'G-36 Monthly Volumes'!C8</f>
        <v>6109936</v>
      </c>
      <c r="G5" s="42"/>
      <c r="H5" s="12">
        <f t="shared" si="0"/>
        <v>0.4024</v>
      </c>
      <c r="I5" s="6">
        <f t="shared" si="1"/>
        <v>0.000588</v>
      </c>
      <c r="J5" s="13">
        <f t="shared" si="2"/>
        <v>7447.634367999999</v>
      </c>
      <c r="K5" s="12">
        <f t="shared" si="3"/>
        <v>1.2132</v>
      </c>
      <c r="L5" s="6">
        <f t="shared" si="4"/>
        <v>0.001773</v>
      </c>
      <c r="M5" s="13">
        <f t="shared" si="5"/>
        <v>22455.372528</v>
      </c>
      <c r="N5" s="19"/>
      <c r="O5" s="13">
        <f t="shared" si="6"/>
        <v>0</v>
      </c>
      <c r="P5" s="19">
        <v>0</v>
      </c>
      <c r="Q5" s="13">
        <f t="shared" si="7"/>
        <v>0</v>
      </c>
      <c r="R5" s="13">
        <f t="shared" si="8"/>
        <v>29903.006896</v>
      </c>
    </row>
    <row r="6" spans="1:18" ht="15">
      <c r="A6" s="27" t="s">
        <v>0</v>
      </c>
      <c r="B6" s="57">
        <v>2002</v>
      </c>
      <c r="C6" s="40" t="s">
        <v>43</v>
      </c>
      <c r="D6" s="41">
        <f>'G-35 Customer Count'!C9</f>
        <v>7281</v>
      </c>
      <c r="E6" s="41">
        <v>1</v>
      </c>
      <c r="F6" s="41">
        <f>'G-36 Monthly Volumes'!C9</f>
        <v>4702239</v>
      </c>
      <c r="G6" s="42"/>
      <c r="H6" s="12">
        <f t="shared" si="0"/>
        <v>0.4024</v>
      </c>
      <c r="I6" s="6">
        <f t="shared" si="1"/>
        <v>0.000588</v>
      </c>
      <c r="J6" s="13">
        <f t="shared" si="2"/>
        <v>5694.790932</v>
      </c>
      <c r="K6" s="12">
        <f t="shared" si="3"/>
        <v>1.2132</v>
      </c>
      <c r="L6" s="6">
        <f t="shared" si="4"/>
        <v>0.001773</v>
      </c>
      <c r="M6" s="13">
        <f t="shared" si="5"/>
        <v>17170.378946999997</v>
      </c>
      <c r="N6" s="19"/>
      <c r="O6" s="13">
        <f t="shared" si="6"/>
        <v>0</v>
      </c>
      <c r="P6" s="19">
        <v>0</v>
      </c>
      <c r="Q6" s="13">
        <f t="shared" si="7"/>
        <v>0</v>
      </c>
      <c r="R6" s="13">
        <f t="shared" si="8"/>
        <v>22865.169878999997</v>
      </c>
    </row>
    <row r="7" spans="1:18" ht="15">
      <c r="A7" s="27" t="s">
        <v>0</v>
      </c>
      <c r="B7" s="57">
        <v>2002</v>
      </c>
      <c r="C7" s="40" t="s">
        <v>44</v>
      </c>
      <c r="D7" s="41">
        <f>'G-35 Customer Count'!C10</f>
        <v>15445</v>
      </c>
      <c r="E7" s="41">
        <v>1</v>
      </c>
      <c r="F7" s="41">
        <f>'G-36 Monthly Volumes'!C10</f>
        <v>10587584</v>
      </c>
      <c r="G7" s="42"/>
      <c r="H7" s="12">
        <f t="shared" si="0"/>
        <v>0.4024</v>
      </c>
      <c r="I7" s="6">
        <f t="shared" si="1"/>
        <v>0.000588</v>
      </c>
      <c r="J7" s="13">
        <f t="shared" si="2"/>
        <v>12440.567391999999</v>
      </c>
      <c r="K7" s="12">
        <f t="shared" si="3"/>
        <v>1.2132</v>
      </c>
      <c r="L7" s="6">
        <f t="shared" si="4"/>
        <v>0.001773</v>
      </c>
      <c r="M7" s="13">
        <f t="shared" si="5"/>
        <v>37509.660432000004</v>
      </c>
      <c r="N7" s="19"/>
      <c r="O7" s="13">
        <f t="shared" si="6"/>
        <v>0</v>
      </c>
      <c r="P7" s="19">
        <v>0</v>
      </c>
      <c r="Q7" s="13">
        <f t="shared" si="7"/>
        <v>0</v>
      </c>
      <c r="R7" s="13">
        <f t="shared" si="8"/>
        <v>49950.227824</v>
      </c>
    </row>
    <row r="8" spans="1:18" ht="15">
      <c r="A8" s="27" t="s">
        <v>0</v>
      </c>
      <c r="B8" s="57">
        <v>2002</v>
      </c>
      <c r="C8" s="40" t="s">
        <v>45</v>
      </c>
      <c r="D8" s="41">
        <f>'G-35 Customer Count'!C11</f>
        <v>11965</v>
      </c>
      <c r="E8" s="41">
        <v>1</v>
      </c>
      <c r="F8" s="41">
        <f>'G-36 Monthly Volumes'!C11</f>
        <v>10401651</v>
      </c>
      <c r="G8" s="42"/>
      <c r="H8" s="12">
        <f t="shared" si="0"/>
        <v>0.4024</v>
      </c>
      <c r="I8" s="6">
        <f t="shared" si="1"/>
        <v>0.000588</v>
      </c>
      <c r="J8" s="13">
        <f t="shared" si="2"/>
        <v>10930.886788</v>
      </c>
      <c r="K8" s="12">
        <f t="shared" si="3"/>
        <v>1.2132</v>
      </c>
      <c r="L8" s="6">
        <f t="shared" si="4"/>
        <v>0.001773</v>
      </c>
      <c r="M8" s="13">
        <f t="shared" si="5"/>
        <v>32958.065223</v>
      </c>
      <c r="N8" s="19"/>
      <c r="O8" s="13">
        <f t="shared" si="6"/>
        <v>0</v>
      </c>
      <c r="P8" s="19">
        <v>0</v>
      </c>
      <c r="Q8" s="13">
        <f t="shared" si="7"/>
        <v>0</v>
      </c>
      <c r="R8" s="13">
        <f t="shared" si="8"/>
        <v>43888.952011</v>
      </c>
    </row>
    <row r="9" spans="1:18" ht="15">
      <c r="A9" s="27" t="s">
        <v>0</v>
      </c>
      <c r="B9" s="57">
        <v>2002</v>
      </c>
      <c r="C9" s="40" t="s">
        <v>46</v>
      </c>
      <c r="D9" s="41">
        <f>'G-35 Customer Count'!C12</f>
        <v>16246</v>
      </c>
      <c r="E9" s="41">
        <v>1</v>
      </c>
      <c r="F9" s="41">
        <f>'G-36 Monthly Volumes'!C12</f>
        <v>13749814</v>
      </c>
      <c r="G9" s="42"/>
      <c r="H9" s="12">
        <f t="shared" si="0"/>
        <v>0.4024</v>
      </c>
      <c r="I9" s="6">
        <f t="shared" si="1"/>
        <v>0.000588</v>
      </c>
      <c r="J9" s="13">
        <f t="shared" si="2"/>
        <v>14622.281031999999</v>
      </c>
      <c r="K9" s="12">
        <f t="shared" si="3"/>
        <v>1.2132</v>
      </c>
      <c r="L9" s="6">
        <f t="shared" si="4"/>
        <v>0.001773</v>
      </c>
      <c r="M9" s="13">
        <f t="shared" si="5"/>
        <v>44088.067422</v>
      </c>
      <c r="N9" s="19"/>
      <c r="O9" s="13">
        <f t="shared" si="6"/>
        <v>0</v>
      </c>
      <c r="P9" s="19">
        <v>0</v>
      </c>
      <c r="Q9" s="13">
        <f t="shared" si="7"/>
        <v>0</v>
      </c>
      <c r="R9" s="13">
        <f t="shared" si="8"/>
        <v>58710.348454</v>
      </c>
    </row>
    <row r="10" spans="1:18" ht="15">
      <c r="A10" s="27" t="s">
        <v>0</v>
      </c>
      <c r="B10" s="57">
        <v>2002</v>
      </c>
      <c r="C10" s="40" t="s">
        <v>47</v>
      </c>
      <c r="D10" s="41">
        <f>'G-35 Customer Count'!C13</f>
        <v>10249</v>
      </c>
      <c r="E10" s="41">
        <v>1</v>
      </c>
      <c r="F10" s="41">
        <f>'G-36 Monthly Volumes'!C13</f>
        <v>6859862</v>
      </c>
      <c r="G10" s="42"/>
      <c r="H10" s="12">
        <f t="shared" si="0"/>
        <v>0.4024</v>
      </c>
      <c r="I10" s="6">
        <f t="shared" si="1"/>
        <v>0.000588</v>
      </c>
      <c r="J10" s="13">
        <f t="shared" si="2"/>
        <v>8157.796456</v>
      </c>
      <c r="K10" s="12">
        <f t="shared" si="3"/>
        <v>1.2132</v>
      </c>
      <c r="L10" s="6">
        <f t="shared" si="4"/>
        <v>0.001773</v>
      </c>
      <c r="M10" s="13">
        <f t="shared" si="5"/>
        <v>24596.622126000002</v>
      </c>
      <c r="N10" s="19"/>
      <c r="O10" s="13">
        <f t="shared" si="6"/>
        <v>0</v>
      </c>
      <c r="P10" s="19">
        <v>0</v>
      </c>
      <c r="Q10" s="13">
        <f t="shared" si="7"/>
        <v>0</v>
      </c>
      <c r="R10" s="13">
        <f t="shared" si="8"/>
        <v>32754.418582000002</v>
      </c>
    </row>
    <row r="11" spans="1:18" ht="15">
      <c r="A11" s="27" t="s">
        <v>0</v>
      </c>
      <c r="B11" s="57">
        <v>2002</v>
      </c>
      <c r="C11" s="40" t="s">
        <v>48</v>
      </c>
      <c r="D11" s="41">
        <f>'G-35 Customer Count'!C14</f>
        <v>10226</v>
      </c>
      <c r="E11" s="41">
        <v>1</v>
      </c>
      <c r="F11" s="41">
        <f>'G-36 Monthly Volumes'!C14</f>
        <v>6502462</v>
      </c>
      <c r="G11" s="42"/>
      <c r="H11" s="12">
        <f t="shared" si="0"/>
        <v>0.4024</v>
      </c>
      <c r="I11" s="6">
        <f t="shared" si="1"/>
        <v>0.000588</v>
      </c>
      <c r="J11" s="13">
        <f t="shared" si="2"/>
        <v>7938.390056</v>
      </c>
      <c r="K11" s="12">
        <f t="shared" si="3"/>
        <v>1.2132</v>
      </c>
      <c r="L11" s="6">
        <f t="shared" si="4"/>
        <v>0.001773</v>
      </c>
      <c r="M11" s="13">
        <f t="shared" si="5"/>
        <v>23935.048326000004</v>
      </c>
      <c r="N11" s="19"/>
      <c r="O11" s="13">
        <f t="shared" si="6"/>
        <v>0</v>
      </c>
      <c r="P11" s="19">
        <v>0</v>
      </c>
      <c r="Q11" s="13">
        <f t="shared" si="7"/>
        <v>0</v>
      </c>
      <c r="R11" s="13">
        <f t="shared" si="8"/>
        <v>31873.438382000004</v>
      </c>
    </row>
    <row r="12" spans="1:18" ht="15">
      <c r="A12" s="27" t="s">
        <v>0</v>
      </c>
      <c r="B12" s="57">
        <v>2002</v>
      </c>
      <c r="C12" s="40" t="s">
        <v>49</v>
      </c>
      <c r="D12" s="41">
        <f>'G-35 Customer Count'!C15</f>
        <v>12717</v>
      </c>
      <c r="E12" s="41">
        <v>1</v>
      </c>
      <c r="F12" s="41">
        <f>'G-36 Monthly Volumes'!C15</f>
        <v>9111356</v>
      </c>
      <c r="G12" s="42"/>
      <c r="H12" s="12">
        <f t="shared" si="0"/>
        <v>0.4024</v>
      </c>
      <c r="I12" s="6">
        <f t="shared" si="1"/>
        <v>0.000588</v>
      </c>
      <c r="J12" s="13">
        <f t="shared" si="2"/>
        <v>10474.798127999999</v>
      </c>
      <c r="K12" s="12">
        <f t="shared" si="3"/>
        <v>1.2132</v>
      </c>
      <c r="L12" s="6">
        <f t="shared" si="4"/>
        <v>0.001773</v>
      </c>
      <c r="M12" s="13">
        <f t="shared" si="5"/>
        <v>31582.698588</v>
      </c>
      <c r="N12" s="19"/>
      <c r="O12" s="13">
        <f t="shared" si="6"/>
        <v>0</v>
      </c>
      <c r="P12" s="19">
        <v>0</v>
      </c>
      <c r="Q12" s="13">
        <f t="shared" si="7"/>
        <v>0</v>
      </c>
      <c r="R12" s="13">
        <f t="shared" si="8"/>
        <v>42057.496715999994</v>
      </c>
    </row>
    <row r="13" spans="1:18" ht="15.75" thickBot="1">
      <c r="A13" s="27" t="s">
        <v>0</v>
      </c>
      <c r="B13" s="57">
        <v>2002</v>
      </c>
      <c r="C13" s="40" t="s">
        <v>38</v>
      </c>
      <c r="D13" s="41">
        <f>'G-35 Customer Count'!C16</f>
        <v>8343</v>
      </c>
      <c r="E13" s="41">
        <v>1</v>
      </c>
      <c r="F13" s="41">
        <f>'G-36 Monthly Volumes'!C16</f>
        <v>6493585.5</v>
      </c>
      <c r="G13" s="42"/>
      <c r="H13" s="12">
        <f t="shared" si="0"/>
        <v>0.4024</v>
      </c>
      <c r="I13" s="6">
        <f t="shared" si="1"/>
        <v>0.000588</v>
      </c>
      <c r="J13" s="13">
        <f t="shared" si="2"/>
        <v>7175.4514739999995</v>
      </c>
      <c r="K13" s="12">
        <f t="shared" si="3"/>
        <v>1.2132</v>
      </c>
      <c r="L13" s="6">
        <f t="shared" si="4"/>
        <v>0.001773</v>
      </c>
      <c r="M13" s="13">
        <f t="shared" si="5"/>
        <v>21634.8546915</v>
      </c>
      <c r="N13" s="19"/>
      <c r="O13" s="13">
        <f t="shared" si="6"/>
        <v>0</v>
      </c>
      <c r="P13" s="19">
        <v>0</v>
      </c>
      <c r="Q13" s="13">
        <f t="shared" si="7"/>
        <v>0</v>
      </c>
      <c r="R13" s="13">
        <f t="shared" si="8"/>
        <v>28810.3061655</v>
      </c>
    </row>
    <row r="14" spans="1:18" ht="15.75" thickBot="1">
      <c r="A14" s="59" t="s">
        <v>59</v>
      </c>
      <c r="B14" s="60"/>
      <c r="C14" s="61"/>
      <c r="D14" s="62">
        <f>SUM(D3:D13)</f>
        <v>119443</v>
      </c>
      <c r="E14" s="62"/>
      <c r="F14" s="62">
        <f>SUM(F3:F13)</f>
        <v>86660182.5</v>
      </c>
      <c r="G14" s="62">
        <f>SUM(G3:G13)</f>
        <v>0</v>
      </c>
      <c r="H14" s="64"/>
      <c r="I14" s="65"/>
      <c r="J14" s="66">
        <f>SUM(J3:J13)</f>
        <v>99020.05051</v>
      </c>
      <c r="K14" s="64"/>
      <c r="L14" s="65"/>
      <c r="M14" s="66">
        <f>SUM(M3:M13)</f>
        <v>298556.7511725</v>
      </c>
      <c r="N14" s="67"/>
      <c r="O14" s="66">
        <f>SUM(O3:O13)</f>
        <v>0</v>
      </c>
      <c r="P14" s="67"/>
      <c r="Q14" s="66">
        <f>SUM(Q3:Q13)</f>
        <v>0</v>
      </c>
      <c r="R14" s="66">
        <f>SUM(R3:R13)</f>
        <v>397576.8016825</v>
      </c>
    </row>
    <row r="15" spans="1:18" ht="15">
      <c r="A15" s="27"/>
      <c r="B15" s="57"/>
      <c r="C15" s="40"/>
      <c r="D15" s="41"/>
      <c r="E15" s="41"/>
      <c r="F15" s="41"/>
      <c r="G15" s="42"/>
      <c r="H15" s="12"/>
      <c r="I15" s="6"/>
      <c r="J15" s="13"/>
      <c r="K15" s="12"/>
      <c r="L15" s="6"/>
      <c r="M15" s="13"/>
      <c r="N15" s="19"/>
      <c r="O15" s="13"/>
      <c r="P15" s="19"/>
      <c r="Q15" s="13"/>
      <c r="R15" s="13"/>
    </row>
    <row r="16" spans="1:18" ht="15">
      <c r="A16" s="27" t="s">
        <v>1</v>
      </c>
      <c r="B16" s="57">
        <v>2002</v>
      </c>
      <c r="C16" s="40" t="s">
        <v>41</v>
      </c>
      <c r="D16" s="41">
        <f>'G-35 Customer Count'!D6</f>
        <v>453</v>
      </c>
      <c r="E16" s="41">
        <v>1</v>
      </c>
      <c r="F16" s="41">
        <f>'G-36 Monthly Volumes'!C24</f>
        <v>1387059.3333333333</v>
      </c>
      <c r="G16" s="42"/>
      <c r="H16" s="12">
        <f>0.6597</f>
        <v>0.6597</v>
      </c>
      <c r="I16" s="6">
        <f>0.000432</f>
        <v>0.000432</v>
      </c>
      <c r="J16" s="13">
        <f>D16*E16*H16+(F16+G16)*I16</f>
        <v>898.0537319999999</v>
      </c>
      <c r="K16" s="12">
        <f>1.9888</f>
        <v>1.9888</v>
      </c>
      <c r="L16" s="6">
        <f>0.001304</f>
        <v>0.001304</v>
      </c>
      <c r="M16" s="13">
        <f>D16*E16*K16+(F16+G16)*L16</f>
        <v>2709.6517706666664</v>
      </c>
      <c r="N16" s="19"/>
      <c r="O16" s="13">
        <f>(F16+G16)*N16</f>
        <v>0</v>
      </c>
      <c r="P16" s="19">
        <v>0</v>
      </c>
      <c r="Q16" s="13">
        <f>(F16+G16)*P16</f>
        <v>0</v>
      </c>
      <c r="R16" s="13">
        <f>J16+M16+O16+Q16</f>
        <v>3607.7055026666662</v>
      </c>
    </row>
    <row r="17" spans="1:18" ht="15">
      <c r="A17" s="27" t="s">
        <v>1</v>
      </c>
      <c r="B17" s="57">
        <v>2002</v>
      </c>
      <c r="C17" s="40" t="s">
        <v>42</v>
      </c>
      <c r="D17" s="41">
        <f>'G-35 Customer Count'!D7</f>
        <v>1003</v>
      </c>
      <c r="E17" s="41">
        <v>1</v>
      </c>
      <c r="F17" s="41">
        <f>'G-36 Monthly Volumes'!C25</f>
        <v>1273414.3333333333</v>
      </c>
      <c r="G17" s="42"/>
      <c r="H17" s="12">
        <f aca="true" t="shared" si="9" ref="H17:H26">0.6597</f>
        <v>0.6597</v>
      </c>
      <c r="I17" s="6">
        <f aca="true" t="shared" si="10" ref="I17:I26">0.000432</f>
        <v>0.000432</v>
      </c>
      <c r="J17" s="13">
        <f aca="true" t="shared" si="11" ref="J17:J25">D17*E17*H17+(F17+G17)*I17</f>
        <v>1211.7940919999999</v>
      </c>
      <c r="K17" s="12">
        <f aca="true" t="shared" si="12" ref="K17:K26">1.9888</f>
        <v>1.9888</v>
      </c>
      <c r="L17" s="6">
        <f aca="true" t="shared" si="13" ref="L17:L26">0.001304</f>
        <v>0.001304</v>
      </c>
      <c r="M17" s="13">
        <f aca="true" t="shared" si="14" ref="M17:M25">D17*E17*K17+(F17+G17)*L17</f>
        <v>3655.2986906666665</v>
      </c>
      <c r="N17" s="19"/>
      <c r="O17" s="13">
        <f aca="true" t="shared" si="15" ref="O17:O25">(F17+G17)*N17</f>
        <v>0</v>
      </c>
      <c r="P17" s="19">
        <v>0</v>
      </c>
      <c r="Q17" s="13">
        <f aca="true" t="shared" si="16" ref="Q17:Q25">(F17+G17)*P17</f>
        <v>0</v>
      </c>
      <c r="R17" s="13">
        <f aca="true" t="shared" si="17" ref="R17:R25">J17+M17+O17+Q17</f>
        <v>4867.092782666667</v>
      </c>
    </row>
    <row r="18" spans="1:18" ht="15">
      <c r="A18" s="27" t="s">
        <v>1</v>
      </c>
      <c r="B18" s="57">
        <v>2002</v>
      </c>
      <c r="C18" s="40" t="s">
        <v>35</v>
      </c>
      <c r="D18" s="41">
        <f>'G-35 Customer Count'!D8</f>
        <v>1325</v>
      </c>
      <c r="E18" s="41">
        <v>1</v>
      </c>
      <c r="F18" s="41">
        <f>'G-36 Monthly Volumes'!C26</f>
        <v>2894570.3333333335</v>
      </c>
      <c r="G18" s="42"/>
      <c r="H18" s="12">
        <f t="shared" si="9"/>
        <v>0.6597</v>
      </c>
      <c r="I18" s="6">
        <f t="shared" si="10"/>
        <v>0.000432</v>
      </c>
      <c r="J18" s="13">
        <f t="shared" si="11"/>
        <v>2124.556884</v>
      </c>
      <c r="K18" s="12">
        <f t="shared" si="12"/>
        <v>1.9888</v>
      </c>
      <c r="L18" s="6">
        <f t="shared" si="13"/>
        <v>0.001304</v>
      </c>
      <c r="M18" s="13">
        <f t="shared" si="14"/>
        <v>6409.679714666667</v>
      </c>
      <c r="N18" s="19"/>
      <c r="O18" s="13">
        <f t="shared" si="15"/>
        <v>0</v>
      </c>
      <c r="P18" s="19">
        <v>0</v>
      </c>
      <c r="Q18" s="13">
        <f t="shared" si="16"/>
        <v>0</v>
      </c>
      <c r="R18" s="13">
        <f t="shared" si="17"/>
        <v>8534.236598666666</v>
      </c>
    </row>
    <row r="19" spans="1:18" ht="15">
      <c r="A19" s="27" t="s">
        <v>1</v>
      </c>
      <c r="B19" s="57">
        <v>2002</v>
      </c>
      <c r="C19" s="40" t="s">
        <v>43</v>
      </c>
      <c r="D19" s="41">
        <f>'G-35 Customer Count'!D9</f>
        <v>898</v>
      </c>
      <c r="E19" s="41">
        <v>1</v>
      </c>
      <c r="F19" s="41">
        <f>'G-36 Monthly Volumes'!C27</f>
        <v>2861957.3333333335</v>
      </c>
      <c r="G19" s="42"/>
      <c r="H19" s="12">
        <f t="shared" si="9"/>
        <v>0.6597</v>
      </c>
      <c r="I19" s="6">
        <f t="shared" si="10"/>
        <v>0.000432</v>
      </c>
      <c r="J19" s="13">
        <f t="shared" si="11"/>
        <v>1828.7761679999999</v>
      </c>
      <c r="K19" s="12">
        <f t="shared" si="12"/>
        <v>1.9888</v>
      </c>
      <c r="L19" s="6">
        <f t="shared" si="13"/>
        <v>0.001304</v>
      </c>
      <c r="M19" s="13">
        <f t="shared" si="14"/>
        <v>5517.934762666667</v>
      </c>
      <c r="N19" s="19"/>
      <c r="O19" s="13">
        <f t="shared" si="15"/>
        <v>0</v>
      </c>
      <c r="P19" s="19">
        <v>0</v>
      </c>
      <c r="Q19" s="13">
        <f t="shared" si="16"/>
        <v>0</v>
      </c>
      <c r="R19" s="13">
        <f t="shared" si="17"/>
        <v>7346.710930666666</v>
      </c>
    </row>
    <row r="20" spans="1:18" ht="15">
      <c r="A20" s="27" t="s">
        <v>1</v>
      </c>
      <c r="B20" s="57">
        <v>2002</v>
      </c>
      <c r="C20" s="40" t="s">
        <v>44</v>
      </c>
      <c r="D20" s="41">
        <f>'G-35 Customer Count'!D10</f>
        <v>1099</v>
      </c>
      <c r="E20" s="41">
        <v>1</v>
      </c>
      <c r="F20" s="41">
        <f>'G-36 Monthly Volumes'!C28</f>
        <v>3636147.3333333335</v>
      </c>
      <c r="G20" s="42"/>
      <c r="H20" s="12">
        <f t="shared" si="9"/>
        <v>0.6597</v>
      </c>
      <c r="I20" s="6">
        <f t="shared" si="10"/>
        <v>0.000432</v>
      </c>
      <c r="J20" s="13">
        <f t="shared" si="11"/>
        <v>2295.8259479999997</v>
      </c>
      <c r="K20" s="12">
        <f t="shared" si="12"/>
        <v>1.9888</v>
      </c>
      <c r="L20" s="6">
        <f t="shared" si="13"/>
        <v>0.001304</v>
      </c>
      <c r="M20" s="13">
        <f t="shared" si="14"/>
        <v>6927.2273226666675</v>
      </c>
      <c r="N20" s="19"/>
      <c r="O20" s="13">
        <f t="shared" si="15"/>
        <v>0</v>
      </c>
      <c r="P20" s="19">
        <v>0</v>
      </c>
      <c r="Q20" s="13">
        <f t="shared" si="16"/>
        <v>0</v>
      </c>
      <c r="R20" s="13">
        <f t="shared" si="17"/>
        <v>9223.053270666667</v>
      </c>
    </row>
    <row r="21" spans="1:18" ht="15">
      <c r="A21" s="27" t="s">
        <v>1</v>
      </c>
      <c r="B21" s="57">
        <v>2002</v>
      </c>
      <c r="C21" s="40" t="s">
        <v>45</v>
      </c>
      <c r="D21" s="41">
        <f>'G-35 Customer Count'!D11</f>
        <v>438</v>
      </c>
      <c r="E21" s="41">
        <v>1</v>
      </c>
      <c r="F21" s="41">
        <f>'G-36 Monthly Volumes'!C29</f>
        <v>1689721.3333333333</v>
      </c>
      <c r="G21" s="42"/>
      <c r="H21" s="12">
        <f t="shared" si="9"/>
        <v>0.6597</v>
      </c>
      <c r="I21" s="6">
        <f t="shared" si="10"/>
        <v>0.000432</v>
      </c>
      <c r="J21" s="13">
        <f t="shared" si="11"/>
        <v>1018.908216</v>
      </c>
      <c r="K21" s="12">
        <f t="shared" si="12"/>
        <v>1.9888</v>
      </c>
      <c r="L21" s="6">
        <f t="shared" si="13"/>
        <v>0.001304</v>
      </c>
      <c r="M21" s="13">
        <f t="shared" si="14"/>
        <v>3074.4910186666666</v>
      </c>
      <c r="N21" s="19"/>
      <c r="O21" s="13">
        <f t="shared" si="15"/>
        <v>0</v>
      </c>
      <c r="P21" s="19">
        <v>0</v>
      </c>
      <c r="Q21" s="13">
        <f t="shared" si="16"/>
        <v>0</v>
      </c>
      <c r="R21" s="13">
        <f t="shared" si="17"/>
        <v>4093.3992346666664</v>
      </c>
    </row>
    <row r="22" spans="1:18" ht="15">
      <c r="A22" s="27" t="s">
        <v>1</v>
      </c>
      <c r="B22" s="57">
        <v>2002</v>
      </c>
      <c r="C22" s="40" t="s">
        <v>46</v>
      </c>
      <c r="D22" s="41">
        <f>'G-35 Customer Count'!D12</f>
        <v>2042</v>
      </c>
      <c r="E22" s="41">
        <v>1</v>
      </c>
      <c r="F22" s="41">
        <f>'G-36 Monthly Volumes'!C30</f>
        <v>7202127.333333333</v>
      </c>
      <c r="G22" s="42"/>
      <c r="H22" s="12">
        <f t="shared" si="9"/>
        <v>0.6597</v>
      </c>
      <c r="I22" s="6">
        <f t="shared" si="10"/>
        <v>0.000432</v>
      </c>
      <c r="J22" s="13">
        <f t="shared" si="11"/>
        <v>4458.426407999999</v>
      </c>
      <c r="K22" s="12">
        <f t="shared" si="12"/>
        <v>1.9888</v>
      </c>
      <c r="L22" s="6">
        <f t="shared" si="13"/>
        <v>0.001304</v>
      </c>
      <c r="M22" s="13">
        <f t="shared" si="14"/>
        <v>13452.703642666667</v>
      </c>
      <c r="N22" s="19"/>
      <c r="O22" s="13">
        <f t="shared" si="15"/>
        <v>0</v>
      </c>
      <c r="P22" s="19">
        <v>0</v>
      </c>
      <c r="Q22" s="13">
        <f t="shared" si="16"/>
        <v>0</v>
      </c>
      <c r="R22" s="13">
        <f t="shared" si="17"/>
        <v>17911.130050666667</v>
      </c>
    </row>
    <row r="23" spans="1:18" ht="15">
      <c r="A23" s="27" t="s">
        <v>1</v>
      </c>
      <c r="B23" s="57">
        <v>2002</v>
      </c>
      <c r="C23" s="40" t="s">
        <v>47</v>
      </c>
      <c r="D23" s="41">
        <f>'G-35 Customer Count'!D13</f>
        <v>1199</v>
      </c>
      <c r="E23" s="41">
        <v>1</v>
      </c>
      <c r="F23" s="41">
        <f>'G-36 Monthly Volumes'!C31</f>
        <v>10010904.333333334</v>
      </c>
      <c r="G23" s="42"/>
      <c r="H23" s="12">
        <f t="shared" si="9"/>
        <v>0.6597</v>
      </c>
      <c r="I23" s="6">
        <f t="shared" si="10"/>
        <v>0.000432</v>
      </c>
      <c r="J23" s="13">
        <f t="shared" si="11"/>
        <v>5115.690972</v>
      </c>
      <c r="K23" s="12">
        <f t="shared" si="12"/>
        <v>1.9888</v>
      </c>
      <c r="L23" s="6">
        <f t="shared" si="13"/>
        <v>0.001304</v>
      </c>
      <c r="M23" s="13">
        <f t="shared" si="14"/>
        <v>15438.790450666667</v>
      </c>
      <c r="N23" s="19"/>
      <c r="O23" s="13">
        <f t="shared" si="15"/>
        <v>0</v>
      </c>
      <c r="P23" s="19">
        <v>0</v>
      </c>
      <c r="Q23" s="13">
        <f t="shared" si="16"/>
        <v>0</v>
      </c>
      <c r="R23" s="13">
        <f t="shared" si="17"/>
        <v>20554.481422666668</v>
      </c>
    </row>
    <row r="24" spans="1:18" ht="15">
      <c r="A24" s="27" t="s">
        <v>1</v>
      </c>
      <c r="B24" s="57">
        <v>2002</v>
      </c>
      <c r="C24" s="40" t="s">
        <v>48</v>
      </c>
      <c r="D24" s="41">
        <f>'G-35 Customer Count'!D14</f>
        <v>1157</v>
      </c>
      <c r="E24" s="41">
        <v>1</v>
      </c>
      <c r="F24" s="41">
        <f>'G-36 Monthly Volumes'!C32</f>
        <v>467216.3333333333</v>
      </c>
      <c r="G24" s="42"/>
      <c r="H24" s="12">
        <f t="shared" si="9"/>
        <v>0.6597</v>
      </c>
      <c r="I24" s="6">
        <f t="shared" si="10"/>
        <v>0.000432</v>
      </c>
      <c r="J24" s="13">
        <f t="shared" si="11"/>
        <v>965.1103559999999</v>
      </c>
      <c r="K24" s="12">
        <f t="shared" si="12"/>
        <v>1.9888</v>
      </c>
      <c r="L24" s="6">
        <f t="shared" si="13"/>
        <v>0.001304</v>
      </c>
      <c r="M24" s="13">
        <f t="shared" si="14"/>
        <v>2910.291698666667</v>
      </c>
      <c r="N24" s="19"/>
      <c r="O24" s="13">
        <f t="shared" si="15"/>
        <v>0</v>
      </c>
      <c r="P24" s="19">
        <v>0</v>
      </c>
      <c r="Q24" s="13">
        <f t="shared" si="16"/>
        <v>0</v>
      </c>
      <c r="R24" s="13">
        <f t="shared" si="17"/>
        <v>3875.402054666667</v>
      </c>
    </row>
    <row r="25" spans="1:18" ht="15">
      <c r="A25" s="27" t="s">
        <v>1</v>
      </c>
      <c r="B25" s="57">
        <v>2002</v>
      </c>
      <c r="C25" s="40" t="s">
        <v>49</v>
      </c>
      <c r="D25" s="41">
        <f>'G-35 Customer Count'!D15</f>
        <v>322</v>
      </c>
      <c r="E25" s="41">
        <v>1</v>
      </c>
      <c r="F25" s="41">
        <f>'G-36 Monthly Volumes'!C33</f>
        <v>-2377226.6666666665</v>
      </c>
      <c r="G25" s="42"/>
      <c r="H25" s="12">
        <f t="shared" si="9"/>
        <v>0.6597</v>
      </c>
      <c r="I25" s="6">
        <f t="shared" si="10"/>
        <v>0.000432</v>
      </c>
      <c r="J25" s="13">
        <f t="shared" si="11"/>
        <v>-814.53852</v>
      </c>
      <c r="K25" s="12">
        <f t="shared" si="12"/>
        <v>1.9888</v>
      </c>
      <c r="L25" s="6">
        <f t="shared" si="13"/>
        <v>0.001304</v>
      </c>
      <c r="M25" s="13">
        <f t="shared" si="14"/>
        <v>-2459.509973333333</v>
      </c>
      <c r="N25" s="19"/>
      <c r="O25" s="13">
        <f t="shared" si="15"/>
        <v>0</v>
      </c>
      <c r="P25" s="19">
        <v>0</v>
      </c>
      <c r="Q25" s="13">
        <f t="shared" si="16"/>
        <v>0</v>
      </c>
      <c r="R25" s="13">
        <f t="shared" si="17"/>
        <v>-3274.048493333333</v>
      </c>
    </row>
    <row r="26" spans="1:18" ht="15.75" thickBot="1">
      <c r="A26" s="27" t="s">
        <v>1</v>
      </c>
      <c r="B26" s="57">
        <v>2002</v>
      </c>
      <c r="C26" s="40" t="s">
        <v>38</v>
      </c>
      <c r="D26" s="41">
        <f>'G-35 Customer Count'!D16</f>
        <v>946</v>
      </c>
      <c r="E26" s="41">
        <v>1</v>
      </c>
      <c r="F26" s="41">
        <f>'G-36 Monthly Volumes'!C34</f>
        <v>3384914</v>
      </c>
      <c r="G26" s="42"/>
      <c r="H26" s="12">
        <f t="shared" si="9"/>
        <v>0.6597</v>
      </c>
      <c r="I26" s="6">
        <f t="shared" si="10"/>
        <v>0.000432</v>
      </c>
      <c r="J26" s="13">
        <f>D26*E26*H26+(F26+G26)*I26</f>
        <v>2086.3590480000003</v>
      </c>
      <c r="K26" s="12">
        <f t="shared" si="12"/>
        <v>1.9888</v>
      </c>
      <c r="L26" s="6">
        <f t="shared" si="13"/>
        <v>0.001304</v>
      </c>
      <c r="M26" s="13">
        <f>D26*E26*K26+(F26+G26)*L26</f>
        <v>6295.3326560000005</v>
      </c>
      <c r="N26" s="19"/>
      <c r="O26" s="13">
        <f>(F26+G26)*N26</f>
        <v>0</v>
      </c>
      <c r="P26" s="19">
        <v>0</v>
      </c>
      <c r="Q26" s="13">
        <f>(F26+G26)*P26</f>
        <v>0</v>
      </c>
      <c r="R26" s="13">
        <f>J26+M26+O26+Q26</f>
        <v>8381.691704</v>
      </c>
    </row>
    <row r="27" spans="1:18" ht="15.75" thickBot="1">
      <c r="A27" s="59" t="s">
        <v>60</v>
      </c>
      <c r="B27" s="60"/>
      <c r="C27" s="61"/>
      <c r="D27" s="62">
        <f>SUM(D16:D26)</f>
        <v>10882</v>
      </c>
      <c r="E27" s="62"/>
      <c r="F27" s="62">
        <f>SUM(F16:F26)</f>
        <v>32430805.333333336</v>
      </c>
      <c r="G27" s="62">
        <f>SUM(G16:G26)</f>
        <v>0</v>
      </c>
      <c r="H27" s="64"/>
      <c r="I27" s="65"/>
      <c r="J27" s="66">
        <f>SUM(J16:J26)</f>
        <v>21188.963304000004</v>
      </c>
      <c r="K27" s="64"/>
      <c r="L27" s="65"/>
      <c r="M27" s="66">
        <f>SUM(M16:M26)</f>
        <v>63931.89175466667</v>
      </c>
      <c r="N27" s="67"/>
      <c r="O27" s="66">
        <f>SUM(O16:O26)</f>
        <v>0</v>
      </c>
      <c r="P27" s="67"/>
      <c r="Q27" s="66">
        <f>SUM(Q16:Q26)</f>
        <v>0</v>
      </c>
      <c r="R27" s="66">
        <f>SUM(R16:R26)</f>
        <v>85120.85505866667</v>
      </c>
    </row>
    <row r="28" spans="1:18" ht="15">
      <c r="A28" s="27"/>
      <c r="B28" s="57"/>
      <c r="C28" s="40"/>
      <c r="D28" s="41"/>
      <c r="E28" s="41"/>
      <c r="F28" s="41"/>
      <c r="G28" s="42"/>
      <c r="H28" s="12"/>
      <c r="I28" s="6"/>
      <c r="J28" s="13"/>
      <c r="K28" s="12"/>
      <c r="L28" s="6"/>
      <c r="M28" s="13"/>
      <c r="N28" s="19"/>
      <c r="O28" s="13"/>
      <c r="P28" s="19"/>
      <c r="Q28" s="13"/>
      <c r="R28" s="13"/>
    </row>
    <row r="29" spans="1:18" ht="15">
      <c r="A29" s="27" t="s">
        <v>8</v>
      </c>
      <c r="B29" s="57">
        <v>2002</v>
      </c>
      <c r="C29" s="40" t="s">
        <v>41</v>
      </c>
      <c r="D29" s="41">
        <f>'G-35 Customer Count'!E6</f>
        <v>51</v>
      </c>
      <c r="E29" s="41">
        <v>1</v>
      </c>
      <c r="F29" s="41">
        <f>'G-36 Monthly Volumes'!C42</f>
        <v>6968.666666666667</v>
      </c>
      <c r="G29" s="42"/>
      <c r="H29" s="12">
        <f>0.6597</f>
        <v>0.6597</v>
      </c>
      <c r="I29" s="6">
        <f>0.000432</f>
        <v>0.000432</v>
      </c>
      <c r="J29" s="13">
        <f>D29*E29*H29+(F29+G29)*I29</f>
        <v>36.655164</v>
      </c>
      <c r="K29" s="12">
        <f>1.9888</f>
        <v>1.9888</v>
      </c>
      <c r="L29" s="6">
        <f>0.001304</f>
        <v>0.001304</v>
      </c>
      <c r="M29" s="13">
        <f>D29*E29*K29+(F29+G29)*L29</f>
        <v>110.51594133333333</v>
      </c>
      <c r="N29" s="19"/>
      <c r="O29" s="13">
        <f>(F29+G29)*N29</f>
        <v>0</v>
      </c>
      <c r="P29" s="19">
        <v>0</v>
      </c>
      <c r="Q29" s="13">
        <f>(F29+G29)*P29</f>
        <v>0</v>
      </c>
      <c r="R29" s="13">
        <f>J29+M29+O29+Q29</f>
        <v>147.17110533333334</v>
      </c>
    </row>
    <row r="30" spans="1:18" ht="15">
      <c r="A30" s="27" t="s">
        <v>8</v>
      </c>
      <c r="B30" s="57">
        <v>2002</v>
      </c>
      <c r="C30" s="40" t="s">
        <v>42</v>
      </c>
      <c r="D30" s="41">
        <f>'G-35 Customer Count'!E7</f>
        <v>51</v>
      </c>
      <c r="E30" s="41">
        <v>1</v>
      </c>
      <c r="F30" s="41">
        <f>'G-36 Monthly Volumes'!C43</f>
        <v>6968.666666666667</v>
      </c>
      <c r="G30" s="42"/>
      <c r="H30" s="12">
        <f aca="true" t="shared" si="18" ref="H30:H39">0.6597</f>
        <v>0.6597</v>
      </c>
      <c r="I30" s="6">
        <f aca="true" t="shared" si="19" ref="I30:I39">0.000432</f>
        <v>0.000432</v>
      </c>
      <c r="J30" s="13">
        <f aca="true" t="shared" si="20" ref="J30:J38">D30*E30*H30+(F30+G30)*I30</f>
        <v>36.655164</v>
      </c>
      <c r="K30" s="12">
        <f aca="true" t="shared" si="21" ref="K30:K39">1.9888</f>
        <v>1.9888</v>
      </c>
      <c r="L30" s="6">
        <f aca="true" t="shared" si="22" ref="L30:L39">0.001304</f>
        <v>0.001304</v>
      </c>
      <c r="M30" s="13">
        <f aca="true" t="shared" si="23" ref="M30:M38">D30*E30*K30+(F30+G30)*L30</f>
        <v>110.51594133333333</v>
      </c>
      <c r="N30" s="19"/>
      <c r="O30" s="13">
        <f aca="true" t="shared" si="24" ref="O30:O38">(F30+G30)*N30</f>
        <v>0</v>
      </c>
      <c r="P30" s="19">
        <v>0</v>
      </c>
      <c r="Q30" s="13">
        <f aca="true" t="shared" si="25" ref="Q30:Q38">(F30+G30)*P30</f>
        <v>0</v>
      </c>
      <c r="R30" s="13">
        <f aca="true" t="shared" si="26" ref="R30:R38">J30+M30+O30+Q30</f>
        <v>147.17110533333334</v>
      </c>
    </row>
    <row r="31" spans="1:18" ht="15">
      <c r="A31" s="27" t="s">
        <v>8</v>
      </c>
      <c r="B31" s="57">
        <v>2002</v>
      </c>
      <c r="C31" s="40" t="s">
        <v>35</v>
      </c>
      <c r="D31" s="41">
        <f>'G-35 Customer Count'!E8</f>
        <v>51</v>
      </c>
      <c r="E31" s="41">
        <v>1</v>
      </c>
      <c r="F31" s="41">
        <f>'G-36 Monthly Volumes'!C44</f>
        <v>6968.666666666667</v>
      </c>
      <c r="G31" s="42"/>
      <c r="H31" s="12">
        <f t="shared" si="18"/>
        <v>0.6597</v>
      </c>
      <c r="I31" s="6">
        <f t="shared" si="19"/>
        <v>0.000432</v>
      </c>
      <c r="J31" s="13">
        <f t="shared" si="20"/>
        <v>36.655164</v>
      </c>
      <c r="K31" s="12">
        <f t="shared" si="21"/>
        <v>1.9888</v>
      </c>
      <c r="L31" s="6">
        <f t="shared" si="22"/>
        <v>0.001304</v>
      </c>
      <c r="M31" s="13">
        <f t="shared" si="23"/>
        <v>110.51594133333333</v>
      </c>
      <c r="N31" s="19"/>
      <c r="O31" s="13">
        <f t="shared" si="24"/>
        <v>0</v>
      </c>
      <c r="P31" s="19">
        <v>0</v>
      </c>
      <c r="Q31" s="13">
        <f t="shared" si="25"/>
        <v>0</v>
      </c>
      <c r="R31" s="13">
        <f t="shared" si="26"/>
        <v>147.17110533333334</v>
      </c>
    </row>
    <row r="32" spans="1:18" ht="15">
      <c r="A32" s="27" t="s">
        <v>8</v>
      </c>
      <c r="B32" s="57">
        <v>2002</v>
      </c>
      <c r="C32" s="40" t="s">
        <v>43</v>
      </c>
      <c r="D32" s="41">
        <f>'G-35 Customer Count'!E9</f>
        <v>51</v>
      </c>
      <c r="E32" s="41">
        <v>1</v>
      </c>
      <c r="F32" s="41">
        <f>'G-36 Monthly Volumes'!C45</f>
        <v>6968.666666666667</v>
      </c>
      <c r="G32" s="42"/>
      <c r="H32" s="12">
        <f t="shared" si="18"/>
        <v>0.6597</v>
      </c>
      <c r="I32" s="6">
        <f t="shared" si="19"/>
        <v>0.000432</v>
      </c>
      <c r="J32" s="13">
        <f t="shared" si="20"/>
        <v>36.655164</v>
      </c>
      <c r="K32" s="12">
        <f t="shared" si="21"/>
        <v>1.9888</v>
      </c>
      <c r="L32" s="6">
        <f t="shared" si="22"/>
        <v>0.001304</v>
      </c>
      <c r="M32" s="13">
        <f t="shared" si="23"/>
        <v>110.51594133333333</v>
      </c>
      <c r="N32" s="19"/>
      <c r="O32" s="13">
        <f t="shared" si="24"/>
        <v>0</v>
      </c>
      <c r="P32" s="19">
        <v>0</v>
      </c>
      <c r="Q32" s="13">
        <f t="shared" si="25"/>
        <v>0</v>
      </c>
      <c r="R32" s="13">
        <f t="shared" si="26"/>
        <v>147.17110533333334</v>
      </c>
    </row>
    <row r="33" spans="1:18" ht="15">
      <c r="A33" s="27" t="s">
        <v>8</v>
      </c>
      <c r="B33" s="57">
        <v>2002</v>
      </c>
      <c r="C33" s="40" t="s">
        <v>44</v>
      </c>
      <c r="D33" s="41">
        <f>'G-35 Customer Count'!E10</f>
        <v>51</v>
      </c>
      <c r="E33" s="41">
        <v>1</v>
      </c>
      <c r="F33" s="41">
        <f>'G-36 Monthly Volumes'!C46</f>
        <v>6968.666666666667</v>
      </c>
      <c r="G33" s="42"/>
      <c r="H33" s="12">
        <f t="shared" si="18"/>
        <v>0.6597</v>
      </c>
      <c r="I33" s="6">
        <f t="shared" si="19"/>
        <v>0.000432</v>
      </c>
      <c r="J33" s="13">
        <f t="shared" si="20"/>
        <v>36.655164</v>
      </c>
      <c r="K33" s="12">
        <f t="shared" si="21"/>
        <v>1.9888</v>
      </c>
      <c r="L33" s="6">
        <f t="shared" si="22"/>
        <v>0.001304</v>
      </c>
      <c r="M33" s="13">
        <f t="shared" si="23"/>
        <v>110.51594133333333</v>
      </c>
      <c r="N33" s="19"/>
      <c r="O33" s="13">
        <f t="shared" si="24"/>
        <v>0</v>
      </c>
      <c r="P33" s="19">
        <v>0</v>
      </c>
      <c r="Q33" s="13">
        <f t="shared" si="25"/>
        <v>0</v>
      </c>
      <c r="R33" s="13">
        <f t="shared" si="26"/>
        <v>147.17110533333334</v>
      </c>
    </row>
    <row r="34" spans="1:18" ht="15">
      <c r="A34" s="27" t="s">
        <v>8</v>
      </c>
      <c r="B34" s="57">
        <v>2002</v>
      </c>
      <c r="C34" s="40" t="s">
        <v>45</v>
      </c>
      <c r="D34" s="41">
        <f>'G-35 Customer Count'!E11</f>
        <v>51</v>
      </c>
      <c r="E34" s="41">
        <v>1</v>
      </c>
      <c r="F34" s="41">
        <f>'G-36 Monthly Volumes'!C47</f>
        <v>6968.666666666667</v>
      </c>
      <c r="G34" s="42"/>
      <c r="H34" s="12">
        <f t="shared" si="18"/>
        <v>0.6597</v>
      </c>
      <c r="I34" s="6">
        <f t="shared" si="19"/>
        <v>0.000432</v>
      </c>
      <c r="J34" s="13">
        <f t="shared" si="20"/>
        <v>36.655164</v>
      </c>
      <c r="K34" s="12">
        <f t="shared" si="21"/>
        <v>1.9888</v>
      </c>
      <c r="L34" s="6">
        <f t="shared" si="22"/>
        <v>0.001304</v>
      </c>
      <c r="M34" s="13">
        <f t="shared" si="23"/>
        <v>110.51594133333333</v>
      </c>
      <c r="N34" s="19"/>
      <c r="O34" s="13">
        <f t="shared" si="24"/>
        <v>0</v>
      </c>
      <c r="P34" s="19">
        <v>0</v>
      </c>
      <c r="Q34" s="13">
        <f t="shared" si="25"/>
        <v>0</v>
      </c>
      <c r="R34" s="13">
        <f t="shared" si="26"/>
        <v>147.17110533333334</v>
      </c>
    </row>
    <row r="35" spans="1:18" ht="15">
      <c r="A35" s="27" t="s">
        <v>8</v>
      </c>
      <c r="B35" s="57">
        <v>2002</v>
      </c>
      <c r="C35" s="40" t="s">
        <v>46</v>
      </c>
      <c r="D35" s="41">
        <f>'G-35 Customer Count'!E12</f>
        <v>51</v>
      </c>
      <c r="E35" s="41">
        <v>1</v>
      </c>
      <c r="F35" s="41">
        <f>'G-36 Monthly Volumes'!C48</f>
        <v>6968.666666666667</v>
      </c>
      <c r="G35" s="42"/>
      <c r="H35" s="12">
        <f t="shared" si="18"/>
        <v>0.6597</v>
      </c>
      <c r="I35" s="6">
        <f t="shared" si="19"/>
        <v>0.000432</v>
      </c>
      <c r="J35" s="13">
        <f t="shared" si="20"/>
        <v>36.655164</v>
      </c>
      <c r="K35" s="12">
        <f t="shared" si="21"/>
        <v>1.9888</v>
      </c>
      <c r="L35" s="6">
        <f t="shared" si="22"/>
        <v>0.001304</v>
      </c>
      <c r="M35" s="13">
        <f t="shared" si="23"/>
        <v>110.51594133333333</v>
      </c>
      <c r="N35" s="19"/>
      <c r="O35" s="13">
        <f t="shared" si="24"/>
        <v>0</v>
      </c>
      <c r="P35" s="19">
        <v>0</v>
      </c>
      <c r="Q35" s="13">
        <f t="shared" si="25"/>
        <v>0</v>
      </c>
      <c r="R35" s="13">
        <f t="shared" si="26"/>
        <v>147.17110533333334</v>
      </c>
    </row>
    <row r="36" spans="1:18" ht="15">
      <c r="A36" s="27" t="s">
        <v>8</v>
      </c>
      <c r="B36" s="57">
        <v>2002</v>
      </c>
      <c r="C36" s="40" t="s">
        <v>47</v>
      </c>
      <c r="D36" s="41">
        <f>'G-35 Customer Count'!E13</f>
        <v>51</v>
      </c>
      <c r="E36" s="41">
        <v>1</v>
      </c>
      <c r="F36" s="41">
        <f>'G-36 Monthly Volumes'!C49</f>
        <v>6968.666666666667</v>
      </c>
      <c r="G36" s="42"/>
      <c r="H36" s="12">
        <f t="shared" si="18"/>
        <v>0.6597</v>
      </c>
      <c r="I36" s="6">
        <f t="shared" si="19"/>
        <v>0.000432</v>
      </c>
      <c r="J36" s="13">
        <f t="shared" si="20"/>
        <v>36.655164</v>
      </c>
      <c r="K36" s="12">
        <f t="shared" si="21"/>
        <v>1.9888</v>
      </c>
      <c r="L36" s="6">
        <f t="shared" si="22"/>
        <v>0.001304</v>
      </c>
      <c r="M36" s="13">
        <f t="shared" si="23"/>
        <v>110.51594133333333</v>
      </c>
      <c r="N36" s="19"/>
      <c r="O36" s="13">
        <f t="shared" si="24"/>
        <v>0</v>
      </c>
      <c r="P36" s="19">
        <v>0</v>
      </c>
      <c r="Q36" s="13">
        <f t="shared" si="25"/>
        <v>0</v>
      </c>
      <c r="R36" s="13">
        <f t="shared" si="26"/>
        <v>147.17110533333334</v>
      </c>
    </row>
    <row r="37" spans="1:18" ht="15">
      <c r="A37" s="27" t="s">
        <v>8</v>
      </c>
      <c r="B37" s="57">
        <v>2002</v>
      </c>
      <c r="C37" s="40" t="s">
        <v>48</v>
      </c>
      <c r="D37" s="41">
        <f>'G-35 Customer Count'!E14</f>
        <v>51</v>
      </c>
      <c r="E37" s="41">
        <v>1</v>
      </c>
      <c r="F37" s="41">
        <f>'G-36 Monthly Volumes'!C50</f>
        <v>6968.666666666667</v>
      </c>
      <c r="G37" s="42"/>
      <c r="H37" s="12">
        <f t="shared" si="18"/>
        <v>0.6597</v>
      </c>
      <c r="I37" s="6">
        <f t="shared" si="19"/>
        <v>0.000432</v>
      </c>
      <c r="J37" s="13">
        <f t="shared" si="20"/>
        <v>36.655164</v>
      </c>
      <c r="K37" s="12">
        <f t="shared" si="21"/>
        <v>1.9888</v>
      </c>
      <c r="L37" s="6">
        <f t="shared" si="22"/>
        <v>0.001304</v>
      </c>
      <c r="M37" s="13">
        <f t="shared" si="23"/>
        <v>110.51594133333333</v>
      </c>
      <c r="N37" s="19"/>
      <c r="O37" s="13">
        <f t="shared" si="24"/>
        <v>0</v>
      </c>
      <c r="P37" s="19">
        <v>0</v>
      </c>
      <c r="Q37" s="13">
        <f t="shared" si="25"/>
        <v>0</v>
      </c>
      <c r="R37" s="13">
        <f t="shared" si="26"/>
        <v>147.17110533333334</v>
      </c>
    </row>
    <row r="38" spans="1:18" ht="15">
      <c r="A38" s="27" t="s">
        <v>8</v>
      </c>
      <c r="B38" s="57">
        <v>2002</v>
      </c>
      <c r="C38" s="40" t="s">
        <v>49</v>
      </c>
      <c r="D38" s="41">
        <f>'G-35 Customer Count'!E15</f>
        <v>51</v>
      </c>
      <c r="E38" s="41">
        <v>1</v>
      </c>
      <c r="F38" s="41">
        <f>'G-36 Monthly Volumes'!C51</f>
        <v>6968.666666666667</v>
      </c>
      <c r="G38" s="42"/>
      <c r="H38" s="12">
        <f t="shared" si="18"/>
        <v>0.6597</v>
      </c>
      <c r="I38" s="6">
        <f t="shared" si="19"/>
        <v>0.000432</v>
      </c>
      <c r="J38" s="13">
        <f t="shared" si="20"/>
        <v>36.655164</v>
      </c>
      <c r="K38" s="12">
        <f t="shared" si="21"/>
        <v>1.9888</v>
      </c>
      <c r="L38" s="6">
        <f t="shared" si="22"/>
        <v>0.001304</v>
      </c>
      <c r="M38" s="13">
        <f t="shared" si="23"/>
        <v>110.51594133333333</v>
      </c>
      <c r="N38" s="19"/>
      <c r="O38" s="13">
        <f t="shared" si="24"/>
        <v>0</v>
      </c>
      <c r="P38" s="19">
        <v>0</v>
      </c>
      <c r="Q38" s="13">
        <f t="shared" si="25"/>
        <v>0</v>
      </c>
      <c r="R38" s="13">
        <f t="shared" si="26"/>
        <v>147.17110533333334</v>
      </c>
    </row>
    <row r="39" spans="1:18" ht="15.75" thickBot="1">
      <c r="A39" s="27" t="s">
        <v>8</v>
      </c>
      <c r="B39" s="57">
        <v>2002</v>
      </c>
      <c r="C39" s="40" t="s">
        <v>38</v>
      </c>
      <c r="D39" s="41">
        <f>'G-35 Customer Count'!E16</f>
        <v>0</v>
      </c>
      <c r="E39" s="41">
        <v>1</v>
      </c>
      <c r="F39" s="41">
        <f>'G-36 Monthly Volumes'!C52</f>
        <v>0</v>
      </c>
      <c r="G39" s="42"/>
      <c r="H39" s="12">
        <f t="shared" si="18"/>
        <v>0.6597</v>
      </c>
      <c r="I39" s="6">
        <f t="shared" si="19"/>
        <v>0.000432</v>
      </c>
      <c r="J39" s="13">
        <f>D39*E39*H39+(F39+G39)*I39</f>
        <v>0</v>
      </c>
      <c r="K39" s="12">
        <f t="shared" si="21"/>
        <v>1.9888</v>
      </c>
      <c r="L39" s="6">
        <f t="shared" si="22"/>
        <v>0.001304</v>
      </c>
      <c r="M39" s="13">
        <f>D39*E39*K39+(F39+G39)*L39</f>
        <v>0</v>
      </c>
      <c r="N39" s="19"/>
      <c r="O39" s="13">
        <f>(F39+G39)*N39</f>
        <v>0</v>
      </c>
      <c r="P39" s="19">
        <v>0</v>
      </c>
      <c r="Q39" s="13">
        <f>(F39+G39)*P39</f>
        <v>0</v>
      </c>
      <c r="R39" s="13">
        <f>J39+M39+O39+Q39</f>
        <v>0</v>
      </c>
    </row>
    <row r="40" spans="1:18" ht="15.75" thickBot="1">
      <c r="A40" s="59" t="s">
        <v>61</v>
      </c>
      <c r="B40" s="60"/>
      <c r="C40" s="61"/>
      <c r="D40" s="62">
        <f>SUM(D29:D39)</f>
        <v>510</v>
      </c>
      <c r="E40" s="62"/>
      <c r="F40" s="62">
        <f>SUM(F29:F39)</f>
        <v>69686.66666666666</v>
      </c>
      <c r="G40" s="62">
        <f>SUM(G29:G39)</f>
        <v>0</v>
      </c>
      <c r="H40" s="64"/>
      <c r="I40" s="65"/>
      <c r="J40" s="66">
        <f>SUM(J29:J39)</f>
        <v>366.5516400000001</v>
      </c>
      <c r="K40" s="64"/>
      <c r="L40" s="65"/>
      <c r="M40" s="66">
        <f>SUM(M29:M39)</f>
        <v>1105.1594133333333</v>
      </c>
      <c r="N40" s="67"/>
      <c r="O40" s="66">
        <f>SUM(O29:O39)</f>
        <v>0</v>
      </c>
      <c r="P40" s="67"/>
      <c r="Q40" s="66">
        <f>SUM(Q29:Q39)</f>
        <v>0</v>
      </c>
      <c r="R40" s="66">
        <f>SUM(R29:R39)</f>
        <v>1471.7110533333334</v>
      </c>
    </row>
    <row r="41" spans="1:18" ht="15">
      <c r="A41" s="27"/>
      <c r="B41" s="57"/>
      <c r="C41" s="40"/>
      <c r="D41" s="41"/>
      <c r="E41" s="41"/>
      <c r="F41" s="43"/>
      <c r="G41" s="58"/>
      <c r="H41" s="12"/>
      <c r="I41" s="6"/>
      <c r="J41" s="13"/>
      <c r="K41" s="12"/>
      <c r="L41" s="6"/>
      <c r="M41" s="13"/>
      <c r="N41" s="19"/>
      <c r="O41" s="13"/>
      <c r="P41" s="19"/>
      <c r="Q41" s="13"/>
      <c r="R41" s="13"/>
    </row>
    <row r="42" spans="1:18" ht="15">
      <c r="A42" s="27" t="s">
        <v>2</v>
      </c>
      <c r="B42" s="57">
        <v>2002</v>
      </c>
      <c r="C42" s="40" t="s">
        <v>41</v>
      </c>
      <c r="D42" s="41">
        <f>'G-35 Customer Count'!F6</f>
        <v>57</v>
      </c>
      <c r="E42" s="41">
        <v>1</v>
      </c>
      <c r="F42" s="43"/>
      <c r="G42" s="44">
        <f>'G-36 Monthly Volumes'!L6</f>
        <v>10525</v>
      </c>
      <c r="H42" s="12">
        <f>10.6608</f>
        <v>10.6608</v>
      </c>
      <c r="I42" s="6">
        <f>0.056616</f>
        <v>0.056616</v>
      </c>
      <c r="J42" s="13">
        <f>D42*E42*H42+(F42+G42)*I42</f>
        <v>1203.549</v>
      </c>
      <c r="K42" s="12">
        <f>32.1381</f>
        <v>32.1381</v>
      </c>
      <c r="L42" s="6">
        <f>0.170675</f>
        <v>0.170675</v>
      </c>
      <c r="M42" s="13">
        <f>D42*E42*K42+(F42+G42)*L42</f>
        <v>3628.226075</v>
      </c>
      <c r="N42" s="19"/>
      <c r="O42" s="13">
        <f>(F42+G42)*N42</f>
        <v>0</v>
      </c>
      <c r="P42" s="19">
        <v>0</v>
      </c>
      <c r="Q42" s="13">
        <f>(F42+G42)*P42</f>
        <v>0</v>
      </c>
      <c r="R42" s="13">
        <f>J42+M42+O42+Q42</f>
        <v>4831.775075</v>
      </c>
    </row>
    <row r="43" spans="1:18" ht="15">
      <c r="A43" s="27" t="s">
        <v>2</v>
      </c>
      <c r="B43" s="57">
        <v>2002</v>
      </c>
      <c r="C43" s="40" t="s">
        <v>42</v>
      </c>
      <c r="D43" s="41">
        <f>'G-35 Customer Count'!F7</f>
        <v>134</v>
      </c>
      <c r="E43" s="41">
        <v>1</v>
      </c>
      <c r="F43" s="43"/>
      <c r="G43" s="44">
        <f>'G-36 Monthly Volumes'!L7</f>
        <v>39022</v>
      </c>
      <c r="H43" s="12">
        <f aca="true" t="shared" si="27" ref="H43:H52">10.6608</f>
        <v>10.6608</v>
      </c>
      <c r="I43" s="6">
        <f aca="true" t="shared" si="28" ref="I43:I52">0.056616</f>
        <v>0.056616</v>
      </c>
      <c r="J43" s="13">
        <f aca="true" t="shared" si="29" ref="J43:J52">D43*E43*H43+(F43+G43)*I43</f>
        <v>3637.816752</v>
      </c>
      <c r="K43" s="12">
        <f aca="true" t="shared" si="30" ref="K43:K52">32.1381</f>
        <v>32.1381</v>
      </c>
      <c r="L43" s="6">
        <f aca="true" t="shared" si="31" ref="L43:L52">0.170675</f>
        <v>0.170675</v>
      </c>
      <c r="M43" s="13">
        <f aca="true" t="shared" si="32" ref="M43:M52">D43*E43*K43+(F43+G43)*L43</f>
        <v>10966.58525</v>
      </c>
      <c r="N43" s="19"/>
      <c r="O43" s="13">
        <f aca="true" t="shared" si="33" ref="O43:O52">(F43+G43)*N43</f>
        <v>0</v>
      </c>
      <c r="P43" s="19">
        <v>0</v>
      </c>
      <c r="Q43" s="13">
        <f aca="true" t="shared" si="34" ref="Q43:Q52">(F43+G43)*P43</f>
        <v>0</v>
      </c>
      <c r="R43" s="13">
        <f aca="true" t="shared" si="35" ref="R43:R52">J43+M43+O43+Q43</f>
        <v>14604.402002</v>
      </c>
    </row>
    <row r="44" spans="1:18" ht="15">
      <c r="A44" s="27" t="s">
        <v>2</v>
      </c>
      <c r="B44" s="57">
        <v>2002</v>
      </c>
      <c r="C44" s="40" t="s">
        <v>35</v>
      </c>
      <c r="D44" s="41">
        <f>'G-35 Customer Count'!F8</f>
        <v>188</v>
      </c>
      <c r="E44" s="41">
        <v>1</v>
      </c>
      <c r="F44" s="43"/>
      <c r="G44" s="44">
        <f>'G-36 Monthly Volumes'!L8</f>
        <v>43984</v>
      </c>
      <c r="H44" s="12">
        <f t="shared" si="27"/>
        <v>10.6608</v>
      </c>
      <c r="I44" s="6">
        <f t="shared" si="28"/>
        <v>0.056616</v>
      </c>
      <c r="J44" s="13">
        <f t="shared" si="29"/>
        <v>4494.428544</v>
      </c>
      <c r="K44" s="12">
        <f t="shared" si="30"/>
        <v>32.1381</v>
      </c>
      <c r="L44" s="6">
        <f t="shared" si="31"/>
        <v>0.170675</v>
      </c>
      <c r="M44" s="13">
        <f t="shared" si="32"/>
        <v>13548.932</v>
      </c>
      <c r="N44" s="19"/>
      <c r="O44" s="13">
        <f t="shared" si="33"/>
        <v>0</v>
      </c>
      <c r="P44" s="19">
        <v>0</v>
      </c>
      <c r="Q44" s="13">
        <f t="shared" si="34"/>
        <v>0</v>
      </c>
      <c r="R44" s="13">
        <f t="shared" si="35"/>
        <v>18043.360544000003</v>
      </c>
    </row>
    <row r="45" spans="1:18" ht="15">
      <c r="A45" s="27" t="s">
        <v>2</v>
      </c>
      <c r="B45" s="57">
        <v>2002</v>
      </c>
      <c r="C45" s="40" t="s">
        <v>43</v>
      </c>
      <c r="D45" s="41">
        <f>'G-35 Customer Count'!F9</f>
        <v>138</v>
      </c>
      <c r="E45" s="41">
        <v>1</v>
      </c>
      <c r="F45" s="43"/>
      <c r="G45" s="44">
        <f>'G-36 Monthly Volumes'!L9</f>
        <v>27781</v>
      </c>
      <c r="H45" s="12">
        <f t="shared" si="27"/>
        <v>10.6608</v>
      </c>
      <c r="I45" s="6">
        <f t="shared" si="28"/>
        <v>0.056616</v>
      </c>
      <c r="J45" s="13">
        <f t="shared" si="29"/>
        <v>3044.039496</v>
      </c>
      <c r="K45" s="12">
        <f t="shared" si="30"/>
        <v>32.1381</v>
      </c>
      <c r="L45" s="6">
        <f t="shared" si="31"/>
        <v>0.170675</v>
      </c>
      <c r="M45" s="13">
        <f t="shared" si="32"/>
        <v>9176.579975</v>
      </c>
      <c r="N45" s="19"/>
      <c r="O45" s="13">
        <f t="shared" si="33"/>
        <v>0</v>
      </c>
      <c r="P45" s="19">
        <v>0</v>
      </c>
      <c r="Q45" s="13">
        <f t="shared" si="34"/>
        <v>0</v>
      </c>
      <c r="R45" s="13">
        <f t="shared" si="35"/>
        <v>12220.619471</v>
      </c>
    </row>
    <row r="46" spans="1:18" ht="15">
      <c r="A46" s="27" t="s">
        <v>2</v>
      </c>
      <c r="B46" s="57">
        <v>2002</v>
      </c>
      <c r="C46" s="40" t="s">
        <v>44</v>
      </c>
      <c r="D46" s="41">
        <f>'G-35 Customer Count'!F10</f>
        <v>142</v>
      </c>
      <c r="E46" s="41">
        <v>1</v>
      </c>
      <c r="F46" s="43"/>
      <c r="G46" s="44">
        <f>'G-36 Monthly Volumes'!L10</f>
        <v>29179</v>
      </c>
      <c r="H46" s="12">
        <f t="shared" si="27"/>
        <v>10.6608</v>
      </c>
      <c r="I46" s="6">
        <f t="shared" si="28"/>
        <v>0.056616</v>
      </c>
      <c r="J46" s="13">
        <f t="shared" si="29"/>
        <v>3165.8318639999998</v>
      </c>
      <c r="K46" s="12">
        <f t="shared" si="30"/>
        <v>32.1381</v>
      </c>
      <c r="L46" s="6">
        <f t="shared" si="31"/>
        <v>0.170675</v>
      </c>
      <c r="M46" s="13">
        <f t="shared" si="32"/>
        <v>9543.736025</v>
      </c>
      <c r="N46" s="19"/>
      <c r="O46" s="13">
        <f t="shared" si="33"/>
        <v>0</v>
      </c>
      <c r="P46" s="19">
        <v>0</v>
      </c>
      <c r="Q46" s="13">
        <f t="shared" si="34"/>
        <v>0</v>
      </c>
      <c r="R46" s="13">
        <f t="shared" si="35"/>
        <v>12709.567889</v>
      </c>
    </row>
    <row r="47" spans="1:18" ht="15">
      <c r="A47" s="27" t="s">
        <v>2</v>
      </c>
      <c r="B47" s="57">
        <v>2002</v>
      </c>
      <c r="C47" s="40" t="s">
        <v>45</v>
      </c>
      <c r="D47" s="41">
        <f>'G-35 Customer Count'!F11</f>
        <v>94</v>
      </c>
      <c r="E47" s="41">
        <v>1</v>
      </c>
      <c r="F47" s="43"/>
      <c r="G47" s="44">
        <f>'G-36 Monthly Volumes'!L11</f>
        <v>25034</v>
      </c>
      <c r="H47" s="12">
        <f t="shared" si="27"/>
        <v>10.6608</v>
      </c>
      <c r="I47" s="6">
        <f t="shared" si="28"/>
        <v>0.056616</v>
      </c>
      <c r="J47" s="13">
        <f t="shared" si="29"/>
        <v>2419.440144</v>
      </c>
      <c r="K47" s="12">
        <f t="shared" si="30"/>
        <v>32.1381</v>
      </c>
      <c r="L47" s="6">
        <f t="shared" si="31"/>
        <v>0.170675</v>
      </c>
      <c r="M47" s="13">
        <f t="shared" si="32"/>
        <v>7293.65935</v>
      </c>
      <c r="N47" s="19"/>
      <c r="O47" s="13">
        <f t="shared" si="33"/>
        <v>0</v>
      </c>
      <c r="P47" s="19">
        <v>0</v>
      </c>
      <c r="Q47" s="13">
        <f t="shared" si="34"/>
        <v>0</v>
      </c>
      <c r="R47" s="13">
        <f t="shared" si="35"/>
        <v>9713.099494</v>
      </c>
    </row>
    <row r="48" spans="1:18" ht="15">
      <c r="A48" s="27" t="s">
        <v>2</v>
      </c>
      <c r="B48" s="57">
        <v>2002</v>
      </c>
      <c r="C48" s="40" t="s">
        <v>46</v>
      </c>
      <c r="D48" s="41">
        <f>'G-35 Customer Count'!F12</f>
        <v>308</v>
      </c>
      <c r="E48" s="41">
        <v>1</v>
      </c>
      <c r="F48" s="43"/>
      <c r="G48" s="44">
        <f>'G-36 Monthly Volumes'!L12</f>
        <v>52990</v>
      </c>
      <c r="H48" s="12">
        <f t="shared" si="27"/>
        <v>10.6608</v>
      </c>
      <c r="I48" s="6">
        <f t="shared" si="28"/>
        <v>0.056616</v>
      </c>
      <c r="J48" s="13">
        <f t="shared" si="29"/>
        <v>6283.60824</v>
      </c>
      <c r="K48" s="12">
        <f t="shared" si="30"/>
        <v>32.1381</v>
      </c>
      <c r="L48" s="6">
        <f t="shared" si="31"/>
        <v>0.170675</v>
      </c>
      <c r="M48" s="13">
        <f t="shared" si="32"/>
        <v>18942.60305</v>
      </c>
      <c r="N48" s="19"/>
      <c r="O48" s="13">
        <f t="shared" si="33"/>
        <v>0</v>
      </c>
      <c r="P48" s="19">
        <v>0</v>
      </c>
      <c r="Q48" s="13">
        <f t="shared" si="34"/>
        <v>0</v>
      </c>
      <c r="R48" s="13">
        <f t="shared" si="35"/>
        <v>25226.21129</v>
      </c>
    </row>
    <row r="49" spans="1:18" ht="15">
      <c r="A49" s="27" t="s">
        <v>2</v>
      </c>
      <c r="B49" s="57">
        <v>2002</v>
      </c>
      <c r="C49" s="40" t="s">
        <v>47</v>
      </c>
      <c r="D49" s="41">
        <f>'G-35 Customer Count'!F13</f>
        <v>156</v>
      </c>
      <c r="E49" s="41">
        <v>1</v>
      </c>
      <c r="F49" s="43"/>
      <c r="G49" s="44">
        <f>'G-36 Monthly Volumes'!L13</f>
        <v>33715</v>
      </c>
      <c r="H49" s="12">
        <f t="shared" si="27"/>
        <v>10.6608</v>
      </c>
      <c r="I49" s="6">
        <f t="shared" si="28"/>
        <v>0.056616</v>
      </c>
      <c r="J49" s="13">
        <f t="shared" si="29"/>
        <v>3571.8932400000003</v>
      </c>
      <c r="K49" s="12">
        <f t="shared" si="30"/>
        <v>32.1381</v>
      </c>
      <c r="L49" s="6">
        <f t="shared" si="31"/>
        <v>0.170675</v>
      </c>
      <c r="M49" s="13">
        <f t="shared" si="32"/>
        <v>10767.851224999999</v>
      </c>
      <c r="N49" s="19"/>
      <c r="O49" s="13">
        <f t="shared" si="33"/>
        <v>0</v>
      </c>
      <c r="P49" s="19">
        <v>0</v>
      </c>
      <c r="Q49" s="13">
        <f t="shared" si="34"/>
        <v>0</v>
      </c>
      <c r="R49" s="13">
        <f t="shared" si="35"/>
        <v>14339.744465</v>
      </c>
    </row>
    <row r="50" spans="1:18" ht="15">
      <c r="A50" s="27" t="s">
        <v>2</v>
      </c>
      <c r="B50" s="57">
        <v>2002</v>
      </c>
      <c r="C50" s="40" t="s">
        <v>48</v>
      </c>
      <c r="D50" s="41">
        <f>'G-35 Customer Count'!F14</f>
        <v>166</v>
      </c>
      <c r="E50" s="41">
        <v>1</v>
      </c>
      <c r="F50" s="43"/>
      <c r="G50" s="44">
        <f>'G-36 Monthly Volumes'!L14</f>
        <v>30269</v>
      </c>
      <c r="H50" s="12">
        <f t="shared" si="27"/>
        <v>10.6608</v>
      </c>
      <c r="I50" s="6">
        <f t="shared" si="28"/>
        <v>0.056616</v>
      </c>
      <c r="J50" s="13">
        <f t="shared" si="29"/>
        <v>3483.402504</v>
      </c>
      <c r="K50" s="12">
        <f t="shared" si="30"/>
        <v>32.1381</v>
      </c>
      <c r="L50" s="6">
        <f t="shared" si="31"/>
        <v>0.170675</v>
      </c>
      <c r="M50" s="13">
        <f t="shared" si="32"/>
        <v>10501.086175</v>
      </c>
      <c r="N50" s="19"/>
      <c r="O50" s="13">
        <f t="shared" si="33"/>
        <v>0</v>
      </c>
      <c r="P50" s="19">
        <v>0</v>
      </c>
      <c r="Q50" s="13">
        <f t="shared" si="34"/>
        <v>0</v>
      </c>
      <c r="R50" s="13">
        <f t="shared" si="35"/>
        <v>13984.488679</v>
      </c>
    </row>
    <row r="51" spans="1:18" ht="15">
      <c r="A51" s="27" t="s">
        <v>2</v>
      </c>
      <c r="B51" s="57">
        <v>2002</v>
      </c>
      <c r="C51" s="40" t="s">
        <v>49</v>
      </c>
      <c r="D51" s="41">
        <f>'G-35 Customer Count'!F15</f>
        <v>44</v>
      </c>
      <c r="E51" s="41">
        <v>1</v>
      </c>
      <c r="F51" s="43"/>
      <c r="G51" s="44">
        <f>'G-36 Monthly Volumes'!L15</f>
        <v>5601</v>
      </c>
      <c r="H51" s="12">
        <f t="shared" si="27"/>
        <v>10.6608</v>
      </c>
      <c r="I51" s="6">
        <f t="shared" si="28"/>
        <v>0.056616</v>
      </c>
      <c r="J51" s="13">
        <f t="shared" si="29"/>
        <v>786.181416</v>
      </c>
      <c r="K51" s="12">
        <f t="shared" si="30"/>
        <v>32.1381</v>
      </c>
      <c r="L51" s="6">
        <f t="shared" si="31"/>
        <v>0.170675</v>
      </c>
      <c r="M51" s="13">
        <f t="shared" si="32"/>
        <v>2370.027075</v>
      </c>
      <c r="N51" s="19"/>
      <c r="O51" s="13">
        <f t="shared" si="33"/>
        <v>0</v>
      </c>
      <c r="P51" s="19">
        <v>0</v>
      </c>
      <c r="Q51" s="13">
        <f t="shared" si="34"/>
        <v>0</v>
      </c>
      <c r="R51" s="13">
        <f t="shared" si="35"/>
        <v>3156.208491</v>
      </c>
    </row>
    <row r="52" spans="1:18" ht="16.5" customHeight="1" thickBot="1">
      <c r="A52" s="27" t="s">
        <v>2</v>
      </c>
      <c r="B52" s="57">
        <v>2002</v>
      </c>
      <c r="C52" s="40" t="s">
        <v>38</v>
      </c>
      <c r="D52" s="41">
        <f>'G-35 Customer Count'!F16</f>
        <v>145.5</v>
      </c>
      <c r="E52" s="41">
        <v>1</v>
      </c>
      <c r="F52" s="43"/>
      <c r="G52" s="44">
        <f>'G-36 Monthly Volumes'!L16</f>
        <v>21408</v>
      </c>
      <c r="H52" s="12">
        <f t="shared" si="27"/>
        <v>10.6608</v>
      </c>
      <c r="I52" s="6">
        <f t="shared" si="28"/>
        <v>0.056616</v>
      </c>
      <c r="J52" s="13">
        <f t="shared" si="29"/>
        <v>2763.181728</v>
      </c>
      <c r="K52" s="12">
        <f t="shared" si="30"/>
        <v>32.1381</v>
      </c>
      <c r="L52" s="6">
        <f t="shared" si="31"/>
        <v>0.170675</v>
      </c>
      <c r="M52" s="13">
        <f t="shared" si="32"/>
        <v>8329.90395</v>
      </c>
      <c r="N52" s="19"/>
      <c r="O52" s="13">
        <f t="shared" si="33"/>
        <v>0</v>
      </c>
      <c r="P52" s="19">
        <v>0</v>
      </c>
      <c r="Q52" s="13">
        <f t="shared" si="34"/>
        <v>0</v>
      </c>
      <c r="R52" s="13">
        <f t="shared" si="35"/>
        <v>11093.085678</v>
      </c>
    </row>
    <row r="53" spans="1:18" ht="15.75" thickBot="1">
      <c r="A53" s="59" t="s">
        <v>62</v>
      </c>
      <c r="B53" s="60"/>
      <c r="C53" s="61"/>
      <c r="D53" s="62">
        <f>SUM(D42:D52)</f>
        <v>1572.5</v>
      </c>
      <c r="E53" s="62"/>
      <c r="F53" s="62">
        <f>SUM(F42:F52)</f>
        <v>0</v>
      </c>
      <c r="G53" s="62">
        <f>SUM(G42:G52)</f>
        <v>319508</v>
      </c>
      <c r="H53" s="64"/>
      <c r="I53" s="65"/>
      <c r="J53" s="66">
        <f>SUM(J42:J52)</f>
        <v>34853.372928000004</v>
      </c>
      <c r="K53" s="64"/>
      <c r="L53" s="65"/>
      <c r="M53" s="66">
        <f>SUM(M42:M52)</f>
        <v>105069.19015000001</v>
      </c>
      <c r="N53" s="67"/>
      <c r="O53" s="66">
        <f>SUM(O42:O52)</f>
        <v>0</v>
      </c>
      <c r="P53" s="67"/>
      <c r="Q53" s="66">
        <f>SUM(Q42:Q52)</f>
        <v>0</v>
      </c>
      <c r="R53" s="66">
        <f>SUM(R42:R52)</f>
        <v>139922.563078</v>
      </c>
    </row>
    <row r="54" spans="1:18" ht="15">
      <c r="A54" s="27"/>
      <c r="B54" s="57"/>
      <c r="C54" s="40"/>
      <c r="D54" s="41"/>
      <c r="E54" s="41"/>
      <c r="F54" s="43"/>
      <c r="G54" s="44"/>
      <c r="H54" s="12"/>
      <c r="I54" s="6"/>
      <c r="J54" s="13"/>
      <c r="K54" s="12"/>
      <c r="L54" s="6"/>
      <c r="M54" s="13"/>
      <c r="N54" s="19"/>
      <c r="O54" s="13"/>
      <c r="P54" s="19"/>
      <c r="Q54" s="13"/>
      <c r="R54" s="13"/>
    </row>
    <row r="55" spans="1:18" ht="15">
      <c r="A55" s="27" t="s">
        <v>3</v>
      </c>
      <c r="B55" s="57">
        <v>2002</v>
      </c>
      <c r="C55" s="40" t="s">
        <v>41</v>
      </c>
      <c r="D55" s="41">
        <f>'G-35 Customer Count'!G6</f>
        <v>0</v>
      </c>
      <c r="E55" s="41">
        <v>1</v>
      </c>
      <c r="F55" s="43"/>
      <c r="G55" s="44">
        <f>'G-36 Monthly Volumes'!L24</f>
        <v>0</v>
      </c>
      <c r="H55" s="14">
        <f>467.0871</f>
        <v>467.0871</v>
      </c>
      <c r="I55" s="6">
        <f>0.080496</f>
        <v>0.080496</v>
      </c>
      <c r="J55" s="13">
        <f>D55*E55*H55+(F55+G55)*I55</f>
        <v>0</v>
      </c>
      <c r="K55" s="14">
        <f>1408.0869</f>
        <v>1408.0869</v>
      </c>
      <c r="L55" s="6">
        <f>0.242666</f>
        <v>0.242666</v>
      </c>
      <c r="M55" s="13">
        <f>D55*E55*K55+(F55+G55)*L55</f>
        <v>0</v>
      </c>
      <c r="N55" s="19"/>
      <c r="O55" s="13">
        <f>(F55+G55)*N55</f>
        <v>0</v>
      </c>
      <c r="P55" s="19">
        <v>0</v>
      </c>
      <c r="Q55" s="13">
        <f>(F55+G55)*P55</f>
        <v>0</v>
      </c>
      <c r="R55" s="13">
        <f>J55+M55+O55+Q55</f>
        <v>0</v>
      </c>
    </row>
    <row r="56" spans="1:18" ht="15">
      <c r="A56" s="27" t="s">
        <v>3</v>
      </c>
      <c r="B56" s="57">
        <v>2002</v>
      </c>
      <c r="C56" s="40" t="s">
        <v>42</v>
      </c>
      <c r="D56" s="41">
        <f>'G-35 Customer Count'!G7</f>
        <v>1</v>
      </c>
      <c r="E56" s="41">
        <v>1</v>
      </c>
      <c r="F56" s="43"/>
      <c r="G56" s="44">
        <f>'G-36 Monthly Volumes'!L25</f>
        <v>4404</v>
      </c>
      <c r="H56" s="14">
        <f aca="true" t="shared" si="36" ref="H56:H65">467.0871</f>
        <v>467.0871</v>
      </c>
      <c r="I56" s="6">
        <f aca="true" t="shared" si="37" ref="I56:I65">0.080496</f>
        <v>0.080496</v>
      </c>
      <c r="J56" s="13">
        <f>D56*E56*H56+(F56+G56)*I56</f>
        <v>821.591484</v>
      </c>
      <c r="K56" s="14">
        <f aca="true" t="shared" si="38" ref="K56:K65">1408.0869</f>
        <v>1408.0869</v>
      </c>
      <c r="L56" s="6">
        <f aca="true" t="shared" si="39" ref="L56:L65">0.242666</f>
        <v>0.242666</v>
      </c>
      <c r="M56" s="13">
        <f aca="true" t="shared" si="40" ref="M56:M65">D56*E56*K56+(F56+G56)*L56</f>
        <v>2476.787964</v>
      </c>
      <c r="N56" s="19"/>
      <c r="O56" s="13">
        <f aca="true" t="shared" si="41" ref="O56:O65">(F56+G56)*N56</f>
        <v>0</v>
      </c>
      <c r="P56" s="19">
        <v>0</v>
      </c>
      <c r="Q56" s="13">
        <f aca="true" t="shared" si="42" ref="Q56:Q65">(F56+G56)*P56</f>
        <v>0</v>
      </c>
      <c r="R56" s="13">
        <f aca="true" t="shared" si="43" ref="R56:R65">J56+M56+O56+Q56</f>
        <v>3298.379448</v>
      </c>
    </row>
    <row r="57" spans="1:18" ht="15">
      <c r="A57" s="27" t="s">
        <v>3</v>
      </c>
      <c r="B57" s="57">
        <v>2002</v>
      </c>
      <c r="C57" s="40" t="s">
        <v>35</v>
      </c>
      <c r="D57" s="41">
        <f>'G-35 Customer Count'!G8</f>
        <v>1</v>
      </c>
      <c r="E57" s="41">
        <v>1</v>
      </c>
      <c r="F57" s="43"/>
      <c r="G57" s="44">
        <f>'G-36 Monthly Volumes'!L26</f>
        <v>4579</v>
      </c>
      <c r="H57" s="14">
        <f t="shared" si="36"/>
        <v>467.0871</v>
      </c>
      <c r="I57" s="6">
        <f t="shared" si="37"/>
        <v>0.080496</v>
      </c>
      <c r="J57" s="13">
        <f aca="true" t="shared" si="44" ref="J57:J65">D57*E57*H57+(F57+G57)*I57</f>
        <v>835.6782840000001</v>
      </c>
      <c r="K57" s="14">
        <f t="shared" si="38"/>
        <v>1408.0869</v>
      </c>
      <c r="L57" s="6">
        <f t="shared" si="39"/>
        <v>0.242666</v>
      </c>
      <c r="M57" s="13">
        <f t="shared" si="40"/>
        <v>2519.254514</v>
      </c>
      <c r="N57" s="19"/>
      <c r="O57" s="13">
        <f t="shared" si="41"/>
        <v>0</v>
      </c>
      <c r="P57" s="19">
        <v>0</v>
      </c>
      <c r="Q57" s="13">
        <f t="shared" si="42"/>
        <v>0</v>
      </c>
      <c r="R57" s="13">
        <f t="shared" si="43"/>
        <v>3354.9327980000003</v>
      </c>
    </row>
    <row r="58" spans="1:18" ht="15">
      <c r="A58" s="27" t="s">
        <v>3</v>
      </c>
      <c r="B58" s="57">
        <v>2002</v>
      </c>
      <c r="C58" s="40" t="s">
        <v>43</v>
      </c>
      <c r="D58" s="41">
        <f>'G-35 Customer Count'!G9</f>
        <v>1</v>
      </c>
      <c r="E58" s="41">
        <v>1</v>
      </c>
      <c r="F58" s="43"/>
      <c r="G58" s="44">
        <f>'G-36 Monthly Volumes'!L27</f>
        <v>4599</v>
      </c>
      <c r="H58" s="14">
        <f t="shared" si="36"/>
        <v>467.0871</v>
      </c>
      <c r="I58" s="6">
        <f t="shared" si="37"/>
        <v>0.080496</v>
      </c>
      <c r="J58" s="13">
        <f t="shared" si="44"/>
        <v>837.288204</v>
      </c>
      <c r="K58" s="14">
        <f t="shared" si="38"/>
        <v>1408.0869</v>
      </c>
      <c r="L58" s="6">
        <f t="shared" si="39"/>
        <v>0.242666</v>
      </c>
      <c r="M58" s="13">
        <f t="shared" si="40"/>
        <v>2524.107834</v>
      </c>
      <c r="N58" s="19"/>
      <c r="O58" s="13">
        <f t="shared" si="41"/>
        <v>0</v>
      </c>
      <c r="P58" s="19">
        <v>0</v>
      </c>
      <c r="Q58" s="13">
        <f t="shared" si="42"/>
        <v>0</v>
      </c>
      <c r="R58" s="13">
        <f t="shared" si="43"/>
        <v>3361.396038</v>
      </c>
    </row>
    <row r="59" spans="1:18" ht="15">
      <c r="A59" s="27" t="s">
        <v>3</v>
      </c>
      <c r="B59" s="57">
        <v>2002</v>
      </c>
      <c r="C59" s="40" t="s">
        <v>44</v>
      </c>
      <c r="D59" s="41">
        <f>'G-35 Customer Count'!G10</f>
        <v>1</v>
      </c>
      <c r="E59" s="41">
        <v>1</v>
      </c>
      <c r="F59" s="43"/>
      <c r="G59" s="44">
        <f>'G-36 Monthly Volumes'!L28</f>
        <v>4442</v>
      </c>
      <c r="H59" s="14">
        <f t="shared" si="36"/>
        <v>467.0871</v>
      </c>
      <c r="I59" s="6">
        <f t="shared" si="37"/>
        <v>0.080496</v>
      </c>
      <c r="J59" s="13">
        <f t="shared" si="44"/>
        <v>824.6503319999999</v>
      </c>
      <c r="K59" s="14">
        <f t="shared" si="38"/>
        <v>1408.0869</v>
      </c>
      <c r="L59" s="6">
        <f t="shared" si="39"/>
        <v>0.242666</v>
      </c>
      <c r="M59" s="13">
        <f t="shared" si="40"/>
        <v>2486.0092720000002</v>
      </c>
      <c r="N59" s="19"/>
      <c r="O59" s="13">
        <f t="shared" si="41"/>
        <v>0</v>
      </c>
      <c r="P59" s="19">
        <v>0</v>
      </c>
      <c r="Q59" s="13">
        <f t="shared" si="42"/>
        <v>0</v>
      </c>
      <c r="R59" s="13">
        <f t="shared" si="43"/>
        <v>3310.6596040000004</v>
      </c>
    </row>
    <row r="60" spans="1:18" ht="15">
      <c r="A60" s="27" t="s">
        <v>3</v>
      </c>
      <c r="B60" s="57">
        <v>2002</v>
      </c>
      <c r="C60" s="40" t="s">
        <v>45</v>
      </c>
      <c r="D60" s="41">
        <f>'G-35 Customer Count'!G11</f>
        <v>1</v>
      </c>
      <c r="E60" s="41">
        <v>1</v>
      </c>
      <c r="F60" s="43"/>
      <c r="G60" s="44">
        <f>'G-36 Monthly Volumes'!L29</f>
        <v>4205</v>
      </c>
      <c r="H60" s="14">
        <f t="shared" si="36"/>
        <v>467.0871</v>
      </c>
      <c r="I60" s="6">
        <f t="shared" si="37"/>
        <v>0.080496</v>
      </c>
      <c r="J60" s="13">
        <f t="shared" si="44"/>
        <v>805.57278</v>
      </c>
      <c r="K60" s="14">
        <f t="shared" si="38"/>
        <v>1408.0869</v>
      </c>
      <c r="L60" s="6">
        <f t="shared" si="39"/>
        <v>0.242666</v>
      </c>
      <c r="M60" s="13">
        <f t="shared" si="40"/>
        <v>2428.49743</v>
      </c>
      <c r="N60" s="19"/>
      <c r="O60" s="13">
        <f t="shared" si="41"/>
        <v>0</v>
      </c>
      <c r="P60" s="19">
        <v>0</v>
      </c>
      <c r="Q60" s="13">
        <f t="shared" si="42"/>
        <v>0</v>
      </c>
      <c r="R60" s="13">
        <f t="shared" si="43"/>
        <v>3234.07021</v>
      </c>
    </row>
    <row r="61" spans="1:18" ht="15">
      <c r="A61" s="27" t="s">
        <v>3</v>
      </c>
      <c r="B61" s="57">
        <v>2002</v>
      </c>
      <c r="C61" s="40" t="s">
        <v>46</v>
      </c>
      <c r="D61" s="41">
        <f>'G-35 Customer Count'!G12</f>
        <v>1</v>
      </c>
      <c r="E61" s="41">
        <v>1</v>
      </c>
      <c r="F61" s="43"/>
      <c r="G61" s="44">
        <f>'G-36 Monthly Volumes'!L30</f>
        <v>4960</v>
      </c>
      <c r="H61" s="14">
        <f t="shared" si="36"/>
        <v>467.0871</v>
      </c>
      <c r="I61" s="6">
        <f t="shared" si="37"/>
        <v>0.080496</v>
      </c>
      <c r="J61" s="13">
        <f t="shared" si="44"/>
        <v>866.34726</v>
      </c>
      <c r="K61" s="14">
        <f t="shared" si="38"/>
        <v>1408.0869</v>
      </c>
      <c r="L61" s="6">
        <f t="shared" si="39"/>
        <v>0.242666</v>
      </c>
      <c r="M61" s="13">
        <f t="shared" si="40"/>
        <v>2611.71026</v>
      </c>
      <c r="N61" s="19"/>
      <c r="O61" s="13">
        <f t="shared" si="41"/>
        <v>0</v>
      </c>
      <c r="P61" s="19">
        <v>0</v>
      </c>
      <c r="Q61" s="13">
        <f t="shared" si="42"/>
        <v>0</v>
      </c>
      <c r="R61" s="13">
        <f t="shared" si="43"/>
        <v>3478.05752</v>
      </c>
    </row>
    <row r="62" spans="1:18" ht="15">
      <c r="A62" s="27" t="s">
        <v>3</v>
      </c>
      <c r="B62" s="57">
        <v>2002</v>
      </c>
      <c r="C62" s="40" t="s">
        <v>47</v>
      </c>
      <c r="D62" s="41">
        <f>'G-35 Customer Count'!G13</f>
        <v>1</v>
      </c>
      <c r="E62" s="41">
        <v>1</v>
      </c>
      <c r="F62" s="43"/>
      <c r="G62" s="44">
        <f>'G-36 Monthly Volumes'!L31</f>
        <v>5012</v>
      </c>
      <c r="H62" s="14">
        <f t="shared" si="36"/>
        <v>467.0871</v>
      </c>
      <c r="I62" s="6">
        <f t="shared" si="37"/>
        <v>0.080496</v>
      </c>
      <c r="J62" s="13">
        <f t="shared" si="44"/>
        <v>870.533052</v>
      </c>
      <c r="K62" s="14">
        <f t="shared" si="38"/>
        <v>1408.0869</v>
      </c>
      <c r="L62" s="6">
        <f t="shared" si="39"/>
        <v>0.242666</v>
      </c>
      <c r="M62" s="13">
        <f t="shared" si="40"/>
        <v>2624.328892</v>
      </c>
      <c r="N62" s="19"/>
      <c r="O62" s="13">
        <f t="shared" si="41"/>
        <v>0</v>
      </c>
      <c r="P62" s="19">
        <v>0</v>
      </c>
      <c r="Q62" s="13">
        <f t="shared" si="42"/>
        <v>0</v>
      </c>
      <c r="R62" s="13">
        <f t="shared" si="43"/>
        <v>3494.861944</v>
      </c>
    </row>
    <row r="63" spans="1:18" ht="15">
      <c r="A63" s="27" t="s">
        <v>3</v>
      </c>
      <c r="B63" s="57">
        <v>2002</v>
      </c>
      <c r="C63" s="40" t="s">
        <v>48</v>
      </c>
      <c r="D63" s="41">
        <f>'G-35 Customer Count'!G14</f>
        <v>1</v>
      </c>
      <c r="E63" s="41">
        <v>1</v>
      </c>
      <c r="F63" s="43"/>
      <c r="G63" s="44">
        <f>'G-36 Monthly Volumes'!L32</f>
        <v>4856</v>
      </c>
      <c r="H63" s="14">
        <f t="shared" si="36"/>
        <v>467.0871</v>
      </c>
      <c r="I63" s="6">
        <f t="shared" si="37"/>
        <v>0.080496</v>
      </c>
      <c r="J63" s="13">
        <f t="shared" si="44"/>
        <v>857.975676</v>
      </c>
      <c r="K63" s="14">
        <f t="shared" si="38"/>
        <v>1408.0869</v>
      </c>
      <c r="L63" s="6">
        <f t="shared" si="39"/>
        <v>0.242666</v>
      </c>
      <c r="M63" s="13">
        <f t="shared" si="40"/>
        <v>2586.472996</v>
      </c>
      <c r="N63" s="19"/>
      <c r="O63" s="13">
        <f t="shared" si="41"/>
        <v>0</v>
      </c>
      <c r="P63" s="19">
        <v>0</v>
      </c>
      <c r="Q63" s="13">
        <f t="shared" si="42"/>
        <v>0</v>
      </c>
      <c r="R63" s="13">
        <f t="shared" si="43"/>
        <v>3444.448672</v>
      </c>
    </row>
    <row r="64" spans="1:18" ht="15">
      <c r="A64" s="27" t="s">
        <v>3</v>
      </c>
      <c r="B64" s="57">
        <v>2002</v>
      </c>
      <c r="C64" s="40" t="s">
        <v>49</v>
      </c>
      <c r="D64" s="41">
        <f>'G-35 Customer Count'!G15</f>
        <v>0</v>
      </c>
      <c r="E64" s="41">
        <v>1</v>
      </c>
      <c r="F64" s="43"/>
      <c r="G64" s="44">
        <f>'G-36 Monthly Volumes'!L33</f>
        <v>0</v>
      </c>
      <c r="H64" s="14">
        <f t="shared" si="36"/>
        <v>467.0871</v>
      </c>
      <c r="I64" s="6">
        <f t="shared" si="37"/>
        <v>0.080496</v>
      </c>
      <c r="J64" s="13">
        <f t="shared" si="44"/>
        <v>0</v>
      </c>
      <c r="K64" s="14">
        <f t="shared" si="38"/>
        <v>1408.0869</v>
      </c>
      <c r="L64" s="6">
        <f t="shared" si="39"/>
        <v>0.242666</v>
      </c>
      <c r="M64" s="13">
        <f t="shared" si="40"/>
        <v>0</v>
      </c>
      <c r="N64" s="19"/>
      <c r="O64" s="13">
        <f t="shared" si="41"/>
        <v>0</v>
      </c>
      <c r="P64" s="19">
        <v>0</v>
      </c>
      <c r="Q64" s="13">
        <f t="shared" si="42"/>
        <v>0</v>
      </c>
      <c r="R64" s="13">
        <f t="shared" si="43"/>
        <v>0</v>
      </c>
    </row>
    <row r="65" spans="1:18" ht="15.75" thickBot="1">
      <c r="A65" s="27" t="s">
        <v>3</v>
      </c>
      <c r="B65" s="57">
        <v>2002</v>
      </c>
      <c r="C65" s="40" t="s">
        <v>38</v>
      </c>
      <c r="D65" s="41">
        <f>'G-35 Customer Count'!G16</f>
        <v>2</v>
      </c>
      <c r="E65" s="41">
        <v>1</v>
      </c>
      <c r="F65" s="43"/>
      <c r="G65" s="44">
        <f>'G-36 Monthly Volumes'!L34</f>
        <v>10986</v>
      </c>
      <c r="H65" s="14">
        <f t="shared" si="36"/>
        <v>467.0871</v>
      </c>
      <c r="I65" s="6">
        <f t="shared" si="37"/>
        <v>0.080496</v>
      </c>
      <c r="J65" s="13">
        <f t="shared" si="44"/>
        <v>1818.503256</v>
      </c>
      <c r="K65" s="14">
        <f t="shared" si="38"/>
        <v>1408.0869</v>
      </c>
      <c r="L65" s="6">
        <f t="shared" si="39"/>
        <v>0.242666</v>
      </c>
      <c r="M65" s="13">
        <f t="shared" si="40"/>
        <v>5482.102476</v>
      </c>
      <c r="N65" s="19"/>
      <c r="O65" s="13">
        <f t="shared" si="41"/>
        <v>0</v>
      </c>
      <c r="P65" s="19">
        <v>0</v>
      </c>
      <c r="Q65" s="13">
        <f t="shared" si="42"/>
        <v>0</v>
      </c>
      <c r="R65" s="13">
        <f t="shared" si="43"/>
        <v>7300.605732</v>
      </c>
    </row>
    <row r="66" spans="1:18" ht="15.75" thickBot="1">
      <c r="A66" s="59" t="s">
        <v>63</v>
      </c>
      <c r="B66" s="60"/>
      <c r="C66" s="61"/>
      <c r="D66" s="62">
        <f>SUM(D55:D65)</f>
        <v>10</v>
      </c>
      <c r="E66" s="62"/>
      <c r="F66" s="62">
        <f>SUM(F55:F65)</f>
        <v>0</v>
      </c>
      <c r="G66" s="62">
        <f>SUM(G55:G65)</f>
        <v>48043</v>
      </c>
      <c r="H66" s="64"/>
      <c r="I66" s="65"/>
      <c r="J66" s="66">
        <f>SUM(J55:J65)</f>
        <v>8538.140328000001</v>
      </c>
      <c r="K66" s="64"/>
      <c r="L66" s="65"/>
      <c r="M66" s="66">
        <f>SUM(M55:M65)</f>
        <v>25739.271638000002</v>
      </c>
      <c r="N66" s="67"/>
      <c r="O66" s="66">
        <f>SUM(O55:O65)</f>
        <v>0</v>
      </c>
      <c r="P66" s="67"/>
      <c r="Q66" s="66">
        <f>SUM(Q55:Q65)</f>
        <v>0</v>
      </c>
      <c r="R66" s="66">
        <f>SUM(R55:R65)</f>
        <v>34277.411966</v>
      </c>
    </row>
    <row r="67" spans="1:18" ht="15">
      <c r="A67" s="27"/>
      <c r="B67" s="57"/>
      <c r="C67" s="40"/>
      <c r="D67" s="41"/>
      <c r="E67" s="41"/>
      <c r="F67" s="43"/>
      <c r="G67" s="44"/>
      <c r="H67" s="14"/>
      <c r="I67" s="6"/>
      <c r="J67" s="13"/>
      <c r="K67" s="14"/>
      <c r="L67" s="6"/>
      <c r="M67" s="13"/>
      <c r="N67" s="19"/>
      <c r="O67" s="13"/>
      <c r="P67" s="19"/>
      <c r="Q67" s="13"/>
      <c r="R67" s="13"/>
    </row>
    <row r="68" spans="1:18" ht="15">
      <c r="A68" s="27" t="s">
        <v>4</v>
      </c>
      <c r="B68" s="57">
        <v>2002</v>
      </c>
      <c r="C68" s="40" t="s">
        <v>41</v>
      </c>
      <c r="D68" s="41">
        <f>'G-35 Customer Count'!H6</f>
        <v>61</v>
      </c>
      <c r="E68" s="41">
        <v>1</v>
      </c>
      <c r="F68" s="43"/>
      <c r="G68" s="44">
        <f>'G-36 Monthly Volumes'!L60</f>
        <v>26</v>
      </c>
      <c r="H68" s="14">
        <f>0.1177</f>
        <v>0.1177</v>
      </c>
      <c r="I68" s="6">
        <f>0.161515</f>
        <v>0.161515</v>
      </c>
      <c r="J68" s="13">
        <f>D68*E68*H68+(F68+G68)*I68</f>
        <v>11.37909</v>
      </c>
      <c r="K68" s="14">
        <f>0.3548</f>
        <v>0.3548</v>
      </c>
      <c r="L68" s="6">
        <f>0.486904</f>
        <v>0.486904</v>
      </c>
      <c r="M68" s="13">
        <f>D68*E68*K68+(F68+G68)*L68</f>
        <v>34.302304</v>
      </c>
      <c r="N68" s="19"/>
      <c r="O68" s="13">
        <f>(F68+G68)*N68</f>
        <v>0</v>
      </c>
      <c r="P68" s="19">
        <v>0</v>
      </c>
      <c r="Q68" s="13">
        <f>(F68+G68)*P68</f>
        <v>0</v>
      </c>
      <c r="R68" s="13">
        <f>J68+M68+O68+Q68</f>
        <v>45.681394</v>
      </c>
    </row>
    <row r="69" spans="1:18" ht="15">
      <c r="A69" s="27" t="s">
        <v>4</v>
      </c>
      <c r="B69" s="57">
        <v>2002</v>
      </c>
      <c r="C69" s="40" t="s">
        <v>42</v>
      </c>
      <c r="D69" s="41">
        <f>'G-35 Customer Count'!H7</f>
        <v>137</v>
      </c>
      <c r="E69" s="41">
        <v>1</v>
      </c>
      <c r="F69" s="43"/>
      <c r="G69" s="44">
        <f>'G-36 Monthly Volumes'!L61</f>
        <v>55</v>
      </c>
      <c r="H69" s="14">
        <f aca="true" t="shared" si="45" ref="H69:H78">0.1177</f>
        <v>0.1177</v>
      </c>
      <c r="I69" s="6">
        <f aca="true" t="shared" si="46" ref="I69:I78">0.161515</f>
        <v>0.161515</v>
      </c>
      <c r="J69" s="13">
        <f aca="true" t="shared" si="47" ref="J69:J78">D69*E69*H69+(F69+G69)*I69</f>
        <v>25.008225</v>
      </c>
      <c r="K69" s="14">
        <f aca="true" t="shared" si="48" ref="K69:K78">0.3548</f>
        <v>0.3548</v>
      </c>
      <c r="L69" s="6">
        <f aca="true" t="shared" si="49" ref="L69:L78">0.486904</f>
        <v>0.486904</v>
      </c>
      <c r="M69" s="13">
        <f aca="true" t="shared" si="50" ref="M69:M78">D69*E69*K69+(F69+G69)*L69</f>
        <v>75.38732</v>
      </c>
      <c r="N69" s="19"/>
      <c r="O69" s="13">
        <f aca="true" t="shared" si="51" ref="O69:O78">(F69+G69)*N69</f>
        <v>0</v>
      </c>
      <c r="P69" s="19">
        <v>0</v>
      </c>
      <c r="Q69" s="13">
        <f aca="true" t="shared" si="52" ref="Q69:Q78">(F69+G69)*P69</f>
        <v>0</v>
      </c>
      <c r="R69" s="13">
        <f aca="true" t="shared" si="53" ref="R69:R78">J69+M69+O69+Q69</f>
        <v>100.395545</v>
      </c>
    </row>
    <row r="70" spans="1:18" ht="15">
      <c r="A70" s="27" t="s">
        <v>4</v>
      </c>
      <c r="B70" s="57">
        <v>2002</v>
      </c>
      <c r="C70" s="40" t="s">
        <v>35</v>
      </c>
      <c r="D70" s="41">
        <f>'G-35 Customer Count'!H8</f>
        <v>117</v>
      </c>
      <c r="E70" s="41">
        <v>1</v>
      </c>
      <c r="F70" s="43"/>
      <c r="G70" s="44">
        <f>'G-36 Monthly Volumes'!L62</f>
        <v>47</v>
      </c>
      <c r="H70" s="14">
        <f t="shared" si="45"/>
        <v>0.1177</v>
      </c>
      <c r="I70" s="6">
        <f t="shared" si="46"/>
        <v>0.161515</v>
      </c>
      <c r="J70" s="13">
        <f t="shared" si="47"/>
        <v>21.362105</v>
      </c>
      <c r="K70" s="14">
        <f t="shared" si="48"/>
        <v>0.3548</v>
      </c>
      <c r="L70" s="6">
        <f t="shared" si="49"/>
        <v>0.486904</v>
      </c>
      <c r="M70" s="13">
        <f t="shared" si="50"/>
        <v>64.396088</v>
      </c>
      <c r="N70" s="19"/>
      <c r="O70" s="13">
        <f t="shared" si="51"/>
        <v>0</v>
      </c>
      <c r="P70" s="19">
        <v>0</v>
      </c>
      <c r="Q70" s="13">
        <f t="shared" si="52"/>
        <v>0</v>
      </c>
      <c r="R70" s="13">
        <f t="shared" si="53"/>
        <v>85.758193</v>
      </c>
    </row>
    <row r="71" spans="1:18" ht="15">
      <c r="A71" s="27" t="s">
        <v>4</v>
      </c>
      <c r="B71" s="57">
        <v>2002</v>
      </c>
      <c r="C71" s="40" t="s">
        <v>43</v>
      </c>
      <c r="D71" s="41">
        <f>'G-35 Customer Count'!H9</f>
        <v>129</v>
      </c>
      <c r="E71" s="41">
        <v>1</v>
      </c>
      <c r="F71" s="43"/>
      <c r="G71" s="44">
        <f>'G-36 Monthly Volumes'!L63</f>
        <v>53</v>
      </c>
      <c r="H71" s="14">
        <f t="shared" si="45"/>
        <v>0.1177</v>
      </c>
      <c r="I71" s="6">
        <f t="shared" si="46"/>
        <v>0.161515</v>
      </c>
      <c r="J71" s="13">
        <f t="shared" si="47"/>
        <v>23.743595</v>
      </c>
      <c r="K71" s="14">
        <f t="shared" si="48"/>
        <v>0.3548</v>
      </c>
      <c r="L71" s="6">
        <f t="shared" si="49"/>
        <v>0.486904</v>
      </c>
      <c r="M71" s="13">
        <f t="shared" si="50"/>
        <v>71.57511199999999</v>
      </c>
      <c r="N71" s="19"/>
      <c r="O71" s="13">
        <f t="shared" si="51"/>
        <v>0</v>
      </c>
      <c r="P71" s="19">
        <v>0</v>
      </c>
      <c r="Q71" s="13">
        <f t="shared" si="52"/>
        <v>0</v>
      </c>
      <c r="R71" s="13">
        <f t="shared" si="53"/>
        <v>95.31870699999999</v>
      </c>
    </row>
    <row r="72" spans="1:18" ht="15">
      <c r="A72" s="27" t="s">
        <v>4</v>
      </c>
      <c r="B72" s="57">
        <v>2002</v>
      </c>
      <c r="C72" s="40" t="s">
        <v>44</v>
      </c>
      <c r="D72" s="41">
        <f>'G-35 Customer Count'!H10</f>
        <v>121</v>
      </c>
      <c r="E72" s="41">
        <v>1</v>
      </c>
      <c r="F72" s="43"/>
      <c r="G72" s="44">
        <f>'G-36 Monthly Volumes'!L64</f>
        <v>49</v>
      </c>
      <c r="H72" s="14">
        <f t="shared" si="45"/>
        <v>0.1177</v>
      </c>
      <c r="I72" s="6">
        <f t="shared" si="46"/>
        <v>0.161515</v>
      </c>
      <c r="J72" s="13">
        <f t="shared" si="47"/>
        <v>22.155935</v>
      </c>
      <c r="K72" s="14">
        <f t="shared" si="48"/>
        <v>0.3548</v>
      </c>
      <c r="L72" s="6">
        <f t="shared" si="49"/>
        <v>0.486904</v>
      </c>
      <c r="M72" s="13">
        <f t="shared" si="50"/>
        <v>66.789096</v>
      </c>
      <c r="N72" s="19"/>
      <c r="O72" s="13">
        <f t="shared" si="51"/>
        <v>0</v>
      </c>
      <c r="P72" s="19">
        <v>0</v>
      </c>
      <c r="Q72" s="13">
        <f t="shared" si="52"/>
        <v>0</v>
      </c>
      <c r="R72" s="13">
        <f t="shared" si="53"/>
        <v>88.945031</v>
      </c>
    </row>
    <row r="73" spans="1:18" ht="15">
      <c r="A73" s="27" t="s">
        <v>4</v>
      </c>
      <c r="B73" s="57">
        <v>2002</v>
      </c>
      <c r="C73" s="40" t="s">
        <v>45</v>
      </c>
      <c r="D73" s="41">
        <f>'G-35 Customer Count'!H11</f>
        <v>0</v>
      </c>
      <c r="E73" s="41">
        <v>1</v>
      </c>
      <c r="F73" s="43"/>
      <c r="G73" s="44">
        <f>'G-36 Monthly Volumes'!L65</f>
        <v>0</v>
      </c>
      <c r="H73" s="14">
        <f t="shared" si="45"/>
        <v>0.1177</v>
      </c>
      <c r="I73" s="6">
        <f t="shared" si="46"/>
        <v>0.161515</v>
      </c>
      <c r="J73" s="13">
        <f t="shared" si="47"/>
        <v>0</v>
      </c>
      <c r="K73" s="14">
        <f t="shared" si="48"/>
        <v>0.3548</v>
      </c>
      <c r="L73" s="6">
        <f t="shared" si="49"/>
        <v>0.486904</v>
      </c>
      <c r="M73" s="13">
        <f t="shared" si="50"/>
        <v>0</v>
      </c>
      <c r="N73" s="19"/>
      <c r="O73" s="13">
        <f t="shared" si="51"/>
        <v>0</v>
      </c>
      <c r="P73" s="19">
        <v>0</v>
      </c>
      <c r="Q73" s="13">
        <f t="shared" si="52"/>
        <v>0</v>
      </c>
      <c r="R73" s="13">
        <f t="shared" si="53"/>
        <v>0</v>
      </c>
    </row>
    <row r="74" spans="1:18" ht="15">
      <c r="A74" s="27" t="s">
        <v>4</v>
      </c>
      <c r="B74" s="57">
        <v>2002</v>
      </c>
      <c r="C74" s="40" t="s">
        <v>46</v>
      </c>
      <c r="D74" s="41">
        <f>'G-35 Customer Count'!H12</f>
        <v>268</v>
      </c>
      <c r="E74" s="41">
        <v>1</v>
      </c>
      <c r="F74" s="43"/>
      <c r="G74" s="44">
        <f>'G-36 Monthly Volumes'!L66</f>
        <v>105</v>
      </c>
      <c r="H74" s="14">
        <f t="shared" si="45"/>
        <v>0.1177</v>
      </c>
      <c r="I74" s="6">
        <f t="shared" si="46"/>
        <v>0.161515</v>
      </c>
      <c r="J74" s="13">
        <f t="shared" si="47"/>
        <v>48.502674999999996</v>
      </c>
      <c r="K74" s="14">
        <f t="shared" si="48"/>
        <v>0.3548</v>
      </c>
      <c r="L74" s="6">
        <f t="shared" si="49"/>
        <v>0.486904</v>
      </c>
      <c r="M74" s="13">
        <f t="shared" si="50"/>
        <v>146.21132</v>
      </c>
      <c r="N74" s="19"/>
      <c r="O74" s="13">
        <f t="shared" si="51"/>
        <v>0</v>
      </c>
      <c r="P74" s="19">
        <v>0</v>
      </c>
      <c r="Q74" s="13">
        <f t="shared" si="52"/>
        <v>0</v>
      </c>
      <c r="R74" s="13">
        <f t="shared" si="53"/>
        <v>194.713995</v>
      </c>
    </row>
    <row r="75" spans="1:18" ht="15">
      <c r="A75" s="27" t="s">
        <v>4</v>
      </c>
      <c r="B75" s="57">
        <v>2002</v>
      </c>
      <c r="C75" s="40" t="s">
        <v>47</v>
      </c>
      <c r="D75" s="41">
        <f>'G-35 Customer Count'!H13</f>
        <v>121</v>
      </c>
      <c r="E75" s="41">
        <v>1</v>
      </c>
      <c r="F75" s="43"/>
      <c r="G75" s="44">
        <f>'G-36 Monthly Volumes'!L67</f>
        <v>46</v>
      </c>
      <c r="H75" s="14">
        <f t="shared" si="45"/>
        <v>0.1177</v>
      </c>
      <c r="I75" s="6">
        <f t="shared" si="46"/>
        <v>0.161515</v>
      </c>
      <c r="J75" s="13">
        <f t="shared" si="47"/>
        <v>21.67139</v>
      </c>
      <c r="K75" s="14">
        <f t="shared" si="48"/>
        <v>0.3548</v>
      </c>
      <c r="L75" s="6">
        <f t="shared" si="49"/>
        <v>0.486904</v>
      </c>
      <c r="M75" s="13">
        <f t="shared" si="50"/>
        <v>65.328384</v>
      </c>
      <c r="N75" s="19"/>
      <c r="O75" s="13">
        <f t="shared" si="51"/>
        <v>0</v>
      </c>
      <c r="P75" s="19">
        <v>0</v>
      </c>
      <c r="Q75" s="13">
        <f t="shared" si="52"/>
        <v>0</v>
      </c>
      <c r="R75" s="13">
        <f t="shared" si="53"/>
        <v>86.999774</v>
      </c>
    </row>
    <row r="76" spans="1:18" ht="15">
      <c r="A76" s="27" t="s">
        <v>4</v>
      </c>
      <c r="B76" s="57">
        <v>2002</v>
      </c>
      <c r="C76" s="40" t="s">
        <v>48</v>
      </c>
      <c r="D76" s="41">
        <f>'G-35 Customer Count'!H14</f>
        <v>134</v>
      </c>
      <c r="E76" s="41">
        <v>1</v>
      </c>
      <c r="F76" s="43"/>
      <c r="G76" s="44">
        <f>'G-36 Monthly Volumes'!L68</f>
        <v>51</v>
      </c>
      <c r="H76" s="14">
        <f t="shared" si="45"/>
        <v>0.1177</v>
      </c>
      <c r="I76" s="6">
        <f t="shared" si="46"/>
        <v>0.161515</v>
      </c>
      <c r="J76" s="13">
        <f t="shared" si="47"/>
        <v>24.009065</v>
      </c>
      <c r="K76" s="14">
        <f t="shared" si="48"/>
        <v>0.3548</v>
      </c>
      <c r="L76" s="6">
        <f t="shared" si="49"/>
        <v>0.486904</v>
      </c>
      <c r="M76" s="13">
        <f t="shared" si="50"/>
        <v>72.375304</v>
      </c>
      <c r="N76" s="19"/>
      <c r="O76" s="13">
        <f t="shared" si="51"/>
        <v>0</v>
      </c>
      <c r="P76" s="19">
        <v>0</v>
      </c>
      <c r="Q76" s="13">
        <f t="shared" si="52"/>
        <v>0</v>
      </c>
      <c r="R76" s="13">
        <f t="shared" si="53"/>
        <v>96.38436899999999</v>
      </c>
    </row>
    <row r="77" spans="1:18" ht="15">
      <c r="A77" s="27" t="s">
        <v>4</v>
      </c>
      <c r="B77" s="57">
        <v>2002</v>
      </c>
      <c r="C77" s="40" t="s">
        <v>49</v>
      </c>
      <c r="D77" s="41">
        <f>'G-35 Customer Count'!H15</f>
        <v>-4</v>
      </c>
      <c r="E77" s="41">
        <v>1</v>
      </c>
      <c r="F77" s="43"/>
      <c r="G77" s="44">
        <f>'G-36 Monthly Volumes'!L69</f>
        <v>-5</v>
      </c>
      <c r="H77" s="14">
        <f t="shared" si="45"/>
        <v>0.1177</v>
      </c>
      <c r="I77" s="6">
        <f t="shared" si="46"/>
        <v>0.161515</v>
      </c>
      <c r="J77" s="13">
        <f t="shared" si="47"/>
        <v>-1.278375</v>
      </c>
      <c r="K77" s="14">
        <f t="shared" si="48"/>
        <v>0.3548</v>
      </c>
      <c r="L77" s="6">
        <f t="shared" si="49"/>
        <v>0.486904</v>
      </c>
      <c r="M77" s="13">
        <f t="shared" si="50"/>
        <v>-3.85372</v>
      </c>
      <c r="N77" s="19"/>
      <c r="O77" s="13">
        <f t="shared" si="51"/>
        <v>0</v>
      </c>
      <c r="P77" s="19">
        <v>0</v>
      </c>
      <c r="Q77" s="13">
        <f t="shared" si="52"/>
        <v>0</v>
      </c>
      <c r="R77" s="13">
        <f t="shared" si="53"/>
        <v>-5.132095</v>
      </c>
    </row>
    <row r="78" spans="1:18" ht="15.75" thickBot="1">
      <c r="A78" s="27" t="s">
        <v>4</v>
      </c>
      <c r="B78" s="57">
        <v>2002</v>
      </c>
      <c r="C78" s="40" t="s">
        <v>38</v>
      </c>
      <c r="D78" s="41">
        <f>'G-35 Customer Count'!H16</f>
        <v>104.5</v>
      </c>
      <c r="E78" s="41">
        <v>1</v>
      </c>
      <c r="F78" s="43"/>
      <c r="G78" s="44">
        <f>'G-36 Monthly Volumes'!L70</f>
        <v>39</v>
      </c>
      <c r="H78" s="14">
        <f t="shared" si="45"/>
        <v>0.1177</v>
      </c>
      <c r="I78" s="6">
        <f t="shared" si="46"/>
        <v>0.161515</v>
      </c>
      <c r="J78" s="13">
        <f t="shared" si="47"/>
        <v>18.598734999999998</v>
      </c>
      <c r="K78" s="14">
        <f t="shared" si="48"/>
        <v>0.3548</v>
      </c>
      <c r="L78" s="6">
        <f t="shared" si="49"/>
        <v>0.486904</v>
      </c>
      <c r="M78" s="13">
        <f t="shared" si="50"/>
        <v>56.065856</v>
      </c>
      <c r="N78" s="19"/>
      <c r="O78" s="13">
        <f t="shared" si="51"/>
        <v>0</v>
      </c>
      <c r="P78" s="19">
        <v>0</v>
      </c>
      <c r="Q78" s="13">
        <f t="shared" si="52"/>
        <v>0</v>
      </c>
      <c r="R78" s="13">
        <f t="shared" si="53"/>
        <v>74.664591</v>
      </c>
    </row>
    <row r="79" spans="1:18" ht="15.75" thickBot="1">
      <c r="A79" s="59" t="s">
        <v>64</v>
      </c>
      <c r="B79" s="60"/>
      <c r="C79" s="61"/>
      <c r="D79" s="62">
        <f>SUM(D68:D78)</f>
        <v>1188.5</v>
      </c>
      <c r="E79" s="62"/>
      <c r="F79" s="62">
        <f>SUM(F68:F78)</f>
        <v>0</v>
      </c>
      <c r="G79" s="62">
        <f>SUM(G68:G78)</f>
        <v>466</v>
      </c>
      <c r="H79" s="64"/>
      <c r="I79" s="65"/>
      <c r="J79" s="66">
        <f>SUM(J68:J78)</f>
        <v>215.15243999999998</v>
      </c>
      <c r="K79" s="64"/>
      <c r="L79" s="65"/>
      <c r="M79" s="66">
        <f>SUM(M68:M78)</f>
        <v>648.5770640000001</v>
      </c>
      <c r="N79" s="67"/>
      <c r="O79" s="66">
        <f>SUM(O68:O78)</f>
        <v>0</v>
      </c>
      <c r="P79" s="67"/>
      <c r="Q79" s="66">
        <f>SUM(Q68:Q78)</f>
        <v>0</v>
      </c>
      <c r="R79" s="66">
        <f>SUM(R68:R78)</f>
        <v>863.7295039999998</v>
      </c>
    </row>
    <row r="80" spans="1:18" ht="15">
      <c r="A80" s="27"/>
      <c r="B80" s="57"/>
      <c r="C80" s="40"/>
      <c r="D80" s="41"/>
      <c r="E80" s="41"/>
      <c r="F80" s="43"/>
      <c r="G80" s="44"/>
      <c r="H80" s="14"/>
      <c r="I80" s="6"/>
      <c r="J80" s="13"/>
      <c r="K80" s="14"/>
      <c r="L80" s="6"/>
      <c r="M80" s="13"/>
      <c r="N80" s="19"/>
      <c r="O80" s="13"/>
      <c r="P80" s="19"/>
      <c r="Q80" s="13"/>
      <c r="R80" s="13"/>
    </row>
    <row r="81" spans="1:18" ht="15">
      <c r="A81" s="27" t="s">
        <v>5</v>
      </c>
      <c r="B81" s="57">
        <v>2002</v>
      </c>
      <c r="C81" s="40" t="s">
        <v>41</v>
      </c>
      <c r="D81" s="41">
        <f>'G-35 Customer Count'!I6</f>
        <v>1886</v>
      </c>
      <c r="E81" s="41">
        <v>1</v>
      </c>
      <c r="F81" s="43"/>
      <c r="G81" s="44">
        <f>'G-36 Monthly Volumes'!L42</f>
        <v>279</v>
      </c>
      <c r="H81" s="14">
        <f>0.0317</f>
        <v>0.0317</v>
      </c>
      <c r="I81" s="6">
        <f>0.097068</f>
        <v>0.097068</v>
      </c>
      <c r="J81" s="13">
        <f>D81*E81*H81+(F81+G81)*I81</f>
        <v>86.868172</v>
      </c>
      <c r="K81" s="14">
        <f>0.0956</f>
        <v>0.0956</v>
      </c>
      <c r="L81" s="6">
        <f>0.292623</f>
        <v>0.292623</v>
      </c>
      <c r="M81" s="13">
        <f>D81*E81*K81+(F81+G81)*L81</f>
        <v>261.943417</v>
      </c>
      <c r="N81" s="19"/>
      <c r="O81" s="13">
        <f>(F81+G81)*N81</f>
        <v>0</v>
      </c>
      <c r="P81" s="19">
        <v>0</v>
      </c>
      <c r="Q81" s="13">
        <f>(F81+G81)*P81</f>
        <v>0</v>
      </c>
      <c r="R81" s="13">
        <f>J81+M81+O81+Q81</f>
        <v>348.811589</v>
      </c>
    </row>
    <row r="82" spans="1:18" ht="15">
      <c r="A82" s="27" t="s">
        <v>5</v>
      </c>
      <c r="B82" s="57">
        <v>2002</v>
      </c>
      <c r="C82" s="40" t="s">
        <v>42</v>
      </c>
      <c r="D82" s="41">
        <f>'G-35 Customer Count'!I7</f>
        <v>3944</v>
      </c>
      <c r="E82" s="41">
        <v>1</v>
      </c>
      <c r="F82" s="43"/>
      <c r="G82" s="44">
        <f>'G-36 Monthly Volumes'!L43</f>
        <v>580</v>
      </c>
      <c r="H82" s="14">
        <f>0.0317</f>
        <v>0.0317</v>
      </c>
      <c r="I82" s="6">
        <f>0.097068</f>
        <v>0.097068</v>
      </c>
      <c r="J82" s="13">
        <f>D82*E82*H82+(F82+G82)*I82</f>
        <v>181.32424</v>
      </c>
      <c r="K82" s="14">
        <f>0.0956</f>
        <v>0.0956</v>
      </c>
      <c r="L82" s="6">
        <f>0.292623</f>
        <v>0.292623</v>
      </c>
      <c r="M82" s="13">
        <f>D82*E82*K82+(F82+G82)*L82</f>
        <v>546.76774</v>
      </c>
      <c r="N82" s="19"/>
      <c r="O82" s="13">
        <f>(F82+G82)*N82</f>
        <v>0</v>
      </c>
      <c r="P82" s="19">
        <v>0</v>
      </c>
      <c r="Q82" s="13">
        <f>(F82+G82)*P82</f>
        <v>0</v>
      </c>
      <c r="R82" s="13">
        <f>J82+M82+O82+Q82</f>
        <v>728.09198</v>
      </c>
    </row>
    <row r="83" spans="1:18" ht="15">
      <c r="A83" s="27" t="s">
        <v>5</v>
      </c>
      <c r="B83" s="57">
        <v>2002</v>
      </c>
      <c r="C83" s="70" t="s">
        <v>35</v>
      </c>
      <c r="D83" s="41">
        <f>'G-35 Customer Count'!I8</f>
        <v>1909</v>
      </c>
      <c r="E83" s="41">
        <v>1</v>
      </c>
      <c r="F83" s="43"/>
      <c r="G83" s="44">
        <f>'G-36 Monthly Volumes'!L44</f>
        <v>281</v>
      </c>
      <c r="H83" s="14">
        <f aca="true" t="shared" si="54" ref="H83:H91">0.0317</f>
        <v>0.0317</v>
      </c>
      <c r="I83" s="6">
        <f aca="true" t="shared" si="55" ref="I83:I91">0.097068</f>
        <v>0.097068</v>
      </c>
      <c r="J83" s="13">
        <f aca="true" t="shared" si="56" ref="J83:J91">D83*E83*H83+(F83+G83)*I83</f>
        <v>87.79140799999999</v>
      </c>
      <c r="K83" s="14">
        <f aca="true" t="shared" si="57" ref="K83:K91">0.0956</f>
        <v>0.0956</v>
      </c>
      <c r="L83" s="6">
        <f aca="true" t="shared" si="58" ref="L83:L91">0.292623</f>
        <v>0.292623</v>
      </c>
      <c r="M83" s="13">
        <f aca="true" t="shared" si="59" ref="M83:M91">D83*E83*K83+(F83+G83)*L83</f>
        <v>264.727463</v>
      </c>
      <c r="N83" s="19"/>
      <c r="O83" s="13">
        <f aca="true" t="shared" si="60" ref="O83:O91">(F83+G83)*N83</f>
        <v>0</v>
      </c>
      <c r="P83" s="19">
        <v>0</v>
      </c>
      <c r="Q83" s="13">
        <f aca="true" t="shared" si="61" ref="Q83:Q91">(F83+G83)*P83</f>
        <v>0</v>
      </c>
      <c r="R83" s="13">
        <f aca="true" t="shared" si="62" ref="R83:R91">J83+M83+O83+Q83</f>
        <v>352.518871</v>
      </c>
    </row>
    <row r="84" spans="1:18" ht="15">
      <c r="A84" s="27" t="s">
        <v>5</v>
      </c>
      <c r="B84" s="57">
        <v>2002</v>
      </c>
      <c r="C84" s="70" t="s">
        <v>43</v>
      </c>
      <c r="D84" s="41">
        <f>'G-35 Customer Count'!I9</f>
        <v>3763</v>
      </c>
      <c r="E84" s="41">
        <v>1</v>
      </c>
      <c r="F84" s="43"/>
      <c r="G84" s="44">
        <f>'G-36 Monthly Volumes'!L45</f>
        <v>569</v>
      </c>
      <c r="H84" s="14">
        <f t="shared" si="54"/>
        <v>0.0317</v>
      </c>
      <c r="I84" s="6">
        <f t="shared" si="55"/>
        <v>0.097068</v>
      </c>
      <c r="J84" s="13">
        <f t="shared" si="56"/>
        <v>174.518792</v>
      </c>
      <c r="K84" s="14">
        <f t="shared" si="57"/>
        <v>0.0956</v>
      </c>
      <c r="L84" s="6">
        <f t="shared" si="58"/>
        <v>0.292623</v>
      </c>
      <c r="M84" s="13">
        <f t="shared" si="59"/>
        <v>526.245287</v>
      </c>
      <c r="N84" s="19"/>
      <c r="O84" s="13">
        <f t="shared" si="60"/>
        <v>0</v>
      </c>
      <c r="P84" s="19">
        <v>0</v>
      </c>
      <c r="Q84" s="13">
        <f t="shared" si="61"/>
        <v>0</v>
      </c>
      <c r="R84" s="13">
        <f t="shared" si="62"/>
        <v>700.7640789999999</v>
      </c>
    </row>
    <row r="85" spans="1:18" ht="15">
      <c r="A85" s="27" t="s">
        <v>5</v>
      </c>
      <c r="B85" s="57">
        <v>2002</v>
      </c>
      <c r="C85" s="70" t="s">
        <v>44</v>
      </c>
      <c r="D85" s="41">
        <f>'G-35 Customer Count'!I10</f>
        <v>3642</v>
      </c>
      <c r="E85" s="41">
        <v>1</v>
      </c>
      <c r="F85" s="43"/>
      <c r="G85" s="44">
        <f>'G-36 Monthly Volumes'!L46</f>
        <v>569</v>
      </c>
      <c r="H85" s="14">
        <f t="shared" si="54"/>
        <v>0.0317</v>
      </c>
      <c r="I85" s="6">
        <f t="shared" si="55"/>
        <v>0.097068</v>
      </c>
      <c r="J85" s="13">
        <f t="shared" si="56"/>
        <v>170.683092</v>
      </c>
      <c r="K85" s="14">
        <f t="shared" si="57"/>
        <v>0.0956</v>
      </c>
      <c r="L85" s="6">
        <f t="shared" si="58"/>
        <v>0.292623</v>
      </c>
      <c r="M85" s="13">
        <f t="shared" si="59"/>
        <v>514.677687</v>
      </c>
      <c r="N85" s="19"/>
      <c r="O85" s="13">
        <f t="shared" si="60"/>
        <v>0</v>
      </c>
      <c r="P85" s="19">
        <v>0</v>
      </c>
      <c r="Q85" s="13">
        <f t="shared" si="61"/>
        <v>0</v>
      </c>
      <c r="R85" s="13">
        <f t="shared" si="62"/>
        <v>685.360779</v>
      </c>
    </row>
    <row r="86" spans="1:18" ht="15">
      <c r="A86" s="27" t="s">
        <v>5</v>
      </c>
      <c r="B86" s="57">
        <v>2002</v>
      </c>
      <c r="C86" s="70" t="s">
        <v>45</v>
      </c>
      <c r="D86" s="41">
        <f>'G-35 Customer Count'!I11</f>
        <v>3763</v>
      </c>
      <c r="E86" s="41">
        <v>1</v>
      </c>
      <c r="F86" s="43"/>
      <c r="G86" s="44">
        <f>'G-36 Monthly Volumes'!L47</f>
        <v>569</v>
      </c>
      <c r="H86" s="14">
        <f t="shared" si="54"/>
        <v>0.0317</v>
      </c>
      <c r="I86" s="6">
        <f t="shared" si="55"/>
        <v>0.097068</v>
      </c>
      <c r="J86" s="13">
        <f t="shared" si="56"/>
        <v>174.518792</v>
      </c>
      <c r="K86" s="14">
        <f t="shared" si="57"/>
        <v>0.0956</v>
      </c>
      <c r="L86" s="6">
        <f t="shared" si="58"/>
        <v>0.292623</v>
      </c>
      <c r="M86" s="13">
        <f t="shared" si="59"/>
        <v>526.245287</v>
      </c>
      <c r="N86" s="19"/>
      <c r="O86" s="13">
        <f t="shared" si="60"/>
        <v>0</v>
      </c>
      <c r="P86" s="19">
        <v>0</v>
      </c>
      <c r="Q86" s="13">
        <f t="shared" si="61"/>
        <v>0</v>
      </c>
      <c r="R86" s="13">
        <f t="shared" si="62"/>
        <v>700.7640789999999</v>
      </c>
    </row>
    <row r="87" spans="1:18" ht="15">
      <c r="A87" s="27" t="s">
        <v>5</v>
      </c>
      <c r="B87" s="57">
        <v>2002</v>
      </c>
      <c r="C87" s="70" t="s">
        <v>46</v>
      </c>
      <c r="D87" s="41">
        <f>'G-35 Customer Count'!I12</f>
        <v>3763</v>
      </c>
      <c r="E87" s="41">
        <v>1</v>
      </c>
      <c r="F87" s="43"/>
      <c r="G87" s="44">
        <f>'G-36 Monthly Volumes'!L48</f>
        <v>569</v>
      </c>
      <c r="H87" s="14">
        <f t="shared" si="54"/>
        <v>0.0317</v>
      </c>
      <c r="I87" s="6">
        <f t="shared" si="55"/>
        <v>0.097068</v>
      </c>
      <c r="J87" s="13">
        <f t="shared" si="56"/>
        <v>174.518792</v>
      </c>
      <c r="K87" s="14">
        <f t="shared" si="57"/>
        <v>0.0956</v>
      </c>
      <c r="L87" s="6">
        <f t="shared" si="58"/>
        <v>0.292623</v>
      </c>
      <c r="M87" s="13">
        <f t="shared" si="59"/>
        <v>526.245287</v>
      </c>
      <c r="N87" s="19"/>
      <c r="O87" s="13">
        <f t="shared" si="60"/>
        <v>0</v>
      </c>
      <c r="P87" s="19">
        <v>0</v>
      </c>
      <c r="Q87" s="13">
        <f t="shared" si="61"/>
        <v>0</v>
      </c>
      <c r="R87" s="13">
        <f t="shared" si="62"/>
        <v>700.7640789999999</v>
      </c>
    </row>
    <row r="88" spans="1:18" ht="15">
      <c r="A88" s="27" t="s">
        <v>5</v>
      </c>
      <c r="B88" s="57">
        <v>2002</v>
      </c>
      <c r="C88" s="70" t="s">
        <v>47</v>
      </c>
      <c r="D88" s="41">
        <f>'G-35 Customer Count'!I13</f>
        <v>3642</v>
      </c>
      <c r="E88" s="41">
        <v>1</v>
      </c>
      <c r="F88" s="43"/>
      <c r="G88" s="44">
        <f>'G-36 Monthly Volumes'!L49</f>
        <v>569</v>
      </c>
      <c r="H88" s="14">
        <f t="shared" si="54"/>
        <v>0.0317</v>
      </c>
      <c r="I88" s="6">
        <f t="shared" si="55"/>
        <v>0.097068</v>
      </c>
      <c r="J88" s="13">
        <f t="shared" si="56"/>
        <v>170.683092</v>
      </c>
      <c r="K88" s="14">
        <f t="shared" si="57"/>
        <v>0.0956</v>
      </c>
      <c r="L88" s="6">
        <f t="shared" si="58"/>
        <v>0.292623</v>
      </c>
      <c r="M88" s="13">
        <f t="shared" si="59"/>
        <v>514.677687</v>
      </c>
      <c r="N88" s="19"/>
      <c r="O88" s="13">
        <f t="shared" si="60"/>
        <v>0</v>
      </c>
      <c r="P88" s="19">
        <v>0</v>
      </c>
      <c r="Q88" s="13">
        <f t="shared" si="61"/>
        <v>0</v>
      </c>
      <c r="R88" s="13">
        <f t="shared" si="62"/>
        <v>685.360779</v>
      </c>
    </row>
    <row r="89" spans="1:18" ht="15">
      <c r="A89" s="27" t="s">
        <v>5</v>
      </c>
      <c r="B89" s="57">
        <v>2002</v>
      </c>
      <c r="C89" s="70" t="s">
        <v>48</v>
      </c>
      <c r="D89" s="41">
        <f>'G-35 Customer Count'!I14</f>
        <v>3763</v>
      </c>
      <c r="E89" s="41">
        <v>1</v>
      </c>
      <c r="F89" s="43"/>
      <c r="G89" s="44">
        <f>'G-36 Monthly Volumes'!L50</f>
        <v>569</v>
      </c>
      <c r="H89" s="14">
        <f t="shared" si="54"/>
        <v>0.0317</v>
      </c>
      <c r="I89" s="6">
        <f t="shared" si="55"/>
        <v>0.097068</v>
      </c>
      <c r="J89" s="13">
        <f t="shared" si="56"/>
        <v>174.518792</v>
      </c>
      <c r="K89" s="14">
        <f t="shared" si="57"/>
        <v>0.0956</v>
      </c>
      <c r="L89" s="6">
        <f t="shared" si="58"/>
        <v>0.292623</v>
      </c>
      <c r="M89" s="13">
        <f t="shared" si="59"/>
        <v>526.245287</v>
      </c>
      <c r="N89" s="19"/>
      <c r="O89" s="13">
        <f t="shared" si="60"/>
        <v>0</v>
      </c>
      <c r="P89" s="19">
        <v>0</v>
      </c>
      <c r="Q89" s="13">
        <f t="shared" si="61"/>
        <v>0</v>
      </c>
      <c r="R89" s="13">
        <f t="shared" si="62"/>
        <v>700.7640789999999</v>
      </c>
    </row>
    <row r="90" spans="1:18" ht="15">
      <c r="A90" s="27" t="s">
        <v>5</v>
      </c>
      <c r="B90" s="57">
        <v>2002</v>
      </c>
      <c r="C90" s="70" t="s">
        <v>49</v>
      </c>
      <c r="D90" s="41">
        <f>'G-35 Customer Count'!I15</f>
        <v>0</v>
      </c>
      <c r="E90" s="41">
        <v>1</v>
      </c>
      <c r="F90" s="43"/>
      <c r="G90" s="44">
        <f>'G-36 Monthly Volumes'!L51</f>
        <v>0</v>
      </c>
      <c r="H90" s="14">
        <f t="shared" si="54"/>
        <v>0.0317</v>
      </c>
      <c r="I90" s="6">
        <f t="shared" si="55"/>
        <v>0.097068</v>
      </c>
      <c r="J90" s="13">
        <f t="shared" si="56"/>
        <v>0</v>
      </c>
      <c r="K90" s="14">
        <f t="shared" si="57"/>
        <v>0.0956</v>
      </c>
      <c r="L90" s="6">
        <f t="shared" si="58"/>
        <v>0.292623</v>
      </c>
      <c r="M90" s="13">
        <f t="shared" si="59"/>
        <v>0</v>
      </c>
      <c r="N90" s="19"/>
      <c r="O90" s="13">
        <f t="shared" si="60"/>
        <v>0</v>
      </c>
      <c r="P90" s="19">
        <v>0</v>
      </c>
      <c r="Q90" s="13">
        <f t="shared" si="61"/>
        <v>0</v>
      </c>
      <c r="R90" s="13">
        <f t="shared" si="62"/>
        <v>0</v>
      </c>
    </row>
    <row r="91" spans="1:18" ht="15.75" thickBot="1">
      <c r="A91" s="27" t="s">
        <v>5</v>
      </c>
      <c r="B91" s="57">
        <v>2002</v>
      </c>
      <c r="C91" s="70" t="s">
        <v>38</v>
      </c>
      <c r="D91" s="41">
        <f>'G-35 Customer Count'!I16</f>
        <v>7299</v>
      </c>
      <c r="E91" s="41">
        <v>1</v>
      </c>
      <c r="F91" s="43"/>
      <c r="G91" s="44">
        <f>'G-36 Monthly Volumes'!L52</f>
        <v>552</v>
      </c>
      <c r="H91" s="14">
        <f t="shared" si="54"/>
        <v>0.0317</v>
      </c>
      <c r="I91" s="6">
        <f t="shared" si="55"/>
        <v>0.097068</v>
      </c>
      <c r="J91" s="13">
        <f t="shared" si="56"/>
        <v>284.959836</v>
      </c>
      <c r="K91" s="14">
        <f t="shared" si="57"/>
        <v>0.0956</v>
      </c>
      <c r="L91" s="6">
        <f t="shared" si="58"/>
        <v>0.292623</v>
      </c>
      <c r="M91" s="13">
        <f t="shared" si="59"/>
        <v>859.3122960000001</v>
      </c>
      <c r="N91" s="19"/>
      <c r="O91" s="13">
        <f t="shared" si="60"/>
        <v>0</v>
      </c>
      <c r="P91" s="19">
        <v>0</v>
      </c>
      <c r="Q91" s="13">
        <f t="shared" si="61"/>
        <v>0</v>
      </c>
      <c r="R91" s="13">
        <f t="shared" si="62"/>
        <v>1144.272132</v>
      </c>
    </row>
    <row r="92" spans="1:18" ht="15.75" thickBot="1">
      <c r="A92" s="59" t="s">
        <v>65</v>
      </c>
      <c r="B92" s="60"/>
      <c r="C92" s="61"/>
      <c r="D92" s="62">
        <f>SUM(D81:D91)</f>
        <v>37374</v>
      </c>
      <c r="E92" s="62"/>
      <c r="F92" s="62">
        <f>SUM(F81:F91)</f>
        <v>0</v>
      </c>
      <c r="G92" s="62">
        <f>SUM(G81:G91)</f>
        <v>5106</v>
      </c>
      <c r="H92" s="64"/>
      <c r="I92" s="65"/>
      <c r="J92" s="66">
        <f>SUM(J81:J91)</f>
        <v>1680.385008</v>
      </c>
      <c r="K92" s="64"/>
      <c r="L92" s="65"/>
      <c r="M92" s="66">
        <f>SUM(M81:M91)</f>
        <v>5067.087438</v>
      </c>
      <c r="N92" s="67"/>
      <c r="O92" s="66">
        <f>SUM(O81:O91)</f>
        <v>0</v>
      </c>
      <c r="P92" s="67"/>
      <c r="Q92" s="66">
        <f>SUM(Q81:Q91)</f>
        <v>0</v>
      </c>
      <c r="R92" s="66">
        <f>SUM(R81:R91)</f>
        <v>6747.472445999999</v>
      </c>
    </row>
    <row r="93" spans="1:18" ht="15">
      <c r="A93" s="16"/>
      <c r="B93" s="3"/>
      <c r="C93" s="3"/>
      <c r="D93" s="68"/>
      <c r="E93" s="68"/>
      <c r="F93" s="68"/>
      <c r="G93" s="69"/>
      <c r="H93" s="14"/>
      <c r="I93" s="6"/>
      <c r="J93" s="13"/>
      <c r="K93" s="14"/>
      <c r="L93" s="6"/>
      <c r="M93" s="13"/>
      <c r="N93" s="19"/>
      <c r="O93" s="13"/>
      <c r="P93" s="19"/>
      <c r="Q93" s="13"/>
      <c r="R93" s="13"/>
    </row>
    <row r="94" spans="1:18" s="18" customFormat="1" ht="15.75" thickBot="1">
      <c r="A94" s="122" t="s">
        <v>22</v>
      </c>
      <c r="B94" s="123"/>
      <c r="C94" s="123"/>
      <c r="D94" s="124"/>
      <c r="E94" s="124"/>
      <c r="F94" s="124">
        <f>F14+F27+F40+F53+F66+F79+F92</f>
        <v>119160674.50000001</v>
      </c>
      <c r="G94" s="124">
        <f>G14+G27+G40+G53+G66+G79+G92</f>
        <v>373123</v>
      </c>
      <c r="H94" s="122"/>
      <c r="I94" s="123"/>
      <c r="J94" s="125">
        <f>J14+J27+J40+J53+J66+J79+J92</f>
        <v>165862.61615800005</v>
      </c>
      <c r="K94" s="122"/>
      <c r="L94" s="123"/>
      <c r="M94" s="125">
        <f>M14+M27+M40+M53+M66+M79+M92</f>
        <v>500117.9286305001</v>
      </c>
      <c r="N94" s="122"/>
      <c r="O94" s="125">
        <f>O14+O27+O40+O53+O66+O79+O92</f>
        <v>0</v>
      </c>
      <c r="P94" s="122"/>
      <c r="Q94" s="125">
        <f>Q14+Q27+Q40+Q53+Q66+Q79+Q92</f>
        <v>0</v>
      </c>
      <c r="R94" s="125">
        <f>R14+R27+R40+R53+R66+R79+R92</f>
        <v>665980.5447885001</v>
      </c>
    </row>
    <row r="95" spans="1:18" ht="15">
      <c r="A95" s="3"/>
      <c r="B95" s="3"/>
      <c r="C95" s="3"/>
      <c r="D95" s="9"/>
      <c r="E95" s="9"/>
      <c r="F95" s="9"/>
      <c r="G95" s="9"/>
      <c r="H95" s="3"/>
      <c r="I95" s="3"/>
      <c r="J95" s="4"/>
      <c r="K95" s="3"/>
      <c r="L95" s="3"/>
      <c r="M95" s="4"/>
      <c r="N95" s="4"/>
      <c r="O95" s="4"/>
      <c r="P95" s="4"/>
      <c r="Q95" s="4"/>
      <c r="R95" s="4"/>
    </row>
    <row r="99" spans="10:11" ht="15">
      <c r="J99" s="8"/>
      <c r="K99" s="2"/>
    </row>
    <row r="100" spans="10:11" ht="15">
      <c r="J100" s="8"/>
      <c r="K100" s="2"/>
    </row>
    <row r="101" spans="10:11" ht="15">
      <c r="J101" s="8"/>
      <c r="K101" s="2"/>
    </row>
    <row r="102" spans="10:11" ht="15">
      <c r="J102" s="8"/>
      <c r="K102" s="2"/>
    </row>
  </sheetData>
  <sheetProtection/>
  <printOptions/>
  <pageMargins left="0.7" right="0.45" top="0.75" bottom="0.5" header="0.3" footer="0.3"/>
  <pageSetup fitToHeight="2" fitToWidth="1" horizontalDpi="600" verticalDpi="600" orientation="landscape" scale="64" r:id="rId1"/>
  <headerFooter>
    <oddHeader>&amp;C&amp;A&amp;RWoodstock Hydro
EB-2011-0207
September 2011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zoomScalePageLayoutView="0" workbookViewId="0" topLeftCell="A91">
      <selection activeCell="F103" sqref="F103"/>
    </sheetView>
  </sheetViews>
  <sheetFormatPr defaultColWidth="9.140625" defaultRowHeight="15"/>
  <cols>
    <col min="1" max="1" width="22.8515625" style="0" bestFit="1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0.421875" style="0" hidden="1" customWidth="1"/>
    <col min="15" max="15" width="14.00390625" style="0" hidden="1" customWidth="1"/>
    <col min="16" max="16" width="9.00390625" style="0" hidden="1" customWidth="1"/>
    <col min="17" max="17" width="10.140625" style="0" hidden="1" customWidth="1"/>
    <col min="18" max="18" width="13.8515625" style="0" customWidth="1"/>
  </cols>
  <sheetData>
    <row r="1" ht="15">
      <c r="E1" s="71"/>
    </row>
    <row r="2" s="1" customFormat="1" ht="15.75" thickBot="1"/>
    <row r="3" spans="1:18" s="23" customFormat="1" ht="75">
      <c r="A3" s="37" t="s">
        <v>24</v>
      </c>
      <c r="B3" s="56"/>
      <c r="C3" s="38" t="s">
        <v>23</v>
      </c>
      <c r="D3" s="38" t="s">
        <v>58</v>
      </c>
      <c r="E3" s="38" t="s">
        <v>27</v>
      </c>
      <c r="F3" s="38" t="s">
        <v>9</v>
      </c>
      <c r="G3" s="39" t="s">
        <v>10</v>
      </c>
      <c r="H3" s="15" t="s">
        <v>12</v>
      </c>
      <c r="I3" s="17" t="s">
        <v>19</v>
      </c>
      <c r="J3" s="22" t="s">
        <v>13</v>
      </c>
      <c r="K3" s="15" t="s">
        <v>102</v>
      </c>
      <c r="L3" s="17" t="s">
        <v>103</v>
      </c>
      <c r="M3" s="22" t="s">
        <v>104</v>
      </c>
      <c r="N3" s="15" t="s">
        <v>17</v>
      </c>
      <c r="O3" s="22" t="s">
        <v>18</v>
      </c>
      <c r="P3" s="15" t="s">
        <v>20</v>
      </c>
      <c r="Q3" s="22" t="s">
        <v>21</v>
      </c>
      <c r="R3" s="22" t="s">
        <v>6</v>
      </c>
    </row>
    <row r="4" spans="1:18" ht="15">
      <c r="A4" s="27" t="s">
        <v>0</v>
      </c>
      <c r="B4" s="57">
        <v>2003</v>
      </c>
      <c r="C4" s="40" t="s">
        <v>39</v>
      </c>
      <c r="D4" s="41">
        <f>'G-35 Customer Count'!C17</f>
        <v>12434</v>
      </c>
      <c r="E4" s="41">
        <v>1</v>
      </c>
      <c r="F4" s="41">
        <f>'G-36 Monthly Volumes'!D4</f>
        <v>12558869.456093362</v>
      </c>
      <c r="G4" s="42"/>
      <c r="H4" s="12">
        <f>0.4024</f>
        <v>0.4024</v>
      </c>
      <c r="I4" s="6">
        <f>0.000588</f>
        <v>0.000588</v>
      </c>
      <c r="J4" s="13">
        <f>D4*E4*H4+(F4+G4)*I4</f>
        <v>12388.056840182897</v>
      </c>
      <c r="K4" s="12">
        <f>1.2132</f>
        <v>1.2132</v>
      </c>
      <c r="L4" s="6">
        <f>0.001773</f>
        <v>0.001773</v>
      </c>
      <c r="M4" s="13">
        <f>D4*E4*K4+(F4+G4)*L4</f>
        <v>37351.80434565353</v>
      </c>
      <c r="N4" s="19"/>
      <c r="O4" s="13">
        <f>(F4+G4)*N4</f>
        <v>0</v>
      </c>
      <c r="P4" s="19">
        <v>0</v>
      </c>
      <c r="Q4" s="13">
        <f>(F4+G4)*P4</f>
        <v>0</v>
      </c>
      <c r="R4" s="13">
        <f>J4+M4+O4+Q4</f>
        <v>49739.86118583643</v>
      </c>
    </row>
    <row r="5" spans="1:18" ht="15">
      <c r="A5" s="27" t="s">
        <v>0</v>
      </c>
      <c r="B5" s="57">
        <v>2003</v>
      </c>
      <c r="C5" s="40" t="s">
        <v>40</v>
      </c>
      <c r="D5" s="41">
        <f>'G-35 Customer Count'!C18</f>
        <v>12455</v>
      </c>
      <c r="E5" s="41">
        <v>1</v>
      </c>
      <c r="F5" s="41">
        <f>'G-36 Monthly Volumes'!D5</f>
        <v>9674903.140807346</v>
      </c>
      <c r="G5" s="42"/>
      <c r="H5" s="12">
        <f aca="true" t="shared" si="0" ref="H5:H10">0.4024</f>
        <v>0.4024</v>
      </c>
      <c r="I5" s="6">
        <f aca="true" t="shared" si="1" ref="I5:I10">0.000588</f>
        <v>0.000588</v>
      </c>
      <c r="J5" s="13">
        <f aca="true" t="shared" si="2" ref="J5:J10">D5*E5*H5+(F5+G5)*I5</f>
        <v>10700.735046794718</v>
      </c>
      <c r="K5" s="12">
        <f aca="true" t="shared" si="3" ref="K5:K10">1.2132</f>
        <v>1.2132</v>
      </c>
      <c r="L5" s="6">
        <f aca="true" t="shared" si="4" ref="L5:L10">0.001773</f>
        <v>0.001773</v>
      </c>
      <c r="M5" s="13">
        <f aca="true" t="shared" si="5" ref="M5:M10">D5*E5*K5+(F5+G5)*L5</f>
        <v>32264.009268651425</v>
      </c>
      <c r="N5" s="19"/>
      <c r="O5" s="13">
        <f aca="true" t="shared" si="6" ref="O5:O10">(F5+G5)*N5</f>
        <v>0</v>
      </c>
      <c r="P5" s="19">
        <v>0</v>
      </c>
      <c r="Q5" s="13">
        <f aca="true" t="shared" si="7" ref="Q5:Q10">(F5+G5)*P5</f>
        <v>0</v>
      </c>
      <c r="R5" s="13">
        <f aca="true" t="shared" si="8" ref="R5:R16">J5+M5+O5+Q5</f>
        <v>42964.74431544614</v>
      </c>
    </row>
    <row r="6" spans="1:18" ht="15">
      <c r="A6" s="27" t="s">
        <v>0</v>
      </c>
      <c r="B6" s="57">
        <v>2003</v>
      </c>
      <c r="C6" s="40" t="s">
        <v>41</v>
      </c>
      <c r="D6" s="41">
        <f>'G-35 Customer Count'!C19</f>
        <v>12419</v>
      </c>
      <c r="E6" s="41">
        <v>1</v>
      </c>
      <c r="F6" s="41">
        <f>'G-36 Monthly Volumes'!D6</f>
        <v>10317201.988329826</v>
      </c>
      <c r="G6" s="42"/>
      <c r="H6" s="12">
        <f t="shared" si="0"/>
        <v>0.4024</v>
      </c>
      <c r="I6" s="6">
        <f t="shared" si="1"/>
        <v>0.000588</v>
      </c>
      <c r="J6" s="13">
        <f t="shared" si="2"/>
        <v>11063.920369137937</v>
      </c>
      <c r="K6" s="12">
        <f t="shared" si="3"/>
        <v>1.2132</v>
      </c>
      <c r="L6" s="6">
        <f t="shared" si="4"/>
        <v>0.001773</v>
      </c>
      <c r="M6" s="13">
        <f t="shared" si="5"/>
        <v>33359.12992530878</v>
      </c>
      <c r="N6" s="19"/>
      <c r="O6" s="13">
        <f t="shared" si="6"/>
        <v>0</v>
      </c>
      <c r="P6" s="19">
        <v>0</v>
      </c>
      <c r="Q6" s="13">
        <f t="shared" si="7"/>
        <v>0</v>
      </c>
      <c r="R6" s="13">
        <f t="shared" si="8"/>
        <v>44423.050294446715</v>
      </c>
    </row>
    <row r="7" spans="1:18" ht="15">
      <c r="A7" s="27" t="s">
        <v>0</v>
      </c>
      <c r="B7" s="57">
        <v>2003</v>
      </c>
      <c r="C7" s="40" t="s">
        <v>42</v>
      </c>
      <c r="D7" s="41">
        <f>'G-35 Customer Count'!C20</f>
        <v>12455</v>
      </c>
      <c r="E7" s="41">
        <v>1</v>
      </c>
      <c r="F7" s="41">
        <f>'G-36 Monthly Volumes'!D7</f>
        <v>7819837.180464894</v>
      </c>
      <c r="G7" s="42"/>
      <c r="H7" s="12">
        <f t="shared" si="0"/>
        <v>0.4024</v>
      </c>
      <c r="I7" s="6">
        <f t="shared" si="1"/>
        <v>0.000588</v>
      </c>
      <c r="J7" s="13">
        <f t="shared" si="2"/>
        <v>9609.956262113357</v>
      </c>
      <c r="K7" s="12">
        <f t="shared" si="3"/>
        <v>1.2132</v>
      </c>
      <c r="L7" s="6">
        <f t="shared" si="4"/>
        <v>0.001773</v>
      </c>
      <c r="M7" s="13">
        <f t="shared" si="5"/>
        <v>28974.97732096426</v>
      </c>
      <c r="N7" s="19"/>
      <c r="O7" s="13">
        <f t="shared" si="6"/>
        <v>0</v>
      </c>
      <c r="P7" s="19">
        <v>0</v>
      </c>
      <c r="Q7" s="13">
        <f t="shared" si="7"/>
        <v>0</v>
      </c>
      <c r="R7" s="13">
        <f t="shared" si="8"/>
        <v>38584.93358307762</v>
      </c>
    </row>
    <row r="8" spans="1:18" ht="15">
      <c r="A8" s="27" t="s">
        <v>0</v>
      </c>
      <c r="B8" s="57">
        <v>2003</v>
      </c>
      <c r="C8" s="40" t="s">
        <v>35</v>
      </c>
      <c r="D8" s="41">
        <f>'G-35 Customer Count'!C21</f>
        <v>12460</v>
      </c>
      <c r="E8" s="41">
        <v>1</v>
      </c>
      <c r="F8" s="41">
        <f>'G-36 Monthly Volumes'!D8</f>
        <v>7391424.294815382</v>
      </c>
      <c r="G8" s="42"/>
      <c r="H8" s="12">
        <f t="shared" si="0"/>
        <v>0.4024</v>
      </c>
      <c r="I8" s="6">
        <f t="shared" si="1"/>
        <v>0.000588</v>
      </c>
      <c r="J8" s="13">
        <f t="shared" si="2"/>
        <v>9360.061485351445</v>
      </c>
      <c r="K8" s="12">
        <f t="shared" si="3"/>
        <v>1.2132</v>
      </c>
      <c r="L8" s="6">
        <f t="shared" si="4"/>
        <v>0.001773</v>
      </c>
      <c r="M8" s="13">
        <f t="shared" si="5"/>
        <v>28221.467274707677</v>
      </c>
      <c r="N8" s="19"/>
      <c r="O8" s="13">
        <f t="shared" si="6"/>
        <v>0</v>
      </c>
      <c r="P8" s="19">
        <v>0</v>
      </c>
      <c r="Q8" s="13">
        <f t="shared" si="7"/>
        <v>0</v>
      </c>
      <c r="R8" s="13">
        <f t="shared" si="8"/>
        <v>37581.528760059125</v>
      </c>
    </row>
    <row r="9" spans="1:18" ht="15">
      <c r="A9" s="27" t="s">
        <v>0</v>
      </c>
      <c r="B9" s="57">
        <v>2003</v>
      </c>
      <c r="C9" s="40" t="s">
        <v>43</v>
      </c>
      <c r="D9" s="41">
        <f>'G-35 Customer Count'!C22</f>
        <v>12485</v>
      </c>
      <c r="E9" s="41">
        <v>1</v>
      </c>
      <c r="F9" s="41">
        <f>'G-36 Monthly Volumes'!D9</f>
        <v>7250980.248517314</v>
      </c>
      <c r="G9" s="42"/>
      <c r="H9" s="12">
        <f t="shared" si="0"/>
        <v>0.4024</v>
      </c>
      <c r="I9" s="6">
        <f t="shared" si="1"/>
        <v>0.000588</v>
      </c>
      <c r="J9" s="13">
        <f t="shared" si="2"/>
        <v>9287.540386128181</v>
      </c>
      <c r="K9" s="12">
        <f t="shared" si="3"/>
        <v>1.2132</v>
      </c>
      <c r="L9" s="6">
        <f t="shared" si="4"/>
        <v>0.001773</v>
      </c>
      <c r="M9" s="13">
        <f t="shared" si="5"/>
        <v>28002.7899806212</v>
      </c>
      <c r="N9" s="19"/>
      <c r="O9" s="13">
        <f t="shared" si="6"/>
        <v>0</v>
      </c>
      <c r="P9" s="19">
        <v>0</v>
      </c>
      <c r="Q9" s="13">
        <f t="shared" si="7"/>
        <v>0</v>
      </c>
      <c r="R9" s="13">
        <f t="shared" si="8"/>
        <v>37290.33036674938</v>
      </c>
    </row>
    <row r="10" spans="1:18" ht="15">
      <c r="A10" s="27" t="s">
        <v>0</v>
      </c>
      <c r="B10" s="57">
        <v>2003</v>
      </c>
      <c r="C10" s="40" t="s">
        <v>44</v>
      </c>
      <c r="D10" s="41">
        <f>'G-35 Customer Count'!C23</f>
        <v>12493</v>
      </c>
      <c r="E10" s="41">
        <v>1</v>
      </c>
      <c r="F10" s="41">
        <f>'G-36 Monthly Volumes'!D10</f>
        <v>7136537.835278362</v>
      </c>
      <c r="G10" s="42"/>
      <c r="H10" s="12">
        <f t="shared" si="0"/>
        <v>0.4024</v>
      </c>
      <c r="I10" s="6">
        <f t="shared" si="1"/>
        <v>0.000588</v>
      </c>
      <c r="J10" s="13">
        <f t="shared" si="2"/>
        <v>9223.467447143677</v>
      </c>
      <c r="K10" s="12">
        <f t="shared" si="3"/>
        <v>1.2132</v>
      </c>
      <c r="L10" s="6">
        <f t="shared" si="4"/>
        <v>0.001773</v>
      </c>
      <c r="M10" s="13">
        <f t="shared" si="5"/>
        <v>27809.589181948537</v>
      </c>
      <c r="N10" s="19"/>
      <c r="O10" s="13">
        <f t="shared" si="6"/>
        <v>0</v>
      </c>
      <c r="P10" s="19">
        <v>0</v>
      </c>
      <c r="Q10" s="13">
        <f t="shared" si="7"/>
        <v>0</v>
      </c>
      <c r="R10" s="13">
        <f t="shared" si="8"/>
        <v>37033.056629092214</v>
      </c>
    </row>
    <row r="11" spans="1:18" ht="15">
      <c r="A11" s="27" t="s">
        <v>0</v>
      </c>
      <c r="B11" s="57">
        <v>2003</v>
      </c>
      <c r="C11" s="40" t="s">
        <v>45</v>
      </c>
      <c r="D11" s="41">
        <f>'G-35 Customer Count'!C24</f>
        <v>12507</v>
      </c>
      <c r="E11" s="41">
        <v>1</v>
      </c>
      <c r="F11" s="41">
        <f>'G-36 Monthly Volumes'!D11</f>
        <v>9551403.414769467</v>
      </c>
      <c r="G11" s="42"/>
      <c r="H11" s="12">
        <f aca="true" t="shared" si="9" ref="H11:H16">0.4024</f>
        <v>0.4024</v>
      </c>
      <c r="I11" s="6">
        <f aca="true" t="shared" si="10" ref="I11:I16">0.000588</f>
        <v>0.000588</v>
      </c>
      <c r="J11" s="13">
        <f aca="true" t="shared" si="11" ref="J11:J16">D11*E11*H11+(F11+G11)*I11</f>
        <v>10649.042007884447</v>
      </c>
      <c r="K11" s="12">
        <f aca="true" t="shared" si="12" ref="K11:K16">1.2132</f>
        <v>1.2132</v>
      </c>
      <c r="L11" s="6">
        <f aca="true" t="shared" si="13" ref="L11:L16">0.001773</f>
        <v>0.001773</v>
      </c>
      <c r="M11" s="13">
        <f aca="true" t="shared" si="14" ref="M11:M16">D11*E11*K11+(F11+G11)*L11</f>
        <v>32108.130654386267</v>
      </c>
      <c r="N11" s="19"/>
      <c r="O11" s="13">
        <f aca="true" t="shared" si="15" ref="O11:O16">(F11+G11)*N11</f>
        <v>0</v>
      </c>
      <c r="P11" s="19">
        <v>0</v>
      </c>
      <c r="Q11" s="13">
        <f aca="true" t="shared" si="16" ref="Q11:Q16">(F11+G11)*P11</f>
        <v>0</v>
      </c>
      <c r="R11" s="13">
        <f t="shared" si="8"/>
        <v>42757.172662270714</v>
      </c>
    </row>
    <row r="12" spans="1:18" ht="15">
      <c r="A12" s="27" t="s">
        <v>0</v>
      </c>
      <c r="B12" s="57">
        <v>2003</v>
      </c>
      <c r="C12" s="40" t="s">
        <v>46</v>
      </c>
      <c r="D12" s="41">
        <f>'G-35 Customer Count'!C25</f>
        <v>12560</v>
      </c>
      <c r="E12" s="41">
        <v>1</v>
      </c>
      <c r="F12" s="41">
        <f>'G-36 Monthly Volumes'!D12</f>
        <v>8583563.475607423</v>
      </c>
      <c r="G12" s="42"/>
      <c r="H12" s="12">
        <f t="shared" si="9"/>
        <v>0.4024</v>
      </c>
      <c r="I12" s="6">
        <f t="shared" si="10"/>
        <v>0.000588</v>
      </c>
      <c r="J12" s="13">
        <f t="shared" si="11"/>
        <v>10101.279323657163</v>
      </c>
      <c r="K12" s="12">
        <f t="shared" si="12"/>
        <v>1.2132</v>
      </c>
      <c r="L12" s="6">
        <f t="shared" si="13"/>
        <v>0.001773</v>
      </c>
      <c r="M12" s="13">
        <f t="shared" si="14"/>
        <v>30456.450042251963</v>
      </c>
      <c r="N12" s="19"/>
      <c r="O12" s="13">
        <f t="shared" si="15"/>
        <v>0</v>
      </c>
      <c r="P12" s="19">
        <v>0</v>
      </c>
      <c r="Q12" s="13">
        <f t="shared" si="16"/>
        <v>0</v>
      </c>
      <c r="R12" s="13">
        <f t="shared" si="8"/>
        <v>40557.72936590912</v>
      </c>
    </row>
    <row r="13" spans="1:18" ht="15">
      <c r="A13" s="27" t="s">
        <v>0</v>
      </c>
      <c r="B13" s="57">
        <v>2003</v>
      </c>
      <c r="C13" s="40" t="s">
        <v>47</v>
      </c>
      <c r="D13" s="41">
        <f>'G-35 Customer Count'!C26</f>
        <v>12591</v>
      </c>
      <c r="E13" s="41">
        <v>1</v>
      </c>
      <c r="F13" s="41">
        <f>'G-36 Monthly Volumes'!D13</f>
        <v>8159451.939735986</v>
      </c>
      <c r="G13" s="42"/>
      <c r="H13" s="12">
        <f t="shared" si="9"/>
        <v>0.4024</v>
      </c>
      <c r="I13" s="6">
        <f t="shared" si="10"/>
        <v>0.000588</v>
      </c>
      <c r="J13" s="13">
        <f t="shared" si="11"/>
        <v>9864.37614056476</v>
      </c>
      <c r="K13" s="12">
        <f t="shared" si="12"/>
        <v>1.2132</v>
      </c>
      <c r="L13" s="6">
        <f t="shared" si="13"/>
        <v>0.001773</v>
      </c>
      <c r="M13" s="13">
        <f t="shared" si="14"/>
        <v>29742.109489151902</v>
      </c>
      <c r="N13" s="19"/>
      <c r="O13" s="13">
        <f t="shared" si="15"/>
        <v>0</v>
      </c>
      <c r="P13" s="19">
        <v>0</v>
      </c>
      <c r="Q13" s="13">
        <f t="shared" si="16"/>
        <v>0</v>
      </c>
      <c r="R13" s="13">
        <f t="shared" si="8"/>
        <v>39606.48562971666</v>
      </c>
    </row>
    <row r="14" spans="1:18" ht="15">
      <c r="A14" s="27" t="s">
        <v>0</v>
      </c>
      <c r="B14" s="57">
        <v>2003</v>
      </c>
      <c r="C14" s="40" t="s">
        <v>48</v>
      </c>
      <c r="D14" s="41">
        <f>'G-35 Customer Count'!C27</f>
        <v>12582</v>
      </c>
      <c r="E14" s="41">
        <v>1</v>
      </c>
      <c r="F14" s="41">
        <f>'G-36 Monthly Volumes'!D14</f>
        <v>8101934.475224794</v>
      </c>
      <c r="G14" s="42"/>
      <c r="H14" s="12">
        <f t="shared" si="9"/>
        <v>0.4024</v>
      </c>
      <c r="I14" s="6">
        <f t="shared" si="10"/>
        <v>0.000588</v>
      </c>
      <c r="J14" s="13">
        <f t="shared" si="11"/>
        <v>9826.93427143218</v>
      </c>
      <c r="K14" s="12">
        <f t="shared" si="12"/>
        <v>1.2132</v>
      </c>
      <c r="L14" s="6">
        <f t="shared" si="13"/>
        <v>0.001773</v>
      </c>
      <c r="M14" s="13">
        <f t="shared" si="14"/>
        <v>29629.21222457356</v>
      </c>
      <c r="N14" s="19"/>
      <c r="O14" s="13">
        <f t="shared" si="15"/>
        <v>0</v>
      </c>
      <c r="P14" s="19">
        <v>0</v>
      </c>
      <c r="Q14" s="13">
        <f t="shared" si="16"/>
        <v>0</v>
      </c>
      <c r="R14" s="13">
        <f t="shared" si="8"/>
        <v>39456.146496005735</v>
      </c>
    </row>
    <row r="15" spans="1:18" ht="15">
      <c r="A15" s="27" t="s">
        <v>0</v>
      </c>
      <c r="B15" s="57">
        <v>2003</v>
      </c>
      <c r="C15" s="40" t="s">
        <v>49</v>
      </c>
      <c r="D15" s="41">
        <f>'G-35 Customer Count'!C28</f>
        <v>12466</v>
      </c>
      <c r="E15" s="41">
        <v>1</v>
      </c>
      <c r="F15" s="41">
        <f>'G-36 Monthly Volumes'!D15</f>
        <v>8249937.917926152</v>
      </c>
      <c r="G15" s="42"/>
      <c r="H15" s="12">
        <f t="shared" si="9"/>
        <v>0.4024</v>
      </c>
      <c r="I15" s="6">
        <f t="shared" si="10"/>
        <v>0.000588</v>
      </c>
      <c r="J15" s="13">
        <f t="shared" si="11"/>
        <v>9867.281895740576</v>
      </c>
      <c r="K15" s="12">
        <f t="shared" si="12"/>
        <v>1.2132</v>
      </c>
      <c r="L15" s="6">
        <f t="shared" si="13"/>
        <v>0.001773</v>
      </c>
      <c r="M15" s="13">
        <f t="shared" si="14"/>
        <v>29750.89112848307</v>
      </c>
      <c r="N15" s="19"/>
      <c r="O15" s="13">
        <f t="shared" si="15"/>
        <v>0</v>
      </c>
      <c r="P15" s="19">
        <v>0</v>
      </c>
      <c r="Q15" s="13">
        <f t="shared" si="16"/>
        <v>0</v>
      </c>
      <c r="R15" s="13">
        <f t="shared" si="8"/>
        <v>39618.173024223644</v>
      </c>
    </row>
    <row r="16" spans="1:18" ht="15.75" thickBot="1">
      <c r="A16" s="27" t="s">
        <v>0</v>
      </c>
      <c r="B16" s="57">
        <v>2003</v>
      </c>
      <c r="C16" s="40" t="s">
        <v>38</v>
      </c>
      <c r="D16" s="41"/>
      <c r="E16" s="41">
        <v>1</v>
      </c>
      <c r="F16" s="41">
        <f>'G-36 Monthly Volumes'!D16</f>
        <v>4430975</v>
      </c>
      <c r="G16" s="42"/>
      <c r="H16" s="12">
        <f t="shared" si="9"/>
        <v>0.4024</v>
      </c>
      <c r="I16" s="6">
        <f t="shared" si="10"/>
        <v>0.000588</v>
      </c>
      <c r="J16" s="13">
        <f t="shared" si="11"/>
        <v>2605.4132999999997</v>
      </c>
      <c r="K16" s="12">
        <f t="shared" si="12"/>
        <v>1.2132</v>
      </c>
      <c r="L16" s="6">
        <f t="shared" si="13"/>
        <v>0.001773</v>
      </c>
      <c r="M16" s="13">
        <f t="shared" si="14"/>
        <v>7856.118675000001</v>
      </c>
      <c r="N16" s="19"/>
      <c r="O16" s="13">
        <f t="shared" si="15"/>
        <v>0</v>
      </c>
      <c r="P16" s="19">
        <v>0</v>
      </c>
      <c r="Q16" s="13">
        <f t="shared" si="16"/>
        <v>0</v>
      </c>
      <c r="R16" s="13">
        <f t="shared" si="8"/>
        <v>10461.531975</v>
      </c>
    </row>
    <row r="17" spans="1:18" ht="15.75" thickBot="1">
      <c r="A17" s="59" t="s">
        <v>59</v>
      </c>
      <c r="B17" s="60"/>
      <c r="C17" s="61"/>
      <c r="D17" s="62">
        <f>SUM(D4:D16)</f>
        <v>149907</v>
      </c>
      <c r="E17" s="62"/>
      <c r="F17" s="62">
        <f>SUM(F4:F16)</f>
        <v>109227020.3675703</v>
      </c>
      <c r="G17" s="62">
        <f>SUM(G4:G16)</f>
        <v>0</v>
      </c>
      <c r="H17" s="64"/>
      <c r="I17" s="65"/>
      <c r="J17" s="66">
        <f>SUM(J4:J16)</f>
        <v>124548.06477613134</v>
      </c>
      <c r="K17" s="64"/>
      <c r="L17" s="65"/>
      <c r="M17" s="66">
        <f>SUM(M4:M16)</f>
        <v>375526.67951170215</v>
      </c>
      <c r="N17" s="67"/>
      <c r="O17" s="66">
        <f>SUM(O4:O16)</f>
        <v>0</v>
      </c>
      <c r="P17" s="67"/>
      <c r="Q17" s="66">
        <f>SUM(Q4:Q16)</f>
        <v>0</v>
      </c>
      <c r="R17" s="66">
        <f>SUM(R4:R16)</f>
        <v>500074.7442878335</v>
      </c>
    </row>
    <row r="18" spans="1:18" ht="15">
      <c r="A18" s="27"/>
      <c r="B18" s="57"/>
      <c r="C18" s="40"/>
      <c r="D18" s="41"/>
      <c r="E18" s="41"/>
      <c r="F18" s="41"/>
      <c r="G18" s="42"/>
      <c r="H18" s="12"/>
      <c r="I18" s="6"/>
      <c r="J18" s="13"/>
      <c r="K18" s="12"/>
      <c r="L18" s="6"/>
      <c r="M18" s="13"/>
      <c r="N18" s="19"/>
      <c r="O18" s="13"/>
      <c r="P18" s="19"/>
      <c r="Q18" s="13"/>
      <c r="R18" s="13"/>
    </row>
    <row r="19" spans="1:18" ht="15">
      <c r="A19" s="27" t="s">
        <v>1</v>
      </c>
      <c r="B19" s="57">
        <v>2003</v>
      </c>
      <c r="C19" s="40" t="s">
        <v>39</v>
      </c>
      <c r="D19" s="41">
        <f>'G-35 Customer Count'!D17</f>
        <v>1233</v>
      </c>
      <c r="E19" s="41">
        <v>1</v>
      </c>
      <c r="F19" s="41">
        <f>'G-36 Monthly Volumes'!D22</f>
        <v>2924153.3333333335</v>
      </c>
      <c r="G19" s="42"/>
      <c r="H19" s="12">
        <f>0.6597</f>
        <v>0.6597</v>
      </c>
      <c r="I19" s="6">
        <f>0.000432</f>
        <v>0.000432</v>
      </c>
      <c r="J19" s="13">
        <f>D19*E19*H19+(F19+G19)*I19</f>
        <v>2076.64434</v>
      </c>
      <c r="K19" s="12">
        <f>1.9888</f>
        <v>1.9888</v>
      </c>
      <c r="L19" s="6">
        <f>0.001304</f>
        <v>0.001304</v>
      </c>
      <c r="M19" s="13">
        <f>D19*E19*K19+(F19+G19)*L19</f>
        <v>6265.286346666667</v>
      </c>
      <c r="N19" s="19"/>
      <c r="O19" s="13">
        <f>(F19+G19)*N19</f>
        <v>0</v>
      </c>
      <c r="P19" s="19">
        <v>0</v>
      </c>
      <c r="Q19" s="13">
        <f>(F19+G19)*P19</f>
        <v>0</v>
      </c>
      <c r="R19" s="13">
        <f>J19+M19+O19+Q19</f>
        <v>8341.930686666667</v>
      </c>
    </row>
    <row r="20" spans="1:18" ht="15">
      <c r="A20" s="27" t="s">
        <v>1</v>
      </c>
      <c r="B20" s="57">
        <v>2003</v>
      </c>
      <c r="C20" s="40" t="s">
        <v>40</v>
      </c>
      <c r="D20" s="41">
        <f>'G-35 Customer Count'!D18</f>
        <v>1240</v>
      </c>
      <c r="E20" s="41">
        <v>1</v>
      </c>
      <c r="F20" s="41">
        <f>'G-36 Monthly Volumes'!D23</f>
        <v>4715807.333333333</v>
      </c>
      <c r="G20" s="42"/>
      <c r="H20" s="12">
        <f aca="true" t="shared" si="17" ref="H20:H31">0.6597</f>
        <v>0.6597</v>
      </c>
      <c r="I20" s="6">
        <f aca="true" t="shared" si="18" ref="I20:I31">0.000432</f>
        <v>0.000432</v>
      </c>
      <c r="J20" s="13">
        <f aca="true" t="shared" si="19" ref="J20:J31">D20*E20*H20+(F20+G20)*I20</f>
        <v>2855.2567679999997</v>
      </c>
      <c r="K20" s="12">
        <f aca="true" t="shared" si="20" ref="K20:K31">1.9888</f>
        <v>1.9888</v>
      </c>
      <c r="L20" s="6">
        <f aca="true" t="shared" si="21" ref="L20:L31">0.001304</f>
        <v>0.001304</v>
      </c>
      <c r="M20" s="13">
        <f aca="true" t="shared" si="22" ref="M20:M31">D20*E20*K20+(F20+G20)*L20</f>
        <v>8615.524762666668</v>
      </c>
      <c r="N20" s="19"/>
      <c r="O20" s="13">
        <f aca="true" t="shared" si="23" ref="O20:O31">(F20+G20)*N20</f>
        <v>0</v>
      </c>
      <c r="P20" s="19">
        <v>0</v>
      </c>
      <c r="Q20" s="13">
        <f aca="true" t="shared" si="24" ref="Q20:Q31">(F20+G20)*P20</f>
        <v>0</v>
      </c>
      <c r="R20" s="13">
        <f aca="true" t="shared" si="25" ref="R20:R31">J20+M20+O20+Q20</f>
        <v>11470.781530666667</v>
      </c>
    </row>
    <row r="21" spans="1:18" ht="15">
      <c r="A21" s="27" t="s">
        <v>1</v>
      </c>
      <c r="B21" s="57">
        <v>2003</v>
      </c>
      <c r="C21" s="40" t="s">
        <v>41</v>
      </c>
      <c r="D21" s="41">
        <f>'G-35 Customer Count'!D19</f>
        <v>1229</v>
      </c>
      <c r="E21" s="41">
        <v>1</v>
      </c>
      <c r="F21" s="41">
        <f>'G-36 Monthly Volumes'!D24</f>
        <v>8076677.333333333</v>
      </c>
      <c r="G21" s="42"/>
      <c r="H21" s="12">
        <f t="shared" si="17"/>
        <v>0.6597</v>
      </c>
      <c r="I21" s="6">
        <f t="shared" si="18"/>
        <v>0.000432</v>
      </c>
      <c r="J21" s="13">
        <f t="shared" si="19"/>
        <v>4299.8959079999995</v>
      </c>
      <c r="K21" s="12">
        <f t="shared" si="20"/>
        <v>1.9888</v>
      </c>
      <c r="L21" s="6">
        <f t="shared" si="21"/>
        <v>0.001304</v>
      </c>
      <c r="M21" s="13">
        <f t="shared" si="22"/>
        <v>12976.222442666665</v>
      </c>
      <c r="N21" s="19"/>
      <c r="O21" s="13">
        <f t="shared" si="23"/>
        <v>0</v>
      </c>
      <c r="P21" s="19">
        <v>0</v>
      </c>
      <c r="Q21" s="13">
        <f t="shared" si="24"/>
        <v>0</v>
      </c>
      <c r="R21" s="13">
        <f t="shared" si="25"/>
        <v>17276.118350666664</v>
      </c>
    </row>
    <row r="22" spans="1:18" ht="15">
      <c r="A22" s="27" t="s">
        <v>1</v>
      </c>
      <c r="B22" s="57">
        <v>2003</v>
      </c>
      <c r="C22" s="40" t="s">
        <v>42</v>
      </c>
      <c r="D22" s="41">
        <f>'G-35 Customer Count'!D20</f>
        <v>1233</v>
      </c>
      <c r="E22" s="41">
        <v>1</v>
      </c>
      <c r="F22" s="41">
        <f>'G-36 Monthly Volumes'!D25</f>
        <v>3318471.3333333335</v>
      </c>
      <c r="G22" s="42"/>
      <c r="H22" s="12">
        <f t="shared" si="17"/>
        <v>0.6597</v>
      </c>
      <c r="I22" s="6">
        <f t="shared" si="18"/>
        <v>0.000432</v>
      </c>
      <c r="J22" s="13">
        <f t="shared" si="19"/>
        <v>2246.989716</v>
      </c>
      <c r="K22" s="12">
        <f t="shared" si="20"/>
        <v>1.9888</v>
      </c>
      <c r="L22" s="6">
        <f t="shared" si="21"/>
        <v>0.001304</v>
      </c>
      <c r="M22" s="13">
        <f t="shared" si="22"/>
        <v>6779.4770186666665</v>
      </c>
      <c r="N22" s="19"/>
      <c r="O22" s="13">
        <f t="shared" si="23"/>
        <v>0</v>
      </c>
      <c r="P22" s="19">
        <v>0</v>
      </c>
      <c r="Q22" s="13">
        <f t="shared" si="24"/>
        <v>0</v>
      </c>
      <c r="R22" s="13">
        <f t="shared" si="25"/>
        <v>9026.466734666667</v>
      </c>
    </row>
    <row r="23" spans="1:18" ht="15">
      <c r="A23" s="27" t="s">
        <v>1</v>
      </c>
      <c r="B23" s="57">
        <v>2003</v>
      </c>
      <c r="C23" s="40" t="s">
        <v>35</v>
      </c>
      <c r="D23" s="41">
        <f>'G-35 Customer Count'!D21</f>
        <v>1226</v>
      </c>
      <c r="E23" s="41">
        <v>1</v>
      </c>
      <c r="F23" s="41">
        <f>'G-36 Monthly Volumes'!D26</f>
        <v>3208045.3333333335</v>
      </c>
      <c r="G23" s="42"/>
      <c r="H23" s="12">
        <f t="shared" si="17"/>
        <v>0.6597</v>
      </c>
      <c r="I23" s="6">
        <f t="shared" si="18"/>
        <v>0.000432</v>
      </c>
      <c r="J23" s="13">
        <f t="shared" si="19"/>
        <v>2194.667784</v>
      </c>
      <c r="K23" s="12">
        <f t="shared" si="20"/>
        <v>1.9888</v>
      </c>
      <c r="L23" s="6">
        <f t="shared" si="21"/>
        <v>0.001304</v>
      </c>
      <c r="M23" s="13">
        <f t="shared" si="22"/>
        <v>6621.559914666666</v>
      </c>
      <c r="N23" s="19"/>
      <c r="O23" s="13">
        <f t="shared" si="23"/>
        <v>0</v>
      </c>
      <c r="P23" s="19">
        <v>0</v>
      </c>
      <c r="Q23" s="13">
        <f t="shared" si="24"/>
        <v>0</v>
      </c>
      <c r="R23" s="13">
        <f t="shared" si="25"/>
        <v>8816.227698666666</v>
      </c>
    </row>
    <row r="24" spans="1:18" ht="15">
      <c r="A24" s="27" t="s">
        <v>1</v>
      </c>
      <c r="B24" s="57">
        <v>2003</v>
      </c>
      <c r="C24" s="40" t="s">
        <v>43</v>
      </c>
      <c r="D24" s="41">
        <f>'G-35 Customer Count'!D22</f>
        <v>1226</v>
      </c>
      <c r="E24" s="41">
        <v>1</v>
      </c>
      <c r="F24" s="41">
        <f>'G-36 Monthly Volumes'!D27</f>
        <v>3181516.3333333335</v>
      </c>
      <c r="G24" s="42"/>
      <c r="H24" s="12">
        <f t="shared" si="17"/>
        <v>0.6597</v>
      </c>
      <c r="I24" s="6">
        <f t="shared" si="18"/>
        <v>0.000432</v>
      </c>
      <c r="J24" s="13">
        <f t="shared" si="19"/>
        <v>2183.207256</v>
      </c>
      <c r="K24" s="12">
        <f t="shared" si="20"/>
        <v>1.9888</v>
      </c>
      <c r="L24" s="6">
        <f t="shared" si="21"/>
        <v>0.001304</v>
      </c>
      <c r="M24" s="13">
        <f t="shared" si="22"/>
        <v>6586.966098666667</v>
      </c>
      <c r="N24" s="19"/>
      <c r="O24" s="13">
        <f t="shared" si="23"/>
        <v>0</v>
      </c>
      <c r="P24" s="19">
        <v>0</v>
      </c>
      <c r="Q24" s="13">
        <f t="shared" si="24"/>
        <v>0</v>
      </c>
      <c r="R24" s="13">
        <f t="shared" si="25"/>
        <v>8770.173354666667</v>
      </c>
    </row>
    <row r="25" spans="1:18" ht="15">
      <c r="A25" s="27" t="s">
        <v>1</v>
      </c>
      <c r="B25" s="57">
        <v>2003</v>
      </c>
      <c r="C25" s="40" t="s">
        <v>44</v>
      </c>
      <c r="D25" s="41">
        <f>'G-35 Customer Count'!D23</f>
        <v>1226</v>
      </c>
      <c r="E25" s="41">
        <v>1</v>
      </c>
      <c r="F25" s="41">
        <f>'G-36 Monthly Volumes'!D28</f>
        <v>3459078.3333333335</v>
      </c>
      <c r="G25" s="42"/>
      <c r="H25" s="12">
        <f t="shared" si="17"/>
        <v>0.6597</v>
      </c>
      <c r="I25" s="6">
        <f t="shared" si="18"/>
        <v>0.000432</v>
      </c>
      <c r="J25" s="13">
        <f t="shared" si="19"/>
        <v>2303.11404</v>
      </c>
      <c r="K25" s="12">
        <f t="shared" si="20"/>
        <v>1.9888</v>
      </c>
      <c r="L25" s="6">
        <f t="shared" si="21"/>
        <v>0.001304</v>
      </c>
      <c r="M25" s="13">
        <f t="shared" si="22"/>
        <v>6948.906946666667</v>
      </c>
      <c r="N25" s="19"/>
      <c r="O25" s="13">
        <f t="shared" si="23"/>
        <v>0</v>
      </c>
      <c r="P25" s="19">
        <v>0</v>
      </c>
      <c r="Q25" s="13">
        <f t="shared" si="24"/>
        <v>0</v>
      </c>
      <c r="R25" s="13">
        <f t="shared" si="25"/>
        <v>9252.020986666666</v>
      </c>
    </row>
    <row r="26" spans="1:18" ht="15">
      <c r="A26" s="27" t="s">
        <v>1</v>
      </c>
      <c r="B26" s="57">
        <v>2003</v>
      </c>
      <c r="C26" s="40" t="s">
        <v>45</v>
      </c>
      <c r="D26" s="41">
        <f>'G-35 Customer Count'!D24</f>
        <v>1228</v>
      </c>
      <c r="E26" s="41">
        <v>1</v>
      </c>
      <c r="F26" s="41">
        <f>'G-36 Monthly Volumes'!D29</f>
        <v>3878821.3333333335</v>
      </c>
      <c r="G26" s="42"/>
      <c r="H26" s="12">
        <f t="shared" si="17"/>
        <v>0.6597</v>
      </c>
      <c r="I26" s="6">
        <f t="shared" si="18"/>
        <v>0.000432</v>
      </c>
      <c r="J26" s="13">
        <f t="shared" si="19"/>
        <v>2485.762416</v>
      </c>
      <c r="K26" s="12">
        <f t="shared" si="20"/>
        <v>1.9888</v>
      </c>
      <c r="L26" s="6">
        <f t="shared" si="21"/>
        <v>0.001304</v>
      </c>
      <c r="M26" s="13">
        <f t="shared" si="22"/>
        <v>7500.229418666667</v>
      </c>
      <c r="N26" s="19"/>
      <c r="O26" s="13">
        <f t="shared" si="23"/>
        <v>0</v>
      </c>
      <c r="P26" s="19">
        <v>0</v>
      </c>
      <c r="Q26" s="13">
        <f t="shared" si="24"/>
        <v>0</v>
      </c>
      <c r="R26" s="13">
        <f t="shared" si="25"/>
        <v>9985.991834666667</v>
      </c>
    </row>
    <row r="27" spans="1:18" ht="15">
      <c r="A27" s="27" t="s">
        <v>1</v>
      </c>
      <c r="B27" s="57">
        <v>2003</v>
      </c>
      <c r="C27" s="40" t="s">
        <v>46</v>
      </c>
      <c r="D27" s="41">
        <f>'G-35 Customer Count'!D25</f>
        <v>1227</v>
      </c>
      <c r="E27" s="41">
        <v>1</v>
      </c>
      <c r="F27" s="41">
        <f>'G-36 Monthly Volumes'!D30</f>
        <v>3544403.3333333335</v>
      </c>
      <c r="G27" s="42"/>
      <c r="H27" s="12">
        <f t="shared" si="17"/>
        <v>0.6597</v>
      </c>
      <c r="I27" s="6">
        <f t="shared" si="18"/>
        <v>0.000432</v>
      </c>
      <c r="J27" s="13">
        <f t="shared" si="19"/>
        <v>2340.63414</v>
      </c>
      <c r="K27" s="12">
        <f t="shared" si="20"/>
        <v>1.9888</v>
      </c>
      <c r="L27" s="6">
        <f t="shared" si="21"/>
        <v>0.001304</v>
      </c>
      <c r="M27" s="13">
        <f t="shared" si="22"/>
        <v>7062.159546666667</v>
      </c>
      <c r="N27" s="19"/>
      <c r="O27" s="13">
        <f t="shared" si="23"/>
        <v>0</v>
      </c>
      <c r="P27" s="19">
        <v>0</v>
      </c>
      <c r="Q27" s="13">
        <f t="shared" si="24"/>
        <v>0</v>
      </c>
      <c r="R27" s="13">
        <f t="shared" si="25"/>
        <v>9402.793686666668</v>
      </c>
    </row>
    <row r="28" spans="1:18" ht="15">
      <c r="A28" s="27" t="s">
        <v>1</v>
      </c>
      <c r="B28" s="57">
        <v>2003</v>
      </c>
      <c r="C28" s="40" t="s">
        <v>47</v>
      </c>
      <c r="D28" s="41">
        <f>'G-35 Customer Count'!D26</f>
        <v>1226</v>
      </c>
      <c r="E28" s="41">
        <v>1</v>
      </c>
      <c r="F28" s="41">
        <f>'G-36 Monthly Volumes'!D31</f>
        <v>3125359.3333333335</v>
      </c>
      <c r="G28" s="42"/>
      <c r="H28" s="12">
        <f t="shared" si="17"/>
        <v>0.6597</v>
      </c>
      <c r="I28" s="6">
        <f t="shared" si="18"/>
        <v>0.000432</v>
      </c>
      <c r="J28" s="13">
        <f t="shared" si="19"/>
        <v>2158.947432</v>
      </c>
      <c r="K28" s="12">
        <f t="shared" si="20"/>
        <v>1.9888</v>
      </c>
      <c r="L28" s="6">
        <f t="shared" si="21"/>
        <v>0.001304</v>
      </c>
      <c r="M28" s="13">
        <f t="shared" si="22"/>
        <v>6513.737370666667</v>
      </c>
      <c r="N28" s="19"/>
      <c r="O28" s="13">
        <f t="shared" si="23"/>
        <v>0</v>
      </c>
      <c r="P28" s="19">
        <v>0</v>
      </c>
      <c r="Q28" s="13">
        <f t="shared" si="24"/>
        <v>0</v>
      </c>
      <c r="R28" s="13">
        <f t="shared" si="25"/>
        <v>8672.684802666667</v>
      </c>
    </row>
    <row r="29" spans="1:18" ht="15">
      <c r="A29" s="27" t="s">
        <v>1</v>
      </c>
      <c r="B29" s="57">
        <v>2003</v>
      </c>
      <c r="C29" s="40" t="s">
        <v>48</v>
      </c>
      <c r="D29" s="41">
        <f>'G-35 Customer Count'!D27</f>
        <v>1230</v>
      </c>
      <c r="E29" s="41">
        <v>1</v>
      </c>
      <c r="F29" s="41">
        <f>'G-36 Monthly Volumes'!D32</f>
        <v>3404853.3333333335</v>
      </c>
      <c r="G29" s="42"/>
      <c r="H29" s="12">
        <f t="shared" si="17"/>
        <v>0.6597</v>
      </c>
      <c r="I29" s="6">
        <f t="shared" si="18"/>
        <v>0.000432</v>
      </c>
      <c r="J29" s="13">
        <f t="shared" si="19"/>
        <v>2282.32764</v>
      </c>
      <c r="K29" s="12">
        <f t="shared" si="20"/>
        <v>1.9888</v>
      </c>
      <c r="L29" s="6">
        <f t="shared" si="21"/>
        <v>0.001304</v>
      </c>
      <c r="M29" s="13">
        <f t="shared" si="22"/>
        <v>6886.152746666667</v>
      </c>
      <c r="N29" s="19"/>
      <c r="O29" s="13">
        <f t="shared" si="23"/>
        <v>0</v>
      </c>
      <c r="P29" s="19">
        <v>0</v>
      </c>
      <c r="Q29" s="13">
        <f t="shared" si="24"/>
        <v>0</v>
      </c>
      <c r="R29" s="13">
        <f t="shared" si="25"/>
        <v>9168.480386666666</v>
      </c>
    </row>
    <row r="30" spans="1:18" ht="15">
      <c r="A30" s="27" t="s">
        <v>1</v>
      </c>
      <c r="B30" s="57">
        <v>2003</v>
      </c>
      <c r="C30" s="40" t="s">
        <v>49</v>
      </c>
      <c r="D30" s="41">
        <f>'G-35 Customer Count'!D28</f>
        <v>1144</v>
      </c>
      <c r="E30" s="41">
        <v>1</v>
      </c>
      <c r="F30" s="41">
        <f>'G-36 Monthly Volumes'!D33</f>
        <v>3265964.3333333335</v>
      </c>
      <c r="G30" s="42"/>
      <c r="H30" s="12">
        <f t="shared" si="17"/>
        <v>0.6597</v>
      </c>
      <c r="I30" s="6">
        <f t="shared" si="18"/>
        <v>0.000432</v>
      </c>
      <c r="J30" s="13">
        <f t="shared" si="19"/>
        <v>2165.5933919999998</v>
      </c>
      <c r="K30" s="12">
        <f t="shared" si="20"/>
        <v>1.9888</v>
      </c>
      <c r="L30" s="6">
        <f t="shared" si="21"/>
        <v>0.001304</v>
      </c>
      <c r="M30" s="13">
        <f t="shared" si="22"/>
        <v>6534.004690666667</v>
      </c>
      <c r="N30" s="19"/>
      <c r="O30" s="13">
        <f t="shared" si="23"/>
        <v>0</v>
      </c>
      <c r="P30" s="19">
        <v>0</v>
      </c>
      <c r="Q30" s="13">
        <f t="shared" si="24"/>
        <v>0</v>
      </c>
      <c r="R30" s="13">
        <f t="shared" si="25"/>
        <v>8699.598082666667</v>
      </c>
    </row>
    <row r="31" spans="1:18" ht="15.75" thickBot="1">
      <c r="A31" s="27" t="s">
        <v>1</v>
      </c>
      <c r="B31" s="57">
        <v>2003</v>
      </c>
      <c r="C31" s="40" t="s">
        <v>38</v>
      </c>
      <c r="D31" s="41">
        <v>0</v>
      </c>
      <c r="E31" s="41">
        <v>1</v>
      </c>
      <c r="F31" s="41">
        <f>'G-36 Monthly Volumes'!D34</f>
        <v>2165565</v>
      </c>
      <c r="G31" s="42"/>
      <c r="H31" s="12">
        <f t="shared" si="17"/>
        <v>0.6597</v>
      </c>
      <c r="I31" s="6">
        <f t="shared" si="18"/>
        <v>0.000432</v>
      </c>
      <c r="J31" s="13">
        <f t="shared" si="19"/>
        <v>935.5240799999999</v>
      </c>
      <c r="K31" s="12">
        <f t="shared" si="20"/>
        <v>1.9888</v>
      </c>
      <c r="L31" s="6">
        <f t="shared" si="21"/>
        <v>0.001304</v>
      </c>
      <c r="M31" s="13">
        <f t="shared" si="22"/>
        <v>2823.89676</v>
      </c>
      <c r="N31" s="19"/>
      <c r="O31" s="13">
        <f t="shared" si="23"/>
        <v>0</v>
      </c>
      <c r="P31" s="19">
        <v>0</v>
      </c>
      <c r="Q31" s="13">
        <f t="shared" si="24"/>
        <v>0</v>
      </c>
      <c r="R31" s="13">
        <f t="shared" si="25"/>
        <v>3759.4208399999998</v>
      </c>
    </row>
    <row r="32" spans="1:18" ht="15.75" thickBot="1">
      <c r="A32" s="59" t="s">
        <v>60</v>
      </c>
      <c r="B32" s="60"/>
      <c r="C32" s="61"/>
      <c r="D32" s="62">
        <f>SUM(D19:D31)</f>
        <v>14668</v>
      </c>
      <c r="E32" s="62"/>
      <c r="F32" s="62">
        <f>SUM(F19:F31)</f>
        <v>48268716</v>
      </c>
      <c r="G32" s="62">
        <f>SUM(G19:G31)</f>
        <v>0</v>
      </c>
      <c r="H32" s="64"/>
      <c r="I32" s="65"/>
      <c r="J32" s="66">
        <f>SUM(J19:J31)</f>
        <v>30528.564911999998</v>
      </c>
      <c r="K32" s="64"/>
      <c r="L32" s="65"/>
      <c r="M32" s="66">
        <f>SUM(M19:M31)</f>
        <v>92114.12406400002</v>
      </c>
      <c r="N32" s="67"/>
      <c r="O32" s="66">
        <f>SUM(O19:O31)</f>
        <v>0</v>
      </c>
      <c r="P32" s="67"/>
      <c r="Q32" s="66">
        <f>SUM(Q19:Q31)</f>
        <v>0</v>
      </c>
      <c r="R32" s="66">
        <f>SUM(R19:R31)</f>
        <v>122642.688976</v>
      </c>
    </row>
    <row r="33" spans="1:18" ht="15">
      <c r="A33" s="27"/>
      <c r="B33" s="57"/>
      <c r="C33" s="40"/>
      <c r="D33" s="41"/>
      <c r="E33" s="41"/>
      <c r="F33" s="41"/>
      <c r="G33" s="42"/>
      <c r="H33" s="12"/>
      <c r="I33" s="6"/>
      <c r="J33" s="13"/>
      <c r="K33" s="12"/>
      <c r="L33" s="6"/>
      <c r="M33" s="13"/>
      <c r="N33" s="19"/>
      <c r="O33" s="13"/>
      <c r="P33" s="19"/>
      <c r="Q33" s="13"/>
      <c r="R33" s="13"/>
    </row>
    <row r="34" spans="1:18" ht="15">
      <c r="A34" s="27" t="s">
        <v>8</v>
      </c>
      <c r="B34" s="57">
        <v>2003</v>
      </c>
      <c r="C34" s="40" t="s">
        <v>39</v>
      </c>
      <c r="D34" s="41">
        <f>'G-35 Customer Count'!E17</f>
        <v>51</v>
      </c>
      <c r="E34" s="41">
        <v>1</v>
      </c>
      <c r="F34" s="41">
        <f>'G-36 Monthly Volumes'!D40</f>
        <v>6968.666666666667</v>
      </c>
      <c r="G34" s="42"/>
      <c r="H34" s="12">
        <f>0.6597</f>
        <v>0.6597</v>
      </c>
      <c r="I34" s="6">
        <f>0.000432</f>
        <v>0.000432</v>
      </c>
      <c r="J34" s="13">
        <f>D34*E34*H34+(F34+G34)*I34</f>
        <v>36.655164</v>
      </c>
      <c r="K34" s="12">
        <f>1.9888</f>
        <v>1.9888</v>
      </c>
      <c r="L34" s="6">
        <f>0.001304</f>
        <v>0.001304</v>
      </c>
      <c r="M34" s="13">
        <f>D34*E34*K34+(F34+G34)*L34</f>
        <v>110.51594133333333</v>
      </c>
      <c r="N34" s="19"/>
      <c r="O34" s="13">
        <f>(F34+G34)*N34</f>
        <v>0</v>
      </c>
      <c r="P34" s="19">
        <v>0</v>
      </c>
      <c r="Q34" s="13">
        <f>(F34+G34)*P34</f>
        <v>0</v>
      </c>
      <c r="R34" s="13">
        <f>J34+M34+O34+Q34</f>
        <v>147.17110533333334</v>
      </c>
    </row>
    <row r="35" spans="1:18" ht="15">
      <c r="A35" s="27" t="s">
        <v>8</v>
      </c>
      <c r="B35" s="57">
        <v>2003</v>
      </c>
      <c r="C35" s="40" t="s">
        <v>40</v>
      </c>
      <c r="D35" s="41">
        <f>'G-35 Customer Count'!E18</f>
        <v>51</v>
      </c>
      <c r="E35" s="41">
        <v>1</v>
      </c>
      <c r="F35" s="41">
        <f>'G-36 Monthly Volumes'!D41</f>
        <v>6968.666666666667</v>
      </c>
      <c r="G35" s="42"/>
      <c r="H35" s="12">
        <f aca="true" t="shared" si="26" ref="H35:H46">0.6597</f>
        <v>0.6597</v>
      </c>
      <c r="I35" s="6">
        <f aca="true" t="shared" si="27" ref="I35:I46">0.000432</f>
        <v>0.000432</v>
      </c>
      <c r="J35" s="13">
        <f aca="true" t="shared" si="28" ref="J35:J46">D35*E35*H35+(F35+G35)*I35</f>
        <v>36.655164</v>
      </c>
      <c r="K35" s="12">
        <f aca="true" t="shared" si="29" ref="K35:K46">1.9888</f>
        <v>1.9888</v>
      </c>
      <c r="L35" s="6">
        <f aca="true" t="shared" si="30" ref="L35:L46">0.001304</f>
        <v>0.001304</v>
      </c>
      <c r="M35" s="13">
        <f aca="true" t="shared" si="31" ref="M35:M46">D35*E35*K35+(F35+G35)*L35</f>
        <v>110.51594133333333</v>
      </c>
      <c r="N35" s="19"/>
      <c r="O35" s="13">
        <f aca="true" t="shared" si="32" ref="O35:O46">(F35+G35)*N35</f>
        <v>0</v>
      </c>
      <c r="P35" s="19">
        <v>0</v>
      </c>
      <c r="Q35" s="13">
        <f aca="true" t="shared" si="33" ref="Q35:Q46">(F35+G35)*P35</f>
        <v>0</v>
      </c>
      <c r="R35" s="13">
        <f aca="true" t="shared" si="34" ref="R35:R46">J35+M35+O35+Q35</f>
        <v>147.17110533333334</v>
      </c>
    </row>
    <row r="36" spans="1:18" ht="15">
      <c r="A36" s="27" t="s">
        <v>8</v>
      </c>
      <c r="B36" s="57">
        <v>2003</v>
      </c>
      <c r="C36" s="40" t="s">
        <v>41</v>
      </c>
      <c r="D36" s="41">
        <f>'G-35 Customer Count'!E19</f>
        <v>51</v>
      </c>
      <c r="E36" s="41">
        <v>1</v>
      </c>
      <c r="F36" s="41">
        <f>'G-36 Monthly Volumes'!D42</f>
        <v>6968.666666666667</v>
      </c>
      <c r="G36" s="42"/>
      <c r="H36" s="12">
        <f t="shared" si="26"/>
        <v>0.6597</v>
      </c>
      <c r="I36" s="6">
        <f t="shared" si="27"/>
        <v>0.000432</v>
      </c>
      <c r="J36" s="13">
        <f t="shared" si="28"/>
        <v>36.655164</v>
      </c>
      <c r="K36" s="12">
        <f t="shared" si="29"/>
        <v>1.9888</v>
      </c>
      <c r="L36" s="6">
        <f t="shared" si="30"/>
        <v>0.001304</v>
      </c>
      <c r="M36" s="13">
        <f t="shared" si="31"/>
        <v>110.51594133333333</v>
      </c>
      <c r="N36" s="19"/>
      <c r="O36" s="13">
        <f t="shared" si="32"/>
        <v>0</v>
      </c>
      <c r="P36" s="19">
        <v>0</v>
      </c>
      <c r="Q36" s="13">
        <f t="shared" si="33"/>
        <v>0</v>
      </c>
      <c r="R36" s="13">
        <f t="shared" si="34"/>
        <v>147.17110533333334</v>
      </c>
    </row>
    <row r="37" spans="1:18" ht="15">
      <c r="A37" s="27" t="s">
        <v>8</v>
      </c>
      <c r="B37" s="57">
        <v>2003</v>
      </c>
      <c r="C37" s="40" t="s">
        <v>42</v>
      </c>
      <c r="D37" s="41">
        <f>'G-35 Customer Count'!E20</f>
        <v>51</v>
      </c>
      <c r="E37" s="41">
        <v>1</v>
      </c>
      <c r="F37" s="41">
        <f>'G-36 Monthly Volumes'!D43</f>
        <v>6968.666666666667</v>
      </c>
      <c r="G37" s="42"/>
      <c r="H37" s="12">
        <f t="shared" si="26"/>
        <v>0.6597</v>
      </c>
      <c r="I37" s="6">
        <f t="shared" si="27"/>
        <v>0.000432</v>
      </c>
      <c r="J37" s="13">
        <f t="shared" si="28"/>
        <v>36.655164</v>
      </c>
      <c r="K37" s="12">
        <f t="shared" si="29"/>
        <v>1.9888</v>
      </c>
      <c r="L37" s="6">
        <f t="shared" si="30"/>
        <v>0.001304</v>
      </c>
      <c r="M37" s="13">
        <f t="shared" si="31"/>
        <v>110.51594133333333</v>
      </c>
      <c r="N37" s="19"/>
      <c r="O37" s="13">
        <f t="shared" si="32"/>
        <v>0</v>
      </c>
      <c r="P37" s="19">
        <v>0</v>
      </c>
      <c r="Q37" s="13">
        <f t="shared" si="33"/>
        <v>0</v>
      </c>
      <c r="R37" s="13">
        <f t="shared" si="34"/>
        <v>147.17110533333334</v>
      </c>
    </row>
    <row r="38" spans="1:18" ht="15">
      <c r="A38" s="27" t="s">
        <v>8</v>
      </c>
      <c r="B38" s="57">
        <v>2003</v>
      </c>
      <c r="C38" s="40" t="s">
        <v>35</v>
      </c>
      <c r="D38" s="41">
        <f>'G-35 Customer Count'!E21</f>
        <v>51</v>
      </c>
      <c r="E38" s="41">
        <v>1</v>
      </c>
      <c r="F38" s="41">
        <f>'G-36 Monthly Volumes'!D44</f>
        <v>6968.666666666667</v>
      </c>
      <c r="G38" s="42"/>
      <c r="H38" s="12">
        <f t="shared" si="26"/>
        <v>0.6597</v>
      </c>
      <c r="I38" s="6">
        <f t="shared" si="27"/>
        <v>0.000432</v>
      </c>
      <c r="J38" s="13">
        <f t="shared" si="28"/>
        <v>36.655164</v>
      </c>
      <c r="K38" s="12">
        <f t="shared" si="29"/>
        <v>1.9888</v>
      </c>
      <c r="L38" s="6">
        <f t="shared" si="30"/>
        <v>0.001304</v>
      </c>
      <c r="M38" s="13">
        <f t="shared" si="31"/>
        <v>110.51594133333333</v>
      </c>
      <c r="N38" s="19"/>
      <c r="O38" s="13">
        <f t="shared" si="32"/>
        <v>0</v>
      </c>
      <c r="P38" s="19">
        <v>0</v>
      </c>
      <c r="Q38" s="13">
        <f t="shared" si="33"/>
        <v>0</v>
      </c>
      <c r="R38" s="13">
        <f t="shared" si="34"/>
        <v>147.17110533333334</v>
      </c>
    </row>
    <row r="39" spans="1:18" ht="15">
      <c r="A39" s="27" t="s">
        <v>8</v>
      </c>
      <c r="B39" s="57">
        <v>2003</v>
      </c>
      <c r="C39" s="40" t="s">
        <v>43</v>
      </c>
      <c r="D39" s="41">
        <f>'G-35 Customer Count'!E22</f>
        <v>51</v>
      </c>
      <c r="E39" s="41">
        <v>1</v>
      </c>
      <c r="F39" s="41">
        <f>'G-36 Monthly Volumes'!D45</f>
        <v>6968.666666666667</v>
      </c>
      <c r="G39" s="42"/>
      <c r="H39" s="12">
        <f t="shared" si="26"/>
        <v>0.6597</v>
      </c>
      <c r="I39" s="6">
        <f t="shared" si="27"/>
        <v>0.000432</v>
      </c>
      <c r="J39" s="13">
        <f t="shared" si="28"/>
        <v>36.655164</v>
      </c>
      <c r="K39" s="12">
        <f t="shared" si="29"/>
        <v>1.9888</v>
      </c>
      <c r="L39" s="6">
        <f t="shared" si="30"/>
        <v>0.001304</v>
      </c>
      <c r="M39" s="13">
        <f t="shared" si="31"/>
        <v>110.51594133333333</v>
      </c>
      <c r="N39" s="19"/>
      <c r="O39" s="13">
        <f t="shared" si="32"/>
        <v>0</v>
      </c>
      <c r="P39" s="19">
        <v>0</v>
      </c>
      <c r="Q39" s="13">
        <f t="shared" si="33"/>
        <v>0</v>
      </c>
      <c r="R39" s="13">
        <f t="shared" si="34"/>
        <v>147.17110533333334</v>
      </c>
    </row>
    <row r="40" spans="1:18" ht="15">
      <c r="A40" s="27" t="s">
        <v>8</v>
      </c>
      <c r="B40" s="57">
        <v>2003</v>
      </c>
      <c r="C40" s="40" t="s">
        <v>44</v>
      </c>
      <c r="D40" s="41">
        <f>'G-35 Customer Count'!E23</f>
        <v>51</v>
      </c>
      <c r="E40" s="41">
        <v>1</v>
      </c>
      <c r="F40" s="41">
        <f>'G-36 Monthly Volumes'!D46</f>
        <v>6968.666666666667</v>
      </c>
      <c r="G40" s="42"/>
      <c r="H40" s="12">
        <f t="shared" si="26"/>
        <v>0.6597</v>
      </c>
      <c r="I40" s="6">
        <f t="shared" si="27"/>
        <v>0.000432</v>
      </c>
      <c r="J40" s="13">
        <f t="shared" si="28"/>
        <v>36.655164</v>
      </c>
      <c r="K40" s="12">
        <f t="shared" si="29"/>
        <v>1.9888</v>
      </c>
      <c r="L40" s="6">
        <f t="shared" si="30"/>
        <v>0.001304</v>
      </c>
      <c r="M40" s="13">
        <f t="shared" si="31"/>
        <v>110.51594133333333</v>
      </c>
      <c r="N40" s="19"/>
      <c r="O40" s="13">
        <f t="shared" si="32"/>
        <v>0</v>
      </c>
      <c r="P40" s="19">
        <v>0</v>
      </c>
      <c r="Q40" s="13">
        <f t="shared" si="33"/>
        <v>0</v>
      </c>
      <c r="R40" s="13">
        <f t="shared" si="34"/>
        <v>147.17110533333334</v>
      </c>
    </row>
    <row r="41" spans="1:18" ht="15">
      <c r="A41" s="27" t="s">
        <v>8</v>
      </c>
      <c r="B41" s="57">
        <v>2003</v>
      </c>
      <c r="C41" s="40" t="s">
        <v>45</v>
      </c>
      <c r="D41" s="41">
        <f>'G-35 Customer Count'!E24</f>
        <v>51</v>
      </c>
      <c r="E41" s="41">
        <v>1</v>
      </c>
      <c r="F41" s="41">
        <f>'G-36 Monthly Volumes'!D47</f>
        <v>6968.666666666667</v>
      </c>
      <c r="G41" s="42"/>
      <c r="H41" s="12">
        <f t="shared" si="26"/>
        <v>0.6597</v>
      </c>
      <c r="I41" s="6">
        <f t="shared" si="27"/>
        <v>0.000432</v>
      </c>
      <c r="J41" s="13">
        <f t="shared" si="28"/>
        <v>36.655164</v>
      </c>
      <c r="K41" s="12">
        <f t="shared" si="29"/>
        <v>1.9888</v>
      </c>
      <c r="L41" s="6">
        <f t="shared" si="30"/>
        <v>0.001304</v>
      </c>
      <c r="M41" s="13">
        <f t="shared" si="31"/>
        <v>110.51594133333333</v>
      </c>
      <c r="N41" s="19"/>
      <c r="O41" s="13">
        <f t="shared" si="32"/>
        <v>0</v>
      </c>
      <c r="P41" s="19">
        <v>0</v>
      </c>
      <c r="Q41" s="13">
        <f t="shared" si="33"/>
        <v>0</v>
      </c>
      <c r="R41" s="13">
        <f t="shared" si="34"/>
        <v>147.17110533333334</v>
      </c>
    </row>
    <row r="42" spans="1:18" ht="15">
      <c r="A42" s="27" t="s">
        <v>8</v>
      </c>
      <c r="B42" s="57">
        <v>2003</v>
      </c>
      <c r="C42" s="40" t="s">
        <v>46</v>
      </c>
      <c r="D42" s="41">
        <f>'G-35 Customer Count'!E25</f>
        <v>51</v>
      </c>
      <c r="E42" s="41">
        <v>1</v>
      </c>
      <c r="F42" s="41">
        <f>'G-36 Monthly Volumes'!D48</f>
        <v>6968.666666666667</v>
      </c>
      <c r="G42" s="42"/>
      <c r="H42" s="12">
        <f t="shared" si="26"/>
        <v>0.6597</v>
      </c>
      <c r="I42" s="6">
        <f t="shared" si="27"/>
        <v>0.000432</v>
      </c>
      <c r="J42" s="13">
        <f t="shared" si="28"/>
        <v>36.655164</v>
      </c>
      <c r="K42" s="12">
        <f t="shared" si="29"/>
        <v>1.9888</v>
      </c>
      <c r="L42" s="6">
        <f t="shared" si="30"/>
        <v>0.001304</v>
      </c>
      <c r="M42" s="13">
        <f t="shared" si="31"/>
        <v>110.51594133333333</v>
      </c>
      <c r="N42" s="19"/>
      <c r="O42" s="13">
        <f t="shared" si="32"/>
        <v>0</v>
      </c>
      <c r="P42" s="19">
        <v>0</v>
      </c>
      <c r="Q42" s="13">
        <f t="shared" si="33"/>
        <v>0</v>
      </c>
      <c r="R42" s="13">
        <f t="shared" si="34"/>
        <v>147.17110533333334</v>
      </c>
    </row>
    <row r="43" spans="1:18" ht="15">
      <c r="A43" s="27" t="s">
        <v>8</v>
      </c>
      <c r="B43" s="57">
        <v>2003</v>
      </c>
      <c r="C43" s="40" t="s">
        <v>47</v>
      </c>
      <c r="D43" s="41">
        <f>'G-35 Customer Count'!E26</f>
        <v>51</v>
      </c>
      <c r="E43" s="41">
        <v>1</v>
      </c>
      <c r="F43" s="41">
        <f>'G-36 Monthly Volumes'!D49</f>
        <v>6968.666666666667</v>
      </c>
      <c r="G43" s="42"/>
      <c r="H43" s="12">
        <f t="shared" si="26"/>
        <v>0.6597</v>
      </c>
      <c r="I43" s="6">
        <f t="shared" si="27"/>
        <v>0.000432</v>
      </c>
      <c r="J43" s="13">
        <f t="shared" si="28"/>
        <v>36.655164</v>
      </c>
      <c r="K43" s="12">
        <f t="shared" si="29"/>
        <v>1.9888</v>
      </c>
      <c r="L43" s="6">
        <f t="shared" si="30"/>
        <v>0.001304</v>
      </c>
      <c r="M43" s="13">
        <f t="shared" si="31"/>
        <v>110.51594133333333</v>
      </c>
      <c r="N43" s="19"/>
      <c r="O43" s="13">
        <f t="shared" si="32"/>
        <v>0</v>
      </c>
      <c r="P43" s="19">
        <v>0</v>
      </c>
      <c r="Q43" s="13">
        <f t="shared" si="33"/>
        <v>0</v>
      </c>
      <c r="R43" s="13">
        <f t="shared" si="34"/>
        <v>147.17110533333334</v>
      </c>
    </row>
    <row r="44" spans="1:18" ht="15">
      <c r="A44" s="27" t="s">
        <v>8</v>
      </c>
      <c r="B44" s="57">
        <v>2003</v>
      </c>
      <c r="C44" s="40" t="s">
        <v>48</v>
      </c>
      <c r="D44" s="41">
        <f>'G-35 Customer Count'!E27</f>
        <v>51</v>
      </c>
      <c r="E44" s="41">
        <v>1</v>
      </c>
      <c r="F44" s="41">
        <f>'G-36 Monthly Volumes'!D50</f>
        <v>6968.666666666667</v>
      </c>
      <c r="G44" s="42"/>
      <c r="H44" s="12">
        <f t="shared" si="26"/>
        <v>0.6597</v>
      </c>
      <c r="I44" s="6">
        <f t="shared" si="27"/>
        <v>0.000432</v>
      </c>
      <c r="J44" s="13">
        <f t="shared" si="28"/>
        <v>36.655164</v>
      </c>
      <c r="K44" s="12">
        <f t="shared" si="29"/>
        <v>1.9888</v>
      </c>
      <c r="L44" s="6">
        <f t="shared" si="30"/>
        <v>0.001304</v>
      </c>
      <c r="M44" s="13">
        <f t="shared" si="31"/>
        <v>110.51594133333333</v>
      </c>
      <c r="N44" s="19"/>
      <c r="O44" s="13">
        <f t="shared" si="32"/>
        <v>0</v>
      </c>
      <c r="P44" s="19">
        <v>0</v>
      </c>
      <c r="Q44" s="13">
        <f t="shared" si="33"/>
        <v>0</v>
      </c>
      <c r="R44" s="13">
        <f t="shared" si="34"/>
        <v>147.17110533333334</v>
      </c>
    </row>
    <row r="45" spans="1:18" ht="15">
      <c r="A45" s="27" t="s">
        <v>8</v>
      </c>
      <c r="B45" s="57">
        <v>2003</v>
      </c>
      <c r="C45" s="40" t="s">
        <v>49</v>
      </c>
      <c r="D45" s="41">
        <f>'G-35 Customer Count'!E28</f>
        <v>51</v>
      </c>
      <c r="E45" s="41">
        <v>1</v>
      </c>
      <c r="F45" s="41">
        <f>'G-36 Monthly Volumes'!D51</f>
        <v>6968.666666666667</v>
      </c>
      <c r="G45" s="42"/>
      <c r="H45" s="12">
        <f t="shared" si="26"/>
        <v>0.6597</v>
      </c>
      <c r="I45" s="6">
        <f t="shared" si="27"/>
        <v>0.000432</v>
      </c>
      <c r="J45" s="13">
        <f t="shared" si="28"/>
        <v>36.655164</v>
      </c>
      <c r="K45" s="12">
        <f t="shared" si="29"/>
        <v>1.9888</v>
      </c>
      <c r="L45" s="6">
        <f t="shared" si="30"/>
        <v>0.001304</v>
      </c>
      <c r="M45" s="13">
        <f t="shared" si="31"/>
        <v>110.51594133333333</v>
      </c>
      <c r="N45" s="19"/>
      <c r="O45" s="13">
        <f t="shared" si="32"/>
        <v>0</v>
      </c>
      <c r="P45" s="19">
        <v>0</v>
      </c>
      <c r="Q45" s="13">
        <f t="shared" si="33"/>
        <v>0</v>
      </c>
      <c r="R45" s="13">
        <f t="shared" si="34"/>
        <v>147.17110533333334</v>
      </c>
    </row>
    <row r="46" spans="1:18" ht="15.75" thickBot="1">
      <c r="A46" s="27" t="s">
        <v>8</v>
      </c>
      <c r="B46" s="57">
        <v>2003</v>
      </c>
      <c r="C46" s="40" t="s">
        <v>38</v>
      </c>
      <c r="D46" s="41"/>
      <c r="E46" s="41">
        <v>1</v>
      </c>
      <c r="F46" s="41">
        <f>'G-36 Monthly Volumes'!D52</f>
        <v>0</v>
      </c>
      <c r="G46" s="42"/>
      <c r="H46" s="12">
        <f t="shared" si="26"/>
        <v>0.6597</v>
      </c>
      <c r="I46" s="6">
        <f t="shared" si="27"/>
        <v>0.000432</v>
      </c>
      <c r="J46" s="13">
        <f t="shared" si="28"/>
        <v>0</v>
      </c>
      <c r="K46" s="12">
        <f t="shared" si="29"/>
        <v>1.9888</v>
      </c>
      <c r="L46" s="6">
        <f t="shared" si="30"/>
        <v>0.001304</v>
      </c>
      <c r="M46" s="13">
        <f t="shared" si="31"/>
        <v>0</v>
      </c>
      <c r="N46" s="19"/>
      <c r="O46" s="13">
        <f t="shared" si="32"/>
        <v>0</v>
      </c>
      <c r="P46" s="19">
        <v>0</v>
      </c>
      <c r="Q46" s="13">
        <f t="shared" si="33"/>
        <v>0</v>
      </c>
      <c r="R46" s="13">
        <f t="shared" si="34"/>
        <v>0</v>
      </c>
    </row>
    <row r="47" spans="1:18" ht="15.75" thickBot="1">
      <c r="A47" s="59" t="s">
        <v>61</v>
      </c>
      <c r="B47" s="60"/>
      <c r="C47" s="61"/>
      <c r="D47" s="62">
        <f>SUM(D34:D46)</f>
        <v>612</v>
      </c>
      <c r="E47" s="62"/>
      <c r="F47" s="62">
        <f>SUM(F34:F46)</f>
        <v>83624</v>
      </c>
      <c r="G47" s="62">
        <f>SUM(G34:G46)</f>
        <v>0</v>
      </c>
      <c r="H47" s="64"/>
      <c r="I47" s="65"/>
      <c r="J47" s="66">
        <f>SUM(J34:J46)</f>
        <v>439.8619680000001</v>
      </c>
      <c r="K47" s="64"/>
      <c r="L47" s="65"/>
      <c r="M47" s="66">
        <f>SUM(M34:M46)</f>
        <v>1326.191296</v>
      </c>
      <c r="N47" s="67"/>
      <c r="O47" s="66">
        <f>SUM(O34:O46)</f>
        <v>0</v>
      </c>
      <c r="P47" s="67"/>
      <c r="Q47" s="66">
        <f>SUM(Q34:Q46)</f>
        <v>0</v>
      </c>
      <c r="R47" s="66">
        <f>SUM(R34:R46)</f>
        <v>1766.0532640000001</v>
      </c>
    </row>
    <row r="48" spans="1:18" ht="15">
      <c r="A48" s="27"/>
      <c r="B48" s="57"/>
      <c r="C48" s="40"/>
      <c r="D48" s="41"/>
      <c r="E48" s="41"/>
      <c r="F48" s="41"/>
      <c r="G48" s="58"/>
      <c r="H48" s="12"/>
      <c r="I48" s="6"/>
      <c r="J48" s="13"/>
      <c r="K48" s="12"/>
      <c r="L48" s="6"/>
      <c r="M48" s="13"/>
      <c r="N48" s="19"/>
      <c r="O48" s="13"/>
      <c r="P48" s="19"/>
      <c r="Q48" s="13"/>
      <c r="R48" s="13"/>
    </row>
    <row r="49" spans="1:18" ht="15">
      <c r="A49" s="27" t="s">
        <v>2</v>
      </c>
      <c r="B49" s="57">
        <v>2003</v>
      </c>
      <c r="C49" s="40" t="s">
        <v>39</v>
      </c>
      <c r="D49" s="41">
        <f>'G-35 Customer Count'!F17</f>
        <v>168</v>
      </c>
      <c r="E49" s="41">
        <v>1</v>
      </c>
      <c r="F49" s="43"/>
      <c r="G49" s="44">
        <f>'G-36 Monthly Volumes'!M4</f>
        <v>59049.479999999996</v>
      </c>
      <c r="H49" s="12">
        <f>10.6608</f>
        <v>10.6608</v>
      </c>
      <c r="I49" s="6">
        <f>0.056616</f>
        <v>0.056616</v>
      </c>
      <c r="J49" s="13">
        <f>D49*E49*H49+(F49+G49)*I49</f>
        <v>5134.15975968</v>
      </c>
      <c r="K49" s="12">
        <f>32.1381</f>
        <v>32.1381</v>
      </c>
      <c r="L49" s="6">
        <f>0.170675</f>
        <v>0.170675</v>
      </c>
      <c r="M49" s="13">
        <f>D49*E49*K49+(F49+G49)*L49</f>
        <v>15477.470798999999</v>
      </c>
      <c r="N49" s="19"/>
      <c r="O49" s="13">
        <f>(F49+G49)*N49</f>
        <v>0</v>
      </c>
      <c r="P49" s="19">
        <v>0</v>
      </c>
      <c r="Q49" s="13">
        <f>(F49+G49)*P49</f>
        <v>0</v>
      </c>
      <c r="R49" s="13">
        <f>J49+M49+O49+Q49</f>
        <v>20611.63055868</v>
      </c>
    </row>
    <row r="50" spans="1:18" ht="15">
      <c r="A50" s="27" t="s">
        <v>2</v>
      </c>
      <c r="B50" s="57">
        <v>2003</v>
      </c>
      <c r="C50" s="40" t="s">
        <v>40</v>
      </c>
      <c r="D50" s="41">
        <f>'G-35 Customer Count'!F18</f>
        <v>168</v>
      </c>
      <c r="E50" s="41">
        <v>1</v>
      </c>
      <c r="F50" s="43"/>
      <c r="G50" s="44">
        <f>'G-36 Monthly Volumes'!M5</f>
        <v>44687.21</v>
      </c>
      <c r="H50" s="12">
        <f aca="true" t="shared" si="35" ref="H50:H61">10.6608</f>
        <v>10.6608</v>
      </c>
      <c r="I50" s="6">
        <f aca="true" t="shared" si="36" ref="I50:I61">0.056616</f>
        <v>0.056616</v>
      </c>
      <c r="J50" s="13">
        <f aca="true" t="shared" si="37" ref="J50:J61">D50*E50*H50+(F50+G50)*I50</f>
        <v>4321.02548136</v>
      </c>
      <c r="K50" s="12">
        <f aca="true" t="shared" si="38" ref="K50:K61">32.1381</f>
        <v>32.1381</v>
      </c>
      <c r="L50" s="6">
        <f aca="true" t="shared" si="39" ref="L50:L61">0.170675</f>
        <v>0.170675</v>
      </c>
      <c r="M50" s="13">
        <f aca="true" t="shared" si="40" ref="M50:M61">D50*E50*K50+(F50+G50)*L50</f>
        <v>13026.190366750001</v>
      </c>
      <c r="N50" s="19"/>
      <c r="O50" s="13">
        <f aca="true" t="shared" si="41" ref="O50:O61">(F50+G50)*N50</f>
        <v>0</v>
      </c>
      <c r="P50" s="19">
        <v>0</v>
      </c>
      <c r="Q50" s="13">
        <f aca="true" t="shared" si="42" ref="Q50:Q61">(F50+G50)*P50</f>
        <v>0</v>
      </c>
      <c r="R50" s="13">
        <f aca="true" t="shared" si="43" ref="R50:R61">J50+M50+O50+Q50</f>
        <v>17347.21584811</v>
      </c>
    </row>
    <row r="51" spans="1:18" ht="15">
      <c r="A51" s="27" t="s">
        <v>2</v>
      </c>
      <c r="B51" s="57">
        <v>2003</v>
      </c>
      <c r="C51" s="40" t="s">
        <v>41</v>
      </c>
      <c r="D51" s="41">
        <f>'G-35 Customer Count'!F19</f>
        <v>164</v>
      </c>
      <c r="E51" s="41">
        <v>1</v>
      </c>
      <c r="F51" s="43"/>
      <c r="G51" s="44">
        <f>'G-36 Monthly Volumes'!M6</f>
        <v>67782</v>
      </c>
      <c r="H51" s="12">
        <f t="shared" si="35"/>
        <v>10.6608</v>
      </c>
      <c r="I51" s="6">
        <f t="shared" si="36"/>
        <v>0.056616</v>
      </c>
      <c r="J51" s="13">
        <f t="shared" si="37"/>
        <v>5585.916912000001</v>
      </c>
      <c r="K51" s="12">
        <f t="shared" si="38"/>
        <v>32.1381</v>
      </c>
      <c r="L51" s="6">
        <f t="shared" si="39"/>
        <v>0.170675</v>
      </c>
      <c r="M51" s="13">
        <f t="shared" si="40"/>
        <v>16839.341249999998</v>
      </c>
      <c r="N51" s="19"/>
      <c r="O51" s="13">
        <f t="shared" si="41"/>
        <v>0</v>
      </c>
      <c r="P51" s="19">
        <v>0</v>
      </c>
      <c r="Q51" s="13">
        <f t="shared" si="42"/>
        <v>0</v>
      </c>
      <c r="R51" s="13">
        <f t="shared" si="43"/>
        <v>22425.258162</v>
      </c>
    </row>
    <row r="52" spans="1:18" ht="15">
      <c r="A52" s="27" t="s">
        <v>2</v>
      </c>
      <c r="B52" s="57">
        <v>2003</v>
      </c>
      <c r="C52" s="40" t="s">
        <v>42</v>
      </c>
      <c r="D52" s="41">
        <f>'G-35 Customer Count'!F20</f>
        <v>171</v>
      </c>
      <c r="E52" s="41">
        <v>1</v>
      </c>
      <c r="F52" s="43"/>
      <c r="G52" s="44">
        <f>'G-36 Monthly Volumes'!M7</f>
        <v>45185.19</v>
      </c>
      <c r="H52" s="12">
        <f t="shared" si="35"/>
        <v>10.6608</v>
      </c>
      <c r="I52" s="6">
        <f t="shared" si="36"/>
        <v>0.056616</v>
      </c>
      <c r="J52" s="13">
        <f t="shared" si="37"/>
        <v>4381.20151704</v>
      </c>
      <c r="K52" s="12">
        <f t="shared" si="38"/>
        <v>32.1381</v>
      </c>
      <c r="L52" s="6">
        <f t="shared" si="39"/>
        <v>0.170675</v>
      </c>
      <c r="M52" s="13">
        <f t="shared" si="40"/>
        <v>13207.59740325</v>
      </c>
      <c r="N52" s="19"/>
      <c r="O52" s="13">
        <f t="shared" si="41"/>
        <v>0</v>
      </c>
      <c r="P52" s="19">
        <v>0</v>
      </c>
      <c r="Q52" s="13">
        <f t="shared" si="42"/>
        <v>0</v>
      </c>
      <c r="R52" s="13">
        <f t="shared" si="43"/>
        <v>17588.79892029</v>
      </c>
    </row>
    <row r="53" spans="1:18" ht="15">
      <c r="A53" s="27" t="s">
        <v>2</v>
      </c>
      <c r="B53" s="57">
        <v>2003</v>
      </c>
      <c r="C53" s="40" t="s">
        <v>35</v>
      </c>
      <c r="D53" s="41">
        <f>'G-35 Customer Count'!F21</f>
        <v>170</v>
      </c>
      <c r="E53" s="41">
        <v>1</v>
      </c>
      <c r="F53" s="43"/>
      <c r="G53" s="44">
        <f>'G-36 Monthly Volumes'!M8</f>
        <v>44046.08</v>
      </c>
      <c r="H53" s="12">
        <f t="shared" si="35"/>
        <v>10.6608</v>
      </c>
      <c r="I53" s="6">
        <f t="shared" si="36"/>
        <v>0.056616</v>
      </c>
      <c r="J53" s="13">
        <f t="shared" si="37"/>
        <v>4306.04886528</v>
      </c>
      <c r="K53" s="12">
        <f t="shared" si="38"/>
        <v>32.1381</v>
      </c>
      <c r="L53" s="6">
        <f t="shared" si="39"/>
        <v>0.170675</v>
      </c>
      <c r="M53" s="13">
        <f t="shared" si="40"/>
        <v>12981.041704</v>
      </c>
      <c r="N53" s="19"/>
      <c r="O53" s="13">
        <f t="shared" si="41"/>
        <v>0</v>
      </c>
      <c r="P53" s="19">
        <v>0</v>
      </c>
      <c r="Q53" s="13">
        <f t="shared" si="42"/>
        <v>0</v>
      </c>
      <c r="R53" s="13">
        <f t="shared" si="43"/>
        <v>17287.09056928</v>
      </c>
    </row>
    <row r="54" spans="1:18" ht="15">
      <c r="A54" s="27" t="s">
        <v>2</v>
      </c>
      <c r="B54" s="57">
        <v>2003</v>
      </c>
      <c r="C54" s="40" t="s">
        <v>43</v>
      </c>
      <c r="D54" s="41">
        <f>'G-35 Customer Count'!F22</f>
        <v>170</v>
      </c>
      <c r="E54" s="41">
        <v>1</v>
      </c>
      <c r="F54" s="43"/>
      <c r="G54" s="44">
        <f>'G-36 Monthly Volumes'!M9</f>
        <v>43474.91</v>
      </c>
      <c r="H54" s="12">
        <f t="shared" si="35"/>
        <v>10.6608</v>
      </c>
      <c r="I54" s="6">
        <f t="shared" si="36"/>
        <v>0.056616</v>
      </c>
      <c r="J54" s="13">
        <f t="shared" si="37"/>
        <v>4273.71150456</v>
      </c>
      <c r="K54" s="12">
        <f t="shared" si="38"/>
        <v>32.1381</v>
      </c>
      <c r="L54" s="6">
        <f t="shared" si="39"/>
        <v>0.170675</v>
      </c>
      <c r="M54" s="13">
        <f t="shared" si="40"/>
        <v>12883.557264250001</v>
      </c>
      <c r="N54" s="19"/>
      <c r="O54" s="13">
        <f t="shared" si="41"/>
        <v>0</v>
      </c>
      <c r="P54" s="19">
        <v>0</v>
      </c>
      <c r="Q54" s="13">
        <f t="shared" si="42"/>
        <v>0</v>
      </c>
      <c r="R54" s="13">
        <f t="shared" si="43"/>
        <v>17157.26876881</v>
      </c>
    </row>
    <row r="55" spans="1:18" ht="15">
      <c r="A55" s="27" t="s">
        <v>2</v>
      </c>
      <c r="B55" s="57">
        <v>2003</v>
      </c>
      <c r="C55" s="40" t="s">
        <v>44</v>
      </c>
      <c r="D55" s="41">
        <f>'G-35 Customer Count'!F23</f>
        <v>170</v>
      </c>
      <c r="E55" s="41">
        <v>1</v>
      </c>
      <c r="F55" s="43"/>
      <c r="G55" s="44">
        <f>'G-36 Monthly Volumes'!M10</f>
        <v>45683.399999999994</v>
      </c>
      <c r="H55" s="12">
        <f t="shared" si="35"/>
        <v>10.6608</v>
      </c>
      <c r="I55" s="6">
        <f t="shared" si="36"/>
        <v>0.056616</v>
      </c>
      <c r="J55" s="13">
        <f t="shared" si="37"/>
        <v>4398.7473744</v>
      </c>
      <c r="K55" s="12">
        <f t="shared" si="38"/>
        <v>32.1381</v>
      </c>
      <c r="L55" s="6">
        <f t="shared" si="39"/>
        <v>0.170675</v>
      </c>
      <c r="M55" s="13">
        <f t="shared" si="40"/>
        <v>13260.491295</v>
      </c>
      <c r="N55" s="19"/>
      <c r="O55" s="13">
        <f t="shared" si="41"/>
        <v>0</v>
      </c>
      <c r="P55" s="19">
        <v>0</v>
      </c>
      <c r="Q55" s="13">
        <f t="shared" si="42"/>
        <v>0</v>
      </c>
      <c r="R55" s="13">
        <f t="shared" si="43"/>
        <v>17659.2386694</v>
      </c>
    </row>
    <row r="56" spans="1:18" ht="15">
      <c r="A56" s="27" t="s">
        <v>2</v>
      </c>
      <c r="B56" s="57">
        <v>2003</v>
      </c>
      <c r="C56" s="40" t="s">
        <v>45</v>
      </c>
      <c r="D56" s="41">
        <f>'G-35 Customer Count'!F24</f>
        <v>172</v>
      </c>
      <c r="E56" s="41">
        <v>1</v>
      </c>
      <c r="F56" s="43"/>
      <c r="G56" s="44">
        <f>'G-36 Monthly Volumes'!M11</f>
        <v>46793.66</v>
      </c>
      <c r="H56" s="12">
        <f t="shared" si="35"/>
        <v>10.6608</v>
      </c>
      <c r="I56" s="6">
        <f t="shared" si="36"/>
        <v>0.056616</v>
      </c>
      <c r="J56" s="13">
        <f t="shared" si="37"/>
        <v>4482.92745456</v>
      </c>
      <c r="K56" s="12">
        <f t="shared" si="38"/>
        <v>32.1381</v>
      </c>
      <c r="L56" s="6">
        <f t="shared" si="39"/>
        <v>0.170675</v>
      </c>
      <c r="M56" s="13">
        <f t="shared" si="40"/>
        <v>13514.2611205</v>
      </c>
      <c r="N56" s="19"/>
      <c r="O56" s="13">
        <f t="shared" si="41"/>
        <v>0</v>
      </c>
      <c r="P56" s="19">
        <v>0</v>
      </c>
      <c r="Q56" s="13">
        <f t="shared" si="42"/>
        <v>0</v>
      </c>
      <c r="R56" s="13">
        <f t="shared" si="43"/>
        <v>17997.188575059998</v>
      </c>
    </row>
    <row r="57" spans="1:18" ht="15">
      <c r="A57" s="27" t="s">
        <v>2</v>
      </c>
      <c r="B57" s="57">
        <v>2003</v>
      </c>
      <c r="C57" s="40" t="s">
        <v>46</v>
      </c>
      <c r="D57" s="41">
        <f>'G-35 Customer Count'!F25</f>
        <v>172</v>
      </c>
      <c r="E57" s="41">
        <v>1</v>
      </c>
      <c r="F57" s="43"/>
      <c r="G57" s="44">
        <f>'G-36 Monthly Volumes'!M12</f>
        <v>48194.25</v>
      </c>
      <c r="H57" s="12">
        <f t="shared" si="35"/>
        <v>10.6608</v>
      </c>
      <c r="I57" s="6">
        <f t="shared" si="36"/>
        <v>0.056616</v>
      </c>
      <c r="J57" s="13">
        <f t="shared" si="37"/>
        <v>4562.223258</v>
      </c>
      <c r="K57" s="12">
        <f t="shared" si="38"/>
        <v>32.1381</v>
      </c>
      <c r="L57" s="6">
        <f t="shared" si="39"/>
        <v>0.170675</v>
      </c>
      <c r="M57" s="13">
        <f t="shared" si="40"/>
        <v>13753.30681875</v>
      </c>
      <c r="N57" s="19"/>
      <c r="O57" s="13">
        <f t="shared" si="41"/>
        <v>0</v>
      </c>
      <c r="P57" s="19">
        <v>0</v>
      </c>
      <c r="Q57" s="13">
        <f t="shared" si="42"/>
        <v>0</v>
      </c>
      <c r="R57" s="13">
        <f t="shared" si="43"/>
        <v>18315.53007675</v>
      </c>
    </row>
    <row r="58" spans="1:18" ht="15">
      <c r="A58" s="27" t="s">
        <v>2</v>
      </c>
      <c r="B58" s="57">
        <v>2003</v>
      </c>
      <c r="C58" s="40" t="s">
        <v>47</v>
      </c>
      <c r="D58" s="41">
        <f>'G-35 Customer Count'!F26</f>
        <v>173</v>
      </c>
      <c r="E58" s="41">
        <v>1</v>
      </c>
      <c r="F58" s="43"/>
      <c r="G58" s="44">
        <f>'G-36 Monthly Volumes'!M13</f>
        <v>45637.85</v>
      </c>
      <c r="H58" s="12">
        <f t="shared" si="35"/>
        <v>10.6608</v>
      </c>
      <c r="I58" s="6">
        <f t="shared" si="36"/>
        <v>0.056616</v>
      </c>
      <c r="J58" s="13">
        <f t="shared" si="37"/>
        <v>4428.1509156</v>
      </c>
      <c r="K58" s="12">
        <f t="shared" si="38"/>
        <v>32.1381</v>
      </c>
      <c r="L58" s="6">
        <f t="shared" si="39"/>
        <v>0.170675</v>
      </c>
      <c r="M58" s="13">
        <f t="shared" si="40"/>
        <v>13349.13134875</v>
      </c>
      <c r="N58" s="19"/>
      <c r="O58" s="13">
        <f t="shared" si="41"/>
        <v>0</v>
      </c>
      <c r="P58" s="19">
        <v>0</v>
      </c>
      <c r="Q58" s="13">
        <f t="shared" si="42"/>
        <v>0</v>
      </c>
      <c r="R58" s="13">
        <f t="shared" si="43"/>
        <v>17777.28226435</v>
      </c>
    </row>
    <row r="59" spans="1:18" ht="15">
      <c r="A59" s="27" t="s">
        <v>2</v>
      </c>
      <c r="B59" s="57">
        <v>2003</v>
      </c>
      <c r="C59" s="40" t="s">
        <v>48</v>
      </c>
      <c r="D59" s="41">
        <f>'G-35 Customer Count'!F27</f>
        <v>173</v>
      </c>
      <c r="E59" s="41">
        <v>1</v>
      </c>
      <c r="F59" s="43"/>
      <c r="G59" s="44">
        <f>'G-36 Monthly Volumes'!M14</f>
        <v>44636.770000000004</v>
      </c>
      <c r="H59" s="12">
        <f t="shared" si="35"/>
        <v>10.6608</v>
      </c>
      <c r="I59" s="6">
        <f t="shared" si="36"/>
        <v>0.056616</v>
      </c>
      <c r="J59" s="13">
        <f t="shared" si="37"/>
        <v>4371.473770320001</v>
      </c>
      <c r="K59" s="12">
        <f t="shared" si="38"/>
        <v>32.1381</v>
      </c>
      <c r="L59" s="6">
        <f t="shared" si="39"/>
        <v>0.170675</v>
      </c>
      <c r="M59" s="13">
        <f t="shared" si="40"/>
        <v>13178.27201975</v>
      </c>
      <c r="N59" s="19"/>
      <c r="O59" s="13">
        <f t="shared" si="41"/>
        <v>0</v>
      </c>
      <c r="P59" s="19">
        <v>0</v>
      </c>
      <c r="Q59" s="13">
        <f t="shared" si="42"/>
        <v>0</v>
      </c>
      <c r="R59" s="13">
        <f t="shared" si="43"/>
        <v>17549.745790070003</v>
      </c>
    </row>
    <row r="60" spans="1:18" ht="15">
      <c r="A60" s="27" t="s">
        <v>2</v>
      </c>
      <c r="B60" s="57">
        <v>2003</v>
      </c>
      <c r="C60" s="40" t="s">
        <v>49</v>
      </c>
      <c r="D60" s="41">
        <f>'G-35 Customer Count'!F28</f>
        <v>172</v>
      </c>
      <c r="E60" s="41">
        <v>1</v>
      </c>
      <c r="F60" s="43"/>
      <c r="G60" s="44">
        <f>'G-36 Monthly Volumes'!M15</f>
        <v>44382.880000000005</v>
      </c>
      <c r="H60" s="12">
        <f t="shared" si="35"/>
        <v>10.6608</v>
      </c>
      <c r="I60" s="6">
        <f t="shared" si="36"/>
        <v>0.056616</v>
      </c>
      <c r="J60" s="13">
        <f t="shared" si="37"/>
        <v>4346.43873408</v>
      </c>
      <c r="K60" s="12">
        <f t="shared" si="38"/>
        <v>32.1381</v>
      </c>
      <c r="L60" s="6">
        <f t="shared" si="39"/>
        <v>0.170675</v>
      </c>
      <c r="M60" s="13">
        <f t="shared" si="40"/>
        <v>13102.801244</v>
      </c>
      <c r="N60" s="19"/>
      <c r="O60" s="13">
        <f t="shared" si="41"/>
        <v>0</v>
      </c>
      <c r="P60" s="19">
        <v>0</v>
      </c>
      <c r="Q60" s="13">
        <f t="shared" si="42"/>
        <v>0</v>
      </c>
      <c r="R60" s="13">
        <f t="shared" si="43"/>
        <v>17449.23997808</v>
      </c>
    </row>
    <row r="61" spans="1:18" ht="16.5" customHeight="1" thickBot="1">
      <c r="A61" s="27" t="s">
        <v>2</v>
      </c>
      <c r="B61" s="57">
        <v>2003</v>
      </c>
      <c r="C61" s="40" t="s">
        <v>38</v>
      </c>
      <c r="D61" s="41">
        <v>0</v>
      </c>
      <c r="E61" s="41">
        <v>1</v>
      </c>
      <c r="F61" s="43"/>
      <c r="G61" s="44">
        <f>'G-36 Monthly Volumes'!M16</f>
        <v>-14938.859999999993</v>
      </c>
      <c r="H61" s="12">
        <f t="shared" si="35"/>
        <v>10.6608</v>
      </c>
      <c r="I61" s="6">
        <f t="shared" si="36"/>
        <v>0.056616</v>
      </c>
      <c r="J61" s="13">
        <f t="shared" si="37"/>
        <v>-845.7784977599996</v>
      </c>
      <c r="K61" s="12">
        <f t="shared" si="38"/>
        <v>32.1381</v>
      </c>
      <c r="L61" s="6">
        <f t="shared" si="39"/>
        <v>0.170675</v>
      </c>
      <c r="M61" s="13">
        <f t="shared" si="40"/>
        <v>-2549.689930499999</v>
      </c>
      <c r="N61" s="19"/>
      <c r="O61" s="13">
        <f t="shared" si="41"/>
        <v>0</v>
      </c>
      <c r="P61" s="19">
        <v>0</v>
      </c>
      <c r="Q61" s="13">
        <f t="shared" si="42"/>
        <v>0</v>
      </c>
      <c r="R61" s="13">
        <f t="shared" si="43"/>
        <v>-3395.4684282599983</v>
      </c>
    </row>
    <row r="62" spans="1:18" ht="15.75" thickBot="1">
      <c r="A62" s="59" t="s">
        <v>62</v>
      </c>
      <c r="B62" s="60"/>
      <c r="C62" s="61"/>
      <c r="D62" s="62">
        <f>SUM(D49:D61)</f>
        <v>2043</v>
      </c>
      <c r="E62" s="62"/>
      <c r="F62" s="62">
        <f>SUM(F49:F61)</f>
        <v>0</v>
      </c>
      <c r="G62" s="62">
        <f>SUM(G49:G61)</f>
        <v>564614.8200000001</v>
      </c>
      <c r="H62" s="64"/>
      <c r="I62" s="65"/>
      <c r="J62" s="66">
        <f>SUM(J49:J61)</f>
        <v>53746.24704912</v>
      </c>
      <c r="K62" s="64"/>
      <c r="L62" s="65"/>
      <c r="M62" s="66">
        <f>SUM(M49:M61)</f>
        <v>162023.7727035</v>
      </c>
      <c r="N62" s="67"/>
      <c r="O62" s="66">
        <f>SUM(O49:O61)</f>
        <v>0</v>
      </c>
      <c r="P62" s="67"/>
      <c r="Q62" s="66">
        <f>SUM(Q49:Q61)</f>
        <v>0</v>
      </c>
      <c r="R62" s="66">
        <f>SUM(R49:R61)</f>
        <v>215770.01975262002</v>
      </c>
    </row>
    <row r="63" spans="1:18" ht="15">
      <c r="A63" s="27"/>
      <c r="B63" s="57"/>
      <c r="C63" s="40"/>
      <c r="D63" s="41"/>
      <c r="E63" s="41"/>
      <c r="F63" s="43"/>
      <c r="G63" s="44"/>
      <c r="H63" s="12"/>
      <c r="I63" s="6"/>
      <c r="J63" s="13"/>
      <c r="K63" s="12"/>
      <c r="L63" s="6"/>
      <c r="M63" s="13"/>
      <c r="N63" s="19"/>
      <c r="O63" s="13"/>
      <c r="P63" s="19"/>
      <c r="Q63" s="13"/>
      <c r="R63" s="13"/>
    </row>
    <row r="64" spans="1:18" ht="15">
      <c r="A64" s="27" t="s">
        <v>3</v>
      </c>
      <c r="B64" s="57">
        <v>2003</v>
      </c>
      <c r="C64" s="40" t="s">
        <v>39</v>
      </c>
      <c r="D64" s="41">
        <f>'G-35 Customer Count'!G17</f>
        <v>1</v>
      </c>
      <c r="E64" s="41">
        <v>1</v>
      </c>
      <c r="F64" s="43"/>
      <c r="G64" s="44">
        <f>'G-36 Monthly Volumes'!M22</f>
        <v>11717.18</v>
      </c>
      <c r="H64" s="14">
        <f>467.0871</f>
        <v>467.0871</v>
      </c>
      <c r="I64" s="6">
        <f>0.080496</f>
        <v>0.080496</v>
      </c>
      <c r="J64" s="13">
        <f>D64*E64*H64+(F64+G64)*I64</f>
        <v>1410.27322128</v>
      </c>
      <c r="K64" s="14">
        <f>1408.0869</f>
        <v>1408.0869</v>
      </c>
      <c r="L64" s="6">
        <f>0.242666</f>
        <v>0.242666</v>
      </c>
      <c r="M64" s="13">
        <f>D64*E64*K64+(F64+G64)*L64</f>
        <v>4251.44810188</v>
      </c>
      <c r="N64" s="19"/>
      <c r="O64" s="13">
        <f>(F64+G64)*N64</f>
        <v>0</v>
      </c>
      <c r="P64" s="19">
        <v>0</v>
      </c>
      <c r="Q64" s="13">
        <f>(F64+G64)*P64</f>
        <v>0</v>
      </c>
      <c r="R64" s="13">
        <f>J64+M64+O64+Q64</f>
        <v>5661.72132316</v>
      </c>
    </row>
    <row r="65" spans="1:18" ht="15">
      <c r="A65" s="27" t="s">
        <v>3</v>
      </c>
      <c r="B65" s="57">
        <v>2003</v>
      </c>
      <c r="C65" s="40" t="s">
        <v>40</v>
      </c>
      <c r="D65" s="41">
        <f>'G-35 Customer Count'!G18</f>
        <v>1</v>
      </c>
      <c r="E65" s="41">
        <v>1</v>
      </c>
      <c r="F65" s="43"/>
      <c r="G65" s="44">
        <f>'G-36 Monthly Volumes'!M23</f>
        <v>6035.74</v>
      </c>
      <c r="H65" s="14">
        <f aca="true" t="shared" si="44" ref="H65:H76">467.0871</f>
        <v>467.0871</v>
      </c>
      <c r="I65" s="6">
        <f aca="true" t="shared" si="45" ref="I65:I76">0.080496</f>
        <v>0.080496</v>
      </c>
      <c r="J65" s="13">
        <f aca="true" t="shared" si="46" ref="J65:J76">D65*E65*H65+(F65+G65)*I65</f>
        <v>952.94002704</v>
      </c>
      <c r="K65" s="14">
        <f aca="true" t="shared" si="47" ref="K65:K76">1408.0869</f>
        <v>1408.0869</v>
      </c>
      <c r="L65" s="6">
        <f aca="true" t="shared" si="48" ref="L65:L76">0.242666</f>
        <v>0.242666</v>
      </c>
      <c r="M65" s="13">
        <f aca="true" t="shared" si="49" ref="M65:M76">D65*E65*K65+(F65+G65)*L65</f>
        <v>2872.75578284</v>
      </c>
      <c r="N65" s="19"/>
      <c r="O65" s="13">
        <f aca="true" t="shared" si="50" ref="O65:O76">(F65+G65)*N65</f>
        <v>0</v>
      </c>
      <c r="P65" s="19">
        <v>0</v>
      </c>
      <c r="Q65" s="13">
        <f aca="true" t="shared" si="51" ref="Q65:Q76">(F65+G65)*P65</f>
        <v>0</v>
      </c>
      <c r="R65" s="13">
        <f aca="true" t="shared" si="52" ref="R65:R76">J65+M65+O65+Q65</f>
        <v>3825.69580988</v>
      </c>
    </row>
    <row r="66" spans="1:18" ht="15">
      <c r="A66" s="27" t="s">
        <v>3</v>
      </c>
      <c r="B66" s="57">
        <v>2003</v>
      </c>
      <c r="C66" s="40" t="s">
        <v>41</v>
      </c>
      <c r="D66" s="41">
        <f>'G-35 Customer Count'!G19</f>
        <v>1</v>
      </c>
      <c r="E66" s="41">
        <v>1</v>
      </c>
      <c r="F66" s="43"/>
      <c r="G66" s="44">
        <f>'G-36 Monthly Volumes'!M24</f>
        <v>6144.48</v>
      </c>
      <c r="H66" s="14">
        <f t="shared" si="44"/>
        <v>467.0871</v>
      </c>
      <c r="I66" s="6">
        <f t="shared" si="45"/>
        <v>0.080496</v>
      </c>
      <c r="J66" s="13">
        <f t="shared" si="46"/>
        <v>961.69316208</v>
      </c>
      <c r="K66" s="14">
        <f t="shared" si="47"/>
        <v>1408.0869</v>
      </c>
      <c r="L66" s="6">
        <f t="shared" si="48"/>
        <v>0.242666</v>
      </c>
      <c r="M66" s="13">
        <f t="shared" si="49"/>
        <v>2899.14328368</v>
      </c>
      <c r="N66" s="19"/>
      <c r="O66" s="13">
        <f t="shared" si="50"/>
        <v>0</v>
      </c>
      <c r="P66" s="19">
        <v>0</v>
      </c>
      <c r="Q66" s="13">
        <f t="shared" si="51"/>
        <v>0</v>
      </c>
      <c r="R66" s="13">
        <f t="shared" si="52"/>
        <v>3860.83644576</v>
      </c>
    </row>
    <row r="67" spans="1:18" ht="15">
      <c r="A67" s="27" t="s">
        <v>3</v>
      </c>
      <c r="B67" s="57">
        <v>2003</v>
      </c>
      <c r="C67" s="40" t="s">
        <v>42</v>
      </c>
      <c r="D67" s="41">
        <f>'G-35 Customer Count'!G20</f>
        <v>1</v>
      </c>
      <c r="E67" s="41">
        <v>1</v>
      </c>
      <c r="F67" s="43"/>
      <c r="G67" s="44">
        <f>'G-36 Monthly Volumes'!M25</f>
        <v>6146.12</v>
      </c>
      <c r="H67" s="14">
        <f t="shared" si="44"/>
        <v>467.0871</v>
      </c>
      <c r="I67" s="6">
        <f t="shared" si="45"/>
        <v>0.080496</v>
      </c>
      <c r="J67" s="13">
        <f t="shared" si="46"/>
        <v>961.82517552</v>
      </c>
      <c r="K67" s="14">
        <f t="shared" si="47"/>
        <v>1408.0869</v>
      </c>
      <c r="L67" s="6">
        <f t="shared" si="48"/>
        <v>0.242666</v>
      </c>
      <c r="M67" s="13">
        <f t="shared" si="49"/>
        <v>2899.54125592</v>
      </c>
      <c r="N67" s="19"/>
      <c r="O67" s="13">
        <f t="shared" si="50"/>
        <v>0</v>
      </c>
      <c r="P67" s="19">
        <v>0</v>
      </c>
      <c r="Q67" s="13">
        <f t="shared" si="51"/>
        <v>0</v>
      </c>
      <c r="R67" s="13">
        <f t="shared" si="52"/>
        <v>3861.36643144</v>
      </c>
    </row>
    <row r="68" spans="1:18" ht="15">
      <c r="A68" s="27" t="s">
        <v>3</v>
      </c>
      <c r="B68" s="57">
        <v>2003</v>
      </c>
      <c r="C68" s="40" t="s">
        <v>35</v>
      </c>
      <c r="D68" s="41">
        <f>'G-35 Customer Count'!G21</f>
        <v>1</v>
      </c>
      <c r="E68" s="41">
        <v>1</v>
      </c>
      <c r="F68" s="43"/>
      <c r="G68" s="44">
        <f>'G-36 Monthly Volumes'!M26</f>
        <v>6261.24</v>
      </c>
      <c r="H68" s="14">
        <f t="shared" si="44"/>
        <v>467.0871</v>
      </c>
      <c r="I68" s="6">
        <f t="shared" si="45"/>
        <v>0.080496</v>
      </c>
      <c r="J68" s="13">
        <f t="shared" si="46"/>
        <v>971.09187504</v>
      </c>
      <c r="K68" s="14">
        <f t="shared" si="47"/>
        <v>1408.0869</v>
      </c>
      <c r="L68" s="6">
        <f t="shared" si="48"/>
        <v>0.242666</v>
      </c>
      <c r="M68" s="13">
        <f t="shared" si="49"/>
        <v>2927.47696584</v>
      </c>
      <c r="N68" s="19"/>
      <c r="O68" s="13">
        <f t="shared" si="50"/>
        <v>0</v>
      </c>
      <c r="P68" s="19">
        <v>0</v>
      </c>
      <c r="Q68" s="13">
        <f t="shared" si="51"/>
        <v>0</v>
      </c>
      <c r="R68" s="13">
        <f t="shared" si="52"/>
        <v>3898.56884088</v>
      </c>
    </row>
    <row r="69" spans="1:18" ht="15">
      <c r="A69" s="27" t="s">
        <v>3</v>
      </c>
      <c r="B69" s="57">
        <v>2003</v>
      </c>
      <c r="C69" s="40" t="s">
        <v>43</v>
      </c>
      <c r="D69" s="41">
        <f>'G-35 Customer Count'!G22</f>
        <v>1</v>
      </c>
      <c r="E69" s="41">
        <v>1</v>
      </c>
      <c r="F69" s="43"/>
      <c r="G69" s="44">
        <f>'G-36 Monthly Volumes'!M27</f>
        <v>5840.33</v>
      </c>
      <c r="H69" s="14">
        <f t="shared" si="44"/>
        <v>467.0871</v>
      </c>
      <c r="I69" s="6">
        <f t="shared" si="45"/>
        <v>0.080496</v>
      </c>
      <c r="J69" s="13">
        <f t="shared" si="46"/>
        <v>937.2103036799999</v>
      </c>
      <c r="K69" s="14">
        <f t="shared" si="47"/>
        <v>1408.0869</v>
      </c>
      <c r="L69" s="6">
        <f t="shared" si="48"/>
        <v>0.242666</v>
      </c>
      <c r="M69" s="13">
        <f t="shared" si="49"/>
        <v>2825.33641978</v>
      </c>
      <c r="N69" s="19"/>
      <c r="O69" s="13">
        <f t="shared" si="50"/>
        <v>0</v>
      </c>
      <c r="P69" s="19">
        <v>0</v>
      </c>
      <c r="Q69" s="13">
        <f t="shared" si="51"/>
        <v>0</v>
      </c>
      <c r="R69" s="13">
        <f t="shared" si="52"/>
        <v>3762.54672346</v>
      </c>
    </row>
    <row r="70" spans="1:18" ht="15">
      <c r="A70" s="27" t="s">
        <v>3</v>
      </c>
      <c r="B70" s="57">
        <v>2003</v>
      </c>
      <c r="C70" s="40" t="s">
        <v>44</v>
      </c>
      <c r="D70" s="41">
        <f>'G-35 Customer Count'!G23</f>
        <v>1</v>
      </c>
      <c r="E70" s="41">
        <v>1</v>
      </c>
      <c r="F70" s="43"/>
      <c r="G70" s="44">
        <f>'G-36 Monthly Volumes'!M28</f>
        <v>6214.9</v>
      </c>
      <c r="H70" s="14">
        <f t="shared" si="44"/>
        <v>467.0871</v>
      </c>
      <c r="I70" s="6">
        <f t="shared" si="45"/>
        <v>0.080496</v>
      </c>
      <c r="J70" s="13">
        <f t="shared" si="46"/>
        <v>967.3616904</v>
      </c>
      <c r="K70" s="14">
        <f t="shared" si="47"/>
        <v>1408.0869</v>
      </c>
      <c r="L70" s="6">
        <f t="shared" si="48"/>
        <v>0.242666</v>
      </c>
      <c r="M70" s="13">
        <f t="shared" si="49"/>
        <v>2916.2318234</v>
      </c>
      <c r="N70" s="19"/>
      <c r="O70" s="13">
        <f t="shared" si="50"/>
        <v>0</v>
      </c>
      <c r="P70" s="19">
        <v>0</v>
      </c>
      <c r="Q70" s="13">
        <f t="shared" si="51"/>
        <v>0</v>
      </c>
      <c r="R70" s="13">
        <f t="shared" si="52"/>
        <v>3883.5935138</v>
      </c>
    </row>
    <row r="71" spans="1:18" ht="15">
      <c r="A71" s="27" t="s">
        <v>3</v>
      </c>
      <c r="B71" s="57">
        <v>2003</v>
      </c>
      <c r="C71" s="40" t="s">
        <v>45</v>
      </c>
      <c r="D71" s="41">
        <f>'G-35 Customer Count'!G24</f>
        <v>1</v>
      </c>
      <c r="E71" s="41">
        <v>1</v>
      </c>
      <c r="F71" s="43"/>
      <c r="G71" s="44">
        <f>'G-36 Monthly Volumes'!M29</f>
        <v>6170.46</v>
      </c>
      <c r="H71" s="14">
        <f t="shared" si="44"/>
        <v>467.0871</v>
      </c>
      <c r="I71" s="6">
        <f t="shared" si="45"/>
        <v>0.080496</v>
      </c>
      <c r="J71" s="13">
        <f t="shared" si="46"/>
        <v>963.78444816</v>
      </c>
      <c r="K71" s="14">
        <f t="shared" si="47"/>
        <v>1408.0869</v>
      </c>
      <c r="L71" s="6">
        <f t="shared" si="48"/>
        <v>0.242666</v>
      </c>
      <c r="M71" s="13">
        <f t="shared" si="49"/>
        <v>2905.4477463599997</v>
      </c>
      <c r="N71" s="19"/>
      <c r="O71" s="13">
        <f t="shared" si="50"/>
        <v>0</v>
      </c>
      <c r="P71" s="19">
        <v>0</v>
      </c>
      <c r="Q71" s="13">
        <f t="shared" si="51"/>
        <v>0</v>
      </c>
      <c r="R71" s="13">
        <f t="shared" si="52"/>
        <v>3869.2321945199997</v>
      </c>
    </row>
    <row r="72" spans="1:18" ht="15">
      <c r="A72" s="27" t="s">
        <v>3</v>
      </c>
      <c r="B72" s="57">
        <v>2003</v>
      </c>
      <c r="C72" s="40" t="s">
        <v>46</v>
      </c>
      <c r="D72" s="41">
        <f>'G-35 Customer Count'!G25</f>
        <v>1</v>
      </c>
      <c r="E72" s="41">
        <v>1</v>
      </c>
      <c r="F72" s="43"/>
      <c r="G72" s="44">
        <f>'G-36 Monthly Volumes'!M30</f>
        <v>5521.71</v>
      </c>
      <c r="H72" s="14">
        <f t="shared" si="44"/>
        <v>467.0871</v>
      </c>
      <c r="I72" s="6">
        <f t="shared" si="45"/>
        <v>0.080496</v>
      </c>
      <c r="J72" s="13">
        <f t="shared" si="46"/>
        <v>911.5626681599999</v>
      </c>
      <c r="K72" s="14">
        <f t="shared" si="47"/>
        <v>1408.0869</v>
      </c>
      <c r="L72" s="6">
        <f t="shared" si="48"/>
        <v>0.242666</v>
      </c>
      <c r="M72" s="13">
        <f t="shared" si="49"/>
        <v>2748.0181788600003</v>
      </c>
      <c r="N72" s="19"/>
      <c r="O72" s="13">
        <f t="shared" si="50"/>
        <v>0</v>
      </c>
      <c r="P72" s="19">
        <v>0</v>
      </c>
      <c r="Q72" s="13">
        <f t="shared" si="51"/>
        <v>0</v>
      </c>
      <c r="R72" s="13">
        <f t="shared" si="52"/>
        <v>3659.58084702</v>
      </c>
    </row>
    <row r="73" spans="1:18" ht="15">
      <c r="A73" s="27" t="s">
        <v>3</v>
      </c>
      <c r="B73" s="57">
        <v>2003</v>
      </c>
      <c r="C73" s="40" t="s">
        <v>47</v>
      </c>
      <c r="D73" s="41">
        <f>'G-35 Customer Count'!G26</f>
        <v>1</v>
      </c>
      <c r="E73" s="41">
        <v>1</v>
      </c>
      <c r="F73" s="43"/>
      <c r="G73" s="44">
        <f>'G-36 Monthly Volumes'!M31</f>
        <v>5493.65</v>
      </c>
      <c r="H73" s="14">
        <f t="shared" si="44"/>
        <v>467.0871</v>
      </c>
      <c r="I73" s="6">
        <f t="shared" si="45"/>
        <v>0.080496</v>
      </c>
      <c r="J73" s="13">
        <f t="shared" si="46"/>
        <v>909.3039504</v>
      </c>
      <c r="K73" s="14">
        <f t="shared" si="47"/>
        <v>1408.0869</v>
      </c>
      <c r="L73" s="6">
        <f t="shared" si="48"/>
        <v>0.242666</v>
      </c>
      <c r="M73" s="13">
        <f t="shared" si="49"/>
        <v>2741.2089709</v>
      </c>
      <c r="N73" s="19"/>
      <c r="O73" s="13">
        <f t="shared" si="50"/>
        <v>0</v>
      </c>
      <c r="P73" s="19">
        <v>0</v>
      </c>
      <c r="Q73" s="13">
        <f t="shared" si="51"/>
        <v>0</v>
      </c>
      <c r="R73" s="13">
        <f t="shared" si="52"/>
        <v>3650.5129213</v>
      </c>
    </row>
    <row r="74" spans="1:18" ht="15">
      <c r="A74" s="27" t="s">
        <v>3</v>
      </c>
      <c r="B74" s="57">
        <v>2003</v>
      </c>
      <c r="C74" s="40" t="s">
        <v>48</v>
      </c>
      <c r="D74" s="41">
        <f>'G-35 Customer Count'!G27</f>
        <v>1</v>
      </c>
      <c r="E74" s="41">
        <v>1</v>
      </c>
      <c r="F74" s="43"/>
      <c r="G74" s="44">
        <f>'G-36 Monthly Volumes'!M32</f>
        <v>5650.72</v>
      </c>
      <c r="H74" s="14">
        <f t="shared" si="44"/>
        <v>467.0871</v>
      </c>
      <c r="I74" s="6">
        <f t="shared" si="45"/>
        <v>0.080496</v>
      </c>
      <c r="J74" s="13">
        <f t="shared" si="46"/>
        <v>921.9474571200001</v>
      </c>
      <c r="K74" s="14">
        <f t="shared" si="47"/>
        <v>1408.0869</v>
      </c>
      <c r="L74" s="6">
        <f t="shared" si="48"/>
        <v>0.242666</v>
      </c>
      <c r="M74" s="13">
        <f t="shared" si="49"/>
        <v>2779.3245195199997</v>
      </c>
      <c r="N74" s="19"/>
      <c r="O74" s="13">
        <f t="shared" si="50"/>
        <v>0</v>
      </c>
      <c r="P74" s="19">
        <v>0</v>
      </c>
      <c r="Q74" s="13">
        <f t="shared" si="51"/>
        <v>0</v>
      </c>
      <c r="R74" s="13">
        <f t="shared" si="52"/>
        <v>3701.2719766399996</v>
      </c>
    </row>
    <row r="75" spans="1:18" ht="15">
      <c r="A75" s="27" t="s">
        <v>3</v>
      </c>
      <c r="B75" s="57">
        <v>2003</v>
      </c>
      <c r="C75" s="40" t="s">
        <v>49</v>
      </c>
      <c r="D75" s="41">
        <f>'G-35 Customer Count'!G28</f>
        <v>1</v>
      </c>
      <c r="E75" s="41">
        <v>1</v>
      </c>
      <c r="F75" s="43"/>
      <c r="G75" s="44">
        <f>'G-36 Monthly Volumes'!M33</f>
        <v>5812.17</v>
      </c>
      <c r="H75" s="14">
        <f t="shared" si="44"/>
        <v>467.0871</v>
      </c>
      <c r="I75" s="6">
        <f t="shared" si="45"/>
        <v>0.080496</v>
      </c>
      <c r="J75" s="13">
        <f t="shared" si="46"/>
        <v>934.94353632</v>
      </c>
      <c r="K75" s="14">
        <f t="shared" si="47"/>
        <v>1408.0869</v>
      </c>
      <c r="L75" s="6">
        <f t="shared" si="48"/>
        <v>0.242666</v>
      </c>
      <c r="M75" s="13">
        <f t="shared" si="49"/>
        <v>2818.5029452199997</v>
      </c>
      <c r="N75" s="19"/>
      <c r="O75" s="13">
        <f t="shared" si="50"/>
        <v>0</v>
      </c>
      <c r="P75" s="19">
        <v>0</v>
      </c>
      <c r="Q75" s="13">
        <f t="shared" si="51"/>
        <v>0</v>
      </c>
      <c r="R75" s="13">
        <f t="shared" si="52"/>
        <v>3753.4464815399997</v>
      </c>
    </row>
    <row r="76" spans="1:18" ht="15.75" thickBot="1">
      <c r="A76" s="27" t="s">
        <v>3</v>
      </c>
      <c r="B76" s="57">
        <v>2003</v>
      </c>
      <c r="C76" s="40" t="s">
        <v>38</v>
      </c>
      <c r="D76" s="41"/>
      <c r="E76" s="41">
        <v>1</v>
      </c>
      <c r="F76" s="43"/>
      <c r="G76" s="44">
        <f>'G-36 Monthly Volumes'!M34</f>
        <v>-5858.5</v>
      </c>
      <c r="H76" s="14">
        <f t="shared" si="44"/>
        <v>467.0871</v>
      </c>
      <c r="I76" s="6">
        <f t="shared" si="45"/>
        <v>0.080496</v>
      </c>
      <c r="J76" s="13">
        <f t="shared" si="46"/>
        <v>-471.58581599999997</v>
      </c>
      <c r="K76" s="14">
        <f t="shared" si="47"/>
        <v>1408.0869</v>
      </c>
      <c r="L76" s="6">
        <f t="shared" si="48"/>
        <v>0.242666</v>
      </c>
      <c r="M76" s="13">
        <f t="shared" si="49"/>
        <v>-1421.658761</v>
      </c>
      <c r="N76" s="19"/>
      <c r="O76" s="13">
        <f t="shared" si="50"/>
        <v>0</v>
      </c>
      <c r="P76" s="19">
        <v>0</v>
      </c>
      <c r="Q76" s="13">
        <f t="shared" si="51"/>
        <v>0</v>
      </c>
      <c r="R76" s="13">
        <f t="shared" si="52"/>
        <v>-1893.244577</v>
      </c>
    </row>
    <row r="77" spans="1:18" ht="15.75" thickBot="1">
      <c r="A77" s="59" t="s">
        <v>63</v>
      </c>
      <c r="B77" s="60"/>
      <c r="C77" s="61"/>
      <c r="D77" s="62">
        <f>SUM(D64:D76)</f>
        <v>12</v>
      </c>
      <c r="E77" s="62"/>
      <c r="F77" s="62">
        <f>SUM(F64:F76)</f>
        <v>0</v>
      </c>
      <c r="G77" s="62">
        <f>SUM(G64:G76)</f>
        <v>71150.2</v>
      </c>
      <c r="H77" s="64"/>
      <c r="I77" s="65"/>
      <c r="J77" s="66">
        <f>SUM(J64:J76)</f>
        <v>11332.351699200002</v>
      </c>
      <c r="K77" s="64"/>
      <c r="L77" s="65"/>
      <c r="M77" s="66">
        <f>SUM(M64:M76)</f>
        <v>34162.7772332</v>
      </c>
      <c r="N77" s="67"/>
      <c r="O77" s="66">
        <f>SUM(O64:O76)</f>
        <v>0</v>
      </c>
      <c r="P77" s="67"/>
      <c r="Q77" s="66">
        <f>SUM(Q64:Q76)</f>
        <v>0</v>
      </c>
      <c r="R77" s="66">
        <f>SUM(R64:R76)</f>
        <v>45495.1289324</v>
      </c>
    </row>
    <row r="78" spans="1:18" ht="15">
      <c r="A78" s="27"/>
      <c r="B78" s="57"/>
      <c r="C78" s="40"/>
      <c r="D78" s="41"/>
      <c r="E78" s="41"/>
      <c r="F78" s="43"/>
      <c r="G78" s="44"/>
      <c r="H78" s="14"/>
      <c r="I78" s="6"/>
      <c r="J78" s="13"/>
      <c r="K78" s="14"/>
      <c r="L78" s="6"/>
      <c r="M78" s="13"/>
      <c r="N78" s="19"/>
      <c r="O78" s="13"/>
      <c r="P78" s="19"/>
      <c r="Q78" s="13"/>
      <c r="R78" s="13"/>
    </row>
    <row r="79" spans="1:18" ht="15">
      <c r="A79" s="27" t="s">
        <v>4</v>
      </c>
      <c r="B79" s="57">
        <v>2003</v>
      </c>
      <c r="C79" s="40" t="s">
        <v>39</v>
      </c>
      <c r="D79" s="41">
        <f>'G-35 Customer Count'!H17</f>
        <v>142</v>
      </c>
      <c r="E79" s="41">
        <v>1</v>
      </c>
      <c r="F79" s="43"/>
      <c r="G79" s="44">
        <f>'G-36 Monthly Volumes'!M58</f>
        <v>50</v>
      </c>
      <c r="H79" s="14">
        <f>0.1177</f>
        <v>0.1177</v>
      </c>
      <c r="I79" s="6">
        <f>0.161515</f>
        <v>0.161515</v>
      </c>
      <c r="J79" s="13">
        <f>D79*E79*H79+(F79+G79)*I79</f>
        <v>24.78915</v>
      </c>
      <c r="K79" s="14">
        <f>0.3548</f>
        <v>0.3548</v>
      </c>
      <c r="L79" s="6">
        <f>0.486904</f>
        <v>0.486904</v>
      </c>
      <c r="M79" s="13">
        <f>D79*E79*K79+(F79+G79)*L79</f>
        <v>74.7268</v>
      </c>
      <c r="N79" s="19"/>
      <c r="O79" s="13">
        <f>(F79+G79)*N79</f>
        <v>0</v>
      </c>
      <c r="P79" s="19">
        <v>0</v>
      </c>
      <c r="Q79" s="13">
        <f>(F79+G79)*P79</f>
        <v>0</v>
      </c>
      <c r="R79" s="13">
        <f>J79+M79+O79+Q79</f>
        <v>99.51595</v>
      </c>
    </row>
    <row r="80" spans="1:18" ht="15">
      <c r="A80" s="27" t="s">
        <v>4</v>
      </c>
      <c r="B80" s="57">
        <v>2003</v>
      </c>
      <c r="C80" s="40" t="s">
        <v>40</v>
      </c>
      <c r="D80" s="41">
        <f>'G-35 Customer Count'!H18</f>
        <v>142</v>
      </c>
      <c r="E80" s="41">
        <v>1</v>
      </c>
      <c r="F80" s="43"/>
      <c r="G80" s="44">
        <f>'G-36 Monthly Volumes'!M59</f>
        <v>49</v>
      </c>
      <c r="H80" s="14">
        <f aca="true" t="shared" si="53" ref="H80:H91">0.1177</f>
        <v>0.1177</v>
      </c>
      <c r="I80" s="6">
        <f aca="true" t="shared" si="54" ref="I80:I91">0.161515</f>
        <v>0.161515</v>
      </c>
      <c r="J80" s="13">
        <f aca="true" t="shared" si="55" ref="J80:J91">D80*E80*H80+(F80+G80)*I80</f>
        <v>24.627634999999998</v>
      </c>
      <c r="K80" s="14">
        <f aca="true" t="shared" si="56" ref="K80:K91">0.3548</f>
        <v>0.3548</v>
      </c>
      <c r="L80" s="6">
        <f aca="true" t="shared" si="57" ref="L80:L91">0.486904</f>
        <v>0.486904</v>
      </c>
      <c r="M80" s="13">
        <f aca="true" t="shared" si="58" ref="M80:M91">D80*E80*K80+(F80+G80)*L80</f>
        <v>74.239896</v>
      </c>
      <c r="N80" s="19"/>
      <c r="O80" s="13">
        <f aca="true" t="shared" si="59" ref="O80:O91">(F80+G80)*N80</f>
        <v>0</v>
      </c>
      <c r="P80" s="19">
        <v>0</v>
      </c>
      <c r="Q80" s="13">
        <f aca="true" t="shared" si="60" ref="Q80:Q91">(F80+G80)*P80</f>
        <v>0</v>
      </c>
      <c r="R80" s="13">
        <f aca="true" t="shared" si="61" ref="R80:R91">J80+M80+O80+Q80</f>
        <v>98.867531</v>
      </c>
    </row>
    <row r="81" spans="1:18" ht="15">
      <c r="A81" s="27" t="s">
        <v>4</v>
      </c>
      <c r="B81" s="57">
        <v>2003</v>
      </c>
      <c r="C81" s="40" t="s">
        <v>41</v>
      </c>
      <c r="D81" s="41">
        <f>'G-35 Customer Count'!H19</f>
        <v>142</v>
      </c>
      <c r="E81" s="41">
        <v>1</v>
      </c>
      <c r="F81" s="43"/>
      <c r="G81" s="44">
        <f>'G-36 Monthly Volumes'!M60</f>
        <v>49</v>
      </c>
      <c r="H81" s="14">
        <f t="shared" si="53"/>
        <v>0.1177</v>
      </c>
      <c r="I81" s="6">
        <f t="shared" si="54"/>
        <v>0.161515</v>
      </c>
      <c r="J81" s="13">
        <f t="shared" si="55"/>
        <v>24.627634999999998</v>
      </c>
      <c r="K81" s="14">
        <f t="shared" si="56"/>
        <v>0.3548</v>
      </c>
      <c r="L81" s="6">
        <f t="shared" si="57"/>
        <v>0.486904</v>
      </c>
      <c r="M81" s="13">
        <f t="shared" si="58"/>
        <v>74.239896</v>
      </c>
      <c r="N81" s="19"/>
      <c r="O81" s="13">
        <f t="shared" si="59"/>
        <v>0</v>
      </c>
      <c r="P81" s="19">
        <v>0</v>
      </c>
      <c r="Q81" s="13">
        <f t="shared" si="60"/>
        <v>0</v>
      </c>
      <c r="R81" s="13">
        <f t="shared" si="61"/>
        <v>98.867531</v>
      </c>
    </row>
    <row r="82" spans="1:18" ht="15">
      <c r="A82" s="27" t="s">
        <v>4</v>
      </c>
      <c r="B82" s="57">
        <v>2003</v>
      </c>
      <c r="C82" s="40" t="s">
        <v>42</v>
      </c>
      <c r="D82" s="41">
        <f>'G-35 Customer Count'!H20</f>
        <v>142</v>
      </c>
      <c r="E82" s="41">
        <v>1</v>
      </c>
      <c r="F82" s="43"/>
      <c r="G82" s="44">
        <f>'G-36 Monthly Volumes'!M61</f>
        <v>49</v>
      </c>
      <c r="H82" s="14">
        <f t="shared" si="53"/>
        <v>0.1177</v>
      </c>
      <c r="I82" s="6">
        <f t="shared" si="54"/>
        <v>0.161515</v>
      </c>
      <c r="J82" s="13">
        <f t="shared" si="55"/>
        <v>24.627634999999998</v>
      </c>
      <c r="K82" s="14">
        <f t="shared" si="56"/>
        <v>0.3548</v>
      </c>
      <c r="L82" s="6">
        <f t="shared" si="57"/>
        <v>0.486904</v>
      </c>
      <c r="M82" s="13">
        <f t="shared" si="58"/>
        <v>74.239896</v>
      </c>
      <c r="N82" s="19"/>
      <c r="O82" s="13">
        <f t="shared" si="59"/>
        <v>0</v>
      </c>
      <c r="P82" s="19">
        <v>0</v>
      </c>
      <c r="Q82" s="13">
        <f t="shared" si="60"/>
        <v>0</v>
      </c>
      <c r="R82" s="13">
        <f t="shared" si="61"/>
        <v>98.867531</v>
      </c>
    </row>
    <row r="83" spans="1:18" ht="15">
      <c r="A83" s="27" t="s">
        <v>4</v>
      </c>
      <c r="B83" s="57">
        <v>2003</v>
      </c>
      <c r="C83" s="40" t="s">
        <v>35</v>
      </c>
      <c r="D83" s="41">
        <f>'G-35 Customer Count'!H21</f>
        <v>142</v>
      </c>
      <c r="E83" s="41">
        <v>1</v>
      </c>
      <c r="F83" s="43"/>
      <c r="G83" s="44">
        <f>'G-36 Monthly Volumes'!M62</f>
        <v>49</v>
      </c>
      <c r="H83" s="14">
        <f t="shared" si="53"/>
        <v>0.1177</v>
      </c>
      <c r="I83" s="6">
        <f t="shared" si="54"/>
        <v>0.161515</v>
      </c>
      <c r="J83" s="13">
        <f t="shared" si="55"/>
        <v>24.627634999999998</v>
      </c>
      <c r="K83" s="14">
        <f t="shared" si="56"/>
        <v>0.3548</v>
      </c>
      <c r="L83" s="6">
        <f t="shared" si="57"/>
        <v>0.486904</v>
      </c>
      <c r="M83" s="13">
        <f t="shared" si="58"/>
        <v>74.239896</v>
      </c>
      <c r="N83" s="19"/>
      <c r="O83" s="13">
        <f t="shared" si="59"/>
        <v>0</v>
      </c>
      <c r="P83" s="19">
        <v>0</v>
      </c>
      <c r="Q83" s="13">
        <f t="shared" si="60"/>
        <v>0</v>
      </c>
      <c r="R83" s="13">
        <f t="shared" si="61"/>
        <v>98.867531</v>
      </c>
    </row>
    <row r="84" spans="1:18" ht="15">
      <c r="A84" s="27" t="s">
        <v>4</v>
      </c>
      <c r="B84" s="57">
        <v>2003</v>
      </c>
      <c r="C84" s="40" t="s">
        <v>43</v>
      </c>
      <c r="D84" s="41">
        <f>'G-35 Customer Count'!H22</f>
        <v>142</v>
      </c>
      <c r="E84" s="41">
        <v>1</v>
      </c>
      <c r="F84" s="43"/>
      <c r="G84" s="44">
        <f>'G-36 Monthly Volumes'!M63</f>
        <v>49</v>
      </c>
      <c r="H84" s="14">
        <f t="shared" si="53"/>
        <v>0.1177</v>
      </c>
      <c r="I84" s="6">
        <f t="shared" si="54"/>
        <v>0.161515</v>
      </c>
      <c r="J84" s="13">
        <f t="shared" si="55"/>
        <v>24.627634999999998</v>
      </c>
      <c r="K84" s="14">
        <f t="shared" si="56"/>
        <v>0.3548</v>
      </c>
      <c r="L84" s="6">
        <f t="shared" si="57"/>
        <v>0.486904</v>
      </c>
      <c r="M84" s="13">
        <f t="shared" si="58"/>
        <v>74.239896</v>
      </c>
      <c r="N84" s="19"/>
      <c r="O84" s="13">
        <f t="shared" si="59"/>
        <v>0</v>
      </c>
      <c r="P84" s="19">
        <v>0</v>
      </c>
      <c r="Q84" s="13">
        <f t="shared" si="60"/>
        <v>0</v>
      </c>
      <c r="R84" s="13">
        <f t="shared" si="61"/>
        <v>98.867531</v>
      </c>
    </row>
    <row r="85" spans="1:18" ht="15">
      <c r="A85" s="27" t="s">
        <v>4</v>
      </c>
      <c r="B85" s="57">
        <v>2003</v>
      </c>
      <c r="C85" s="40" t="s">
        <v>44</v>
      </c>
      <c r="D85" s="41">
        <f>'G-35 Customer Count'!H23</f>
        <v>142</v>
      </c>
      <c r="E85" s="41">
        <v>1</v>
      </c>
      <c r="F85" s="43"/>
      <c r="G85" s="44">
        <f>'G-36 Monthly Volumes'!M64</f>
        <v>49</v>
      </c>
      <c r="H85" s="14">
        <f t="shared" si="53"/>
        <v>0.1177</v>
      </c>
      <c r="I85" s="6">
        <f t="shared" si="54"/>
        <v>0.161515</v>
      </c>
      <c r="J85" s="13">
        <f t="shared" si="55"/>
        <v>24.627634999999998</v>
      </c>
      <c r="K85" s="14">
        <f t="shared" si="56"/>
        <v>0.3548</v>
      </c>
      <c r="L85" s="6">
        <f t="shared" si="57"/>
        <v>0.486904</v>
      </c>
      <c r="M85" s="13">
        <f t="shared" si="58"/>
        <v>74.239896</v>
      </c>
      <c r="N85" s="19"/>
      <c r="O85" s="13">
        <f t="shared" si="59"/>
        <v>0</v>
      </c>
      <c r="P85" s="19">
        <v>0</v>
      </c>
      <c r="Q85" s="13">
        <f t="shared" si="60"/>
        <v>0</v>
      </c>
      <c r="R85" s="13">
        <f t="shared" si="61"/>
        <v>98.867531</v>
      </c>
    </row>
    <row r="86" spans="1:18" ht="15">
      <c r="A86" s="27" t="s">
        <v>4</v>
      </c>
      <c r="B86" s="57">
        <v>2003</v>
      </c>
      <c r="C86" s="40" t="s">
        <v>45</v>
      </c>
      <c r="D86" s="41">
        <f>'G-35 Customer Count'!H24</f>
        <v>142</v>
      </c>
      <c r="E86" s="41">
        <v>1</v>
      </c>
      <c r="F86" s="43"/>
      <c r="G86" s="44">
        <f>'G-36 Monthly Volumes'!M65</f>
        <v>49</v>
      </c>
      <c r="H86" s="14">
        <f t="shared" si="53"/>
        <v>0.1177</v>
      </c>
      <c r="I86" s="6">
        <f t="shared" si="54"/>
        <v>0.161515</v>
      </c>
      <c r="J86" s="13">
        <f t="shared" si="55"/>
        <v>24.627634999999998</v>
      </c>
      <c r="K86" s="14">
        <f t="shared" si="56"/>
        <v>0.3548</v>
      </c>
      <c r="L86" s="6">
        <f t="shared" si="57"/>
        <v>0.486904</v>
      </c>
      <c r="M86" s="13">
        <f t="shared" si="58"/>
        <v>74.239896</v>
      </c>
      <c r="N86" s="19"/>
      <c r="O86" s="13">
        <f t="shared" si="59"/>
        <v>0</v>
      </c>
      <c r="P86" s="19">
        <v>0</v>
      </c>
      <c r="Q86" s="13">
        <f t="shared" si="60"/>
        <v>0</v>
      </c>
      <c r="R86" s="13">
        <f t="shared" si="61"/>
        <v>98.867531</v>
      </c>
    </row>
    <row r="87" spans="1:18" ht="15">
      <c r="A87" s="27" t="s">
        <v>4</v>
      </c>
      <c r="B87" s="57">
        <v>2003</v>
      </c>
      <c r="C87" s="40" t="s">
        <v>46</v>
      </c>
      <c r="D87" s="41">
        <f>'G-35 Customer Count'!H25</f>
        <v>142</v>
      </c>
      <c r="E87" s="41">
        <v>1</v>
      </c>
      <c r="F87" s="43"/>
      <c r="G87" s="44">
        <f>'G-36 Monthly Volumes'!M66</f>
        <v>49</v>
      </c>
      <c r="H87" s="14">
        <f t="shared" si="53"/>
        <v>0.1177</v>
      </c>
      <c r="I87" s="6">
        <f t="shared" si="54"/>
        <v>0.161515</v>
      </c>
      <c r="J87" s="13">
        <f t="shared" si="55"/>
        <v>24.627634999999998</v>
      </c>
      <c r="K87" s="14">
        <f t="shared" si="56"/>
        <v>0.3548</v>
      </c>
      <c r="L87" s="6">
        <f t="shared" si="57"/>
        <v>0.486904</v>
      </c>
      <c r="M87" s="13">
        <f t="shared" si="58"/>
        <v>74.239896</v>
      </c>
      <c r="N87" s="19"/>
      <c r="O87" s="13">
        <f t="shared" si="59"/>
        <v>0</v>
      </c>
      <c r="P87" s="19">
        <v>0</v>
      </c>
      <c r="Q87" s="13">
        <f t="shared" si="60"/>
        <v>0</v>
      </c>
      <c r="R87" s="13">
        <f t="shared" si="61"/>
        <v>98.867531</v>
      </c>
    </row>
    <row r="88" spans="1:18" ht="15">
      <c r="A88" s="27" t="s">
        <v>4</v>
      </c>
      <c r="B88" s="57">
        <v>2003</v>
      </c>
      <c r="C88" s="40" t="s">
        <v>47</v>
      </c>
      <c r="D88" s="41">
        <f>'G-35 Customer Count'!H26</f>
        <v>127</v>
      </c>
      <c r="E88" s="41">
        <v>1</v>
      </c>
      <c r="F88" s="43"/>
      <c r="G88" s="44">
        <f>'G-36 Monthly Volumes'!M67</f>
        <v>49</v>
      </c>
      <c r="H88" s="14">
        <f t="shared" si="53"/>
        <v>0.1177</v>
      </c>
      <c r="I88" s="6">
        <f t="shared" si="54"/>
        <v>0.161515</v>
      </c>
      <c r="J88" s="13">
        <f t="shared" si="55"/>
        <v>22.862135000000002</v>
      </c>
      <c r="K88" s="14">
        <f t="shared" si="56"/>
        <v>0.3548</v>
      </c>
      <c r="L88" s="6">
        <f t="shared" si="57"/>
        <v>0.486904</v>
      </c>
      <c r="M88" s="13">
        <f t="shared" si="58"/>
        <v>68.917896</v>
      </c>
      <c r="N88" s="19"/>
      <c r="O88" s="13">
        <f t="shared" si="59"/>
        <v>0</v>
      </c>
      <c r="P88" s="19">
        <v>0</v>
      </c>
      <c r="Q88" s="13">
        <f t="shared" si="60"/>
        <v>0</v>
      </c>
      <c r="R88" s="13">
        <f t="shared" si="61"/>
        <v>91.78003100000001</v>
      </c>
    </row>
    <row r="89" spans="1:18" ht="15">
      <c r="A89" s="27" t="s">
        <v>4</v>
      </c>
      <c r="B89" s="57">
        <v>2003</v>
      </c>
      <c r="C89" s="40" t="s">
        <v>48</v>
      </c>
      <c r="D89" s="41">
        <f>'G-35 Customer Count'!H27</f>
        <v>127</v>
      </c>
      <c r="E89" s="41">
        <v>1</v>
      </c>
      <c r="F89" s="43"/>
      <c r="G89" s="44">
        <f>'G-36 Monthly Volumes'!M68</f>
        <v>49</v>
      </c>
      <c r="H89" s="14">
        <f t="shared" si="53"/>
        <v>0.1177</v>
      </c>
      <c r="I89" s="6">
        <f t="shared" si="54"/>
        <v>0.161515</v>
      </c>
      <c r="J89" s="13">
        <f t="shared" si="55"/>
        <v>22.862135000000002</v>
      </c>
      <c r="K89" s="14">
        <f t="shared" si="56"/>
        <v>0.3548</v>
      </c>
      <c r="L89" s="6">
        <f t="shared" si="57"/>
        <v>0.486904</v>
      </c>
      <c r="M89" s="13">
        <f t="shared" si="58"/>
        <v>68.917896</v>
      </c>
      <c r="N89" s="19"/>
      <c r="O89" s="13">
        <f t="shared" si="59"/>
        <v>0</v>
      </c>
      <c r="P89" s="19">
        <v>0</v>
      </c>
      <c r="Q89" s="13">
        <f t="shared" si="60"/>
        <v>0</v>
      </c>
      <c r="R89" s="13">
        <f t="shared" si="61"/>
        <v>91.78003100000001</v>
      </c>
    </row>
    <row r="90" spans="1:18" ht="15">
      <c r="A90" s="27" t="s">
        <v>4</v>
      </c>
      <c r="B90" s="57">
        <v>2003</v>
      </c>
      <c r="C90" s="40" t="s">
        <v>49</v>
      </c>
      <c r="D90" s="41">
        <f>'G-35 Customer Count'!H28</f>
        <v>127</v>
      </c>
      <c r="E90" s="41">
        <v>1</v>
      </c>
      <c r="F90" s="43"/>
      <c r="G90" s="44">
        <f>'G-36 Monthly Volumes'!M69</f>
        <v>49</v>
      </c>
      <c r="H90" s="14">
        <f t="shared" si="53"/>
        <v>0.1177</v>
      </c>
      <c r="I90" s="6">
        <f t="shared" si="54"/>
        <v>0.161515</v>
      </c>
      <c r="J90" s="13">
        <f t="shared" si="55"/>
        <v>22.862135000000002</v>
      </c>
      <c r="K90" s="14">
        <f t="shared" si="56"/>
        <v>0.3548</v>
      </c>
      <c r="L90" s="6">
        <f t="shared" si="57"/>
        <v>0.486904</v>
      </c>
      <c r="M90" s="13">
        <f t="shared" si="58"/>
        <v>68.917896</v>
      </c>
      <c r="N90" s="19"/>
      <c r="O90" s="13">
        <f t="shared" si="59"/>
        <v>0</v>
      </c>
      <c r="P90" s="19">
        <v>0</v>
      </c>
      <c r="Q90" s="13">
        <f t="shared" si="60"/>
        <v>0</v>
      </c>
      <c r="R90" s="13">
        <f t="shared" si="61"/>
        <v>91.78003100000001</v>
      </c>
    </row>
    <row r="91" spans="1:18" ht="15.75" thickBot="1">
      <c r="A91" s="27" t="s">
        <v>4</v>
      </c>
      <c r="B91" s="57">
        <v>2003</v>
      </c>
      <c r="C91" s="40" t="s">
        <v>38</v>
      </c>
      <c r="D91" s="41"/>
      <c r="E91" s="41">
        <v>1</v>
      </c>
      <c r="F91" s="43"/>
      <c r="G91" s="44">
        <f>'G-36 Monthly Volumes'!M70</f>
        <v>0</v>
      </c>
      <c r="H91" s="14">
        <f t="shared" si="53"/>
        <v>0.1177</v>
      </c>
      <c r="I91" s="6">
        <f t="shared" si="54"/>
        <v>0.161515</v>
      </c>
      <c r="J91" s="13">
        <f t="shared" si="55"/>
        <v>0</v>
      </c>
      <c r="K91" s="14">
        <f t="shared" si="56"/>
        <v>0.3548</v>
      </c>
      <c r="L91" s="6">
        <f t="shared" si="57"/>
        <v>0.486904</v>
      </c>
      <c r="M91" s="13">
        <f t="shared" si="58"/>
        <v>0</v>
      </c>
      <c r="N91" s="19"/>
      <c r="O91" s="13">
        <f t="shared" si="59"/>
        <v>0</v>
      </c>
      <c r="P91" s="19">
        <v>0</v>
      </c>
      <c r="Q91" s="13">
        <f t="shared" si="60"/>
        <v>0</v>
      </c>
      <c r="R91" s="13">
        <f t="shared" si="61"/>
        <v>0</v>
      </c>
    </row>
    <row r="92" spans="1:18" ht="15.75" thickBot="1">
      <c r="A92" s="59" t="s">
        <v>64</v>
      </c>
      <c r="B92" s="60"/>
      <c r="C92" s="61"/>
      <c r="D92" s="62">
        <f>SUM(D79:D91)</f>
        <v>1659</v>
      </c>
      <c r="E92" s="62"/>
      <c r="F92" s="62">
        <f>SUM(F79:F91)</f>
        <v>0</v>
      </c>
      <c r="G92" s="62">
        <f>SUM(G79:G91)</f>
        <v>589</v>
      </c>
      <c r="H92" s="64"/>
      <c r="I92" s="65"/>
      <c r="J92" s="66">
        <f>SUM(J79:J91)</f>
        <v>290.396635</v>
      </c>
      <c r="K92" s="64"/>
      <c r="L92" s="65"/>
      <c r="M92" s="66">
        <f>SUM(M79:M91)</f>
        <v>875.3996560000002</v>
      </c>
      <c r="N92" s="67"/>
      <c r="O92" s="66">
        <f>SUM(O79:O91)</f>
        <v>0</v>
      </c>
      <c r="P92" s="67"/>
      <c r="Q92" s="66">
        <f>SUM(Q79:Q91)</f>
        <v>0</v>
      </c>
      <c r="R92" s="66">
        <f>SUM(R79:R91)</f>
        <v>1165.7962909999999</v>
      </c>
    </row>
    <row r="93" spans="1:18" ht="15">
      <c r="A93" s="27"/>
      <c r="B93" s="57"/>
      <c r="C93" s="40"/>
      <c r="D93" s="41"/>
      <c r="E93" s="41"/>
      <c r="F93" s="43"/>
      <c r="G93" s="44"/>
      <c r="H93" s="14"/>
      <c r="I93" s="6"/>
      <c r="J93" s="13"/>
      <c r="K93" s="14"/>
      <c r="L93" s="6"/>
      <c r="M93" s="13"/>
      <c r="N93" s="19"/>
      <c r="O93" s="13"/>
      <c r="P93" s="19"/>
      <c r="Q93" s="13"/>
      <c r="R93" s="13"/>
    </row>
    <row r="94" spans="1:18" ht="15">
      <c r="A94" s="27" t="s">
        <v>5</v>
      </c>
      <c r="B94" s="57">
        <v>2003</v>
      </c>
      <c r="C94" s="40" t="s">
        <v>39</v>
      </c>
      <c r="D94" s="41">
        <f>'G-35 Customer Count'!I17</f>
        <v>3508</v>
      </c>
      <c r="E94" s="41">
        <v>1</v>
      </c>
      <c r="F94" s="43"/>
      <c r="G94" s="44">
        <f>'G-36 Monthly Volumes'!M40</f>
        <v>1077.66</v>
      </c>
      <c r="H94" s="14">
        <f aca="true" t="shared" si="62" ref="H94:H106">0.0317</f>
        <v>0.0317</v>
      </c>
      <c r="I94" s="6">
        <f aca="true" t="shared" si="63" ref="I94:I106">0.097068</f>
        <v>0.097068</v>
      </c>
      <c r="J94" s="13">
        <f>D94*E94*H94+(F94+G94)*I94</f>
        <v>215.80990088</v>
      </c>
      <c r="K94" s="14">
        <f aca="true" t="shared" si="64" ref="K94:K106">0.0956</f>
        <v>0.0956</v>
      </c>
      <c r="L94" s="6">
        <f aca="true" t="shared" si="65" ref="L94:L106">0.292623</f>
        <v>0.292623</v>
      </c>
      <c r="M94" s="13">
        <f>D94*E94*K94+(F94+G94)*L94</f>
        <v>650.7129021800001</v>
      </c>
      <c r="N94" s="19"/>
      <c r="O94" s="13">
        <f>(F94+G94)*N94</f>
        <v>0</v>
      </c>
      <c r="P94" s="19">
        <v>0</v>
      </c>
      <c r="Q94" s="13">
        <f>(F94+G94)*P94</f>
        <v>0</v>
      </c>
      <c r="R94" s="13">
        <f>J94+M94+O94+Q94</f>
        <v>866.5228030600001</v>
      </c>
    </row>
    <row r="95" spans="1:18" ht="15">
      <c r="A95" s="27" t="s">
        <v>5</v>
      </c>
      <c r="B95" s="57">
        <v>2003</v>
      </c>
      <c r="C95" s="40" t="s">
        <v>40</v>
      </c>
      <c r="D95" s="41">
        <f>'G-35 Customer Count'!I18</f>
        <v>3522</v>
      </c>
      <c r="E95" s="41">
        <v>1</v>
      </c>
      <c r="F95" s="43"/>
      <c r="G95" s="44">
        <f>'G-36 Monthly Volumes'!M41</f>
        <v>540.0699999999999</v>
      </c>
      <c r="H95" s="14">
        <f t="shared" si="62"/>
        <v>0.0317</v>
      </c>
      <c r="I95" s="6">
        <f t="shared" si="63"/>
        <v>0.097068</v>
      </c>
      <c r="J95" s="13">
        <f aca="true" t="shared" si="66" ref="J95:J106">D95*E95*H95+(F95+G95)*I95</f>
        <v>164.07091476</v>
      </c>
      <c r="K95" s="14">
        <f t="shared" si="64"/>
        <v>0.0956</v>
      </c>
      <c r="L95" s="6">
        <f t="shared" si="65"/>
        <v>0.292623</v>
      </c>
      <c r="M95" s="13">
        <f aca="true" t="shared" si="67" ref="M95:M106">D95*E95*K95+(F95+G95)*L95</f>
        <v>494.74010361</v>
      </c>
      <c r="N95" s="19"/>
      <c r="O95" s="13">
        <f aca="true" t="shared" si="68" ref="O95:O106">(F95+G95)*N95</f>
        <v>0</v>
      </c>
      <c r="P95" s="19">
        <v>0</v>
      </c>
      <c r="Q95" s="13">
        <f aca="true" t="shared" si="69" ref="Q95:Q106">(F95+G95)*P95</f>
        <v>0</v>
      </c>
      <c r="R95" s="13">
        <f aca="true" t="shared" si="70" ref="R95:R106">J95+M95+O95+Q95</f>
        <v>658.81101837</v>
      </c>
    </row>
    <row r="96" spans="1:18" ht="15">
      <c r="A96" s="27" t="s">
        <v>5</v>
      </c>
      <c r="B96" s="57">
        <v>2003</v>
      </c>
      <c r="C96" s="40" t="s">
        <v>41</v>
      </c>
      <c r="D96" s="41">
        <f>'G-35 Customer Count'!I19</f>
        <v>3676</v>
      </c>
      <c r="E96" s="41">
        <v>1</v>
      </c>
      <c r="F96" s="43"/>
      <c r="G96" s="44">
        <f>'G-36 Monthly Volumes'!M42</f>
        <v>540.07</v>
      </c>
      <c r="H96" s="14">
        <f t="shared" si="62"/>
        <v>0.0317</v>
      </c>
      <c r="I96" s="6">
        <f t="shared" si="63"/>
        <v>0.097068</v>
      </c>
      <c r="J96" s="13">
        <f t="shared" si="66"/>
        <v>168.95271476</v>
      </c>
      <c r="K96" s="14">
        <f t="shared" si="64"/>
        <v>0.0956</v>
      </c>
      <c r="L96" s="6">
        <f t="shared" si="65"/>
        <v>0.292623</v>
      </c>
      <c r="M96" s="13">
        <f t="shared" si="67"/>
        <v>509.46250361000006</v>
      </c>
      <c r="N96" s="19"/>
      <c r="O96" s="13">
        <f t="shared" si="68"/>
        <v>0</v>
      </c>
      <c r="P96" s="19">
        <v>0</v>
      </c>
      <c r="Q96" s="13">
        <f t="shared" si="69"/>
        <v>0</v>
      </c>
      <c r="R96" s="13">
        <f t="shared" si="70"/>
        <v>678.41521837</v>
      </c>
    </row>
    <row r="97" spans="1:18" ht="15">
      <c r="A97" s="27" t="s">
        <v>5</v>
      </c>
      <c r="B97" s="57">
        <v>2003</v>
      </c>
      <c r="C97" s="40" t="s">
        <v>42</v>
      </c>
      <c r="D97" s="41">
        <f>'G-35 Customer Count'!I20</f>
        <v>3676</v>
      </c>
      <c r="E97" s="41">
        <v>1</v>
      </c>
      <c r="F97" s="43"/>
      <c r="G97" s="44">
        <f>'G-36 Monthly Volumes'!M43</f>
        <v>540.07</v>
      </c>
      <c r="H97" s="14">
        <f t="shared" si="62"/>
        <v>0.0317</v>
      </c>
      <c r="I97" s="6">
        <f t="shared" si="63"/>
        <v>0.097068</v>
      </c>
      <c r="J97" s="13">
        <f t="shared" si="66"/>
        <v>168.95271476</v>
      </c>
      <c r="K97" s="14">
        <f t="shared" si="64"/>
        <v>0.0956</v>
      </c>
      <c r="L97" s="6">
        <f t="shared" si="65"/>
        <v>0.292623</v>
      </c>
      <c r="M97" s="13">
        <f t="shared" si="67"/>
        <v>509.46250361000006</v>
      </c>
      <c r="N97" s="19"/>
      <c r="O97" s="13">
        <f t="shared" si="68"/>
        <v>0</v>
      </c>
      <c r="P97" s="19">
        <v>0</v>
      </c>
      <c r="Q97" s="13">
        <f t="shared" si="69"/>
        <v>0</v>
      </c>
      <c r="R97" s="13">
        <f t="shared" si="70"/>
        <v>678.41521837</v>
      </c>
    </row>
    <row r="98" spans="1:18" ht="15">
      <c r="A98" s="27" t="s">
        <v>5</v>
      </c>
      <c r="B98" s="57">
        <v>2003</v>
      </c>
      <c r="C98" s="40" t="s">
        <v>35</v>
      </c>
      <c r="D98" s="41">
        <f>'G-35 Customer Count'!I21</f>
        <v>3676</v>
      </c>
      <c r="E98" s="41">
        <v>1</v>
      </c>
      <c r="F98" s="43"/>
      <c r="G98" s="44">
        <f>'G-36 Monthly Volumes'!M44</f>
        <v>541.57</v>
      </c>
      <c r="H98" s="14">
        <f t="shared" si="62"/>
        <v>0.0317</v>
      </c>
      <c r="I98" s="6">
        <f t="shared" si="63"/>
        <v>0.097068</v>
      </c>
      <c r="J98" s="13">
        <f t="shared" si="66"/>
        <v>169.09831676000002</v>
      </c>
      <c r="K98" s="14">
        <f t="shared" si="64"/>
        <v>0.0956</v>
      </c>
      <c r="L98" s="6">
        <f t="shared" si="65"/>
        <v>0.292623</v>
      </c>
      <c r="M98" s="13">
        <f t="shared" si="67"/>
        <v>509.9014381100001</v>
      </c>
      <c r="N98" s="19"/>
      <c r="O98" s="13">
        <f t="shared" si="68"/>
        <v>0</v>
      </c>
      <c r="P98" s="19">
        <v>0</v>
      </c>
      <c r="Q98" s="13">
        <f t="shared" si="69"/>
        <v>0</v>
      </c>
      <c r="R98" s="13">
        <f t="shared" si="70"/>
        <v>678.9997548700001</v>
      </c>
    </row>
    <row r="99" spans="1:18" ht="15">
      <c r="A99" s="27" t="s">
        <v>5</v>
      </c>
      <c r="B99" s="57">
        <v>2003</v>
      </c>
      <c r="C99" s="40" t="s">
        <v>43</v>
      </c>
      <c r="D99" s="41">
        <f>'G-35 Customer Count'!I22</f>
        <v>3677</v>
      </c>
      <c r="E99" s="41">
        <v>1</v>
      </c>
      <c r="F99" s="43"/>
      <c r="G99" s="44">
        <f>'G-36 Monthly Volumes'!M45</f>
        <v>541.57</v>
      </c>
      <c r="H99" s="14">
        <f t="shared" si="62"/>
        <v>0.0317</v>
      </c>
      <c r="I99" s="6">
        <f t="shared" si="63"/>
        <v>0.097068</v>
      </c>
      <c r="J99" s="13">
        <f t="shared" si="66"/>
        <v>169.13001676</v>
      </c>
      <c r="K99" s="14">
        <f t="shared" si="64"/>
        <v>0.0956</v>
      </c>
      <c r="L99" s="6">
        <f t="shared" si="65"/>
        <v>0.292623</v>
      </c>
      <c r="M99" s="13">
        <f t="shared" si="67"/>
        <v>509.99703811000006</v>
      </c>
      <c r="N99" s="19"/>
      <c r="O99" s="13">
        <f t="shared" si="68"/>
        <v>0</v>
      </c>
      <c r="P99" s="19">
        <v>0</v>
      </c>
      <c r="Q99" s="13">
        <f t="shared" si="69"/>
        <v>0</v>
      </c>
      <c r="R99" s="13">
        <f t="shared" si="70"/>
        <v>679.12705487</v>
      </c>
    </row>
    <row r="100" spans="1:18" ht="15">
      <c r="A100" s="27" t="s">
        <v>5</v>
      </c>
      <c r="B100" s="57">
        <v>2003</v>
      </c>
      <c r="C100" s="40" t="s">
        <v>44</v>
      </c>
      <c r="D100" s="41">
        <f>'G-35 Customer Count'!I23</f>
        <v>3677</v>
      </c>
      <c r="E100" s="41">
        <v>1</v>
      </c>
      <c r="F100" s="43"/>
      <c r="G100" s="44">
        <f>'G-36 Monthly Volumes'!M46</f>
        <v>541.88</v>
      </c>
      <c r="H100" s="14">
        <f t="shared" si="62"/>
        <v>0.0317</v>
      </c>
      <c r="I100" s="6">
        <f t="shared" si="63"/>
        <v>0.097068</v>
      </c>
      <c r="J100" s="13">
        <f t="shared" si="66"/>
        <v>169.16010784</v>
      </c>
      <c r="K100" s="14">
        <f t="shared" si="64"/>
        <v>0.0956</v>
      </c>
      <c r="L100" s="6">
        <f t="shared" si="65"/>
        <v>0.292623</v>
      </c>
      <c r="M100" s="13">
        <f t="shared" si="67"/>
        <v>510.08775124000005</v>
      </c>
      <c r="N100" s="19"/>
      <c r="O100" s="13">
        <f t="shared" si="68"/>
        <v>0</v>
      </c>
      <c r="P100" s="19">
        <v>0</v>
      </c>
      <c r="Q100" s="13">
        <f t="shared" si="69"/>
        <v>0</v>
      </c>
      <c r="R100" s="13">
        <f t="shared" si="70"/>
        <v>679.24785908</v>
      </c>
    </row>
    <row r="101" spans="1:18" ht="15">
      <c r="A101" s="27" t="s">
        <v>5</v>
      </c>
      <c r="B101" s="57">
        <v>2003</v>
      </c>
      <c r="C101" s="40" t="s">
        <v>45</v>
      </c>
      <c r="D101" s="41">
        <f>'G-35 Customer Count'!I24</f>
        <v>3677</v>
      </c>
      <c r="E101" s="41">
        <v>1</v>
      </c>
      <c r="F101" s="43"/>
      <c r="G101" s="44">
        <f>'G-36 Monthly Volumes'!M47</f>
        <v>541.88</v>
      </c>
      <c r="H101" s="14">
        <f t="shared" si="62"/>
        <v>0.0317</v>
      </c>
      <c r="I101" s="6">
        <f t="shared" si="63"/>
        <v>0.097068</v>
      </c>
      <c r="J101" s="13">
        <f t="shared" si="66"/>
        <v>169.16010784</v>
      </c>
      <c r="K101" s="14">
        <f t="shared" si="64"/>
        <v>0.0956</v>
      </c>
      <c r="L101" s="6">
        <f t="shared" si="65"/>
        <v>0.292623</v>
      </c>
      <c r="M101" s="13">
        <f t="shared" si="67"/>
        <v>510.08775124000005</v>
      </c>
      <c r="N101" s="19"/>
      <c r="O101" s="13">
        <f t="shared" si="68"/>
        <v>0</v>
      </c>
      <c r="P101" s="19">
        <v>0</v>
      </c>
      <c r="Q101" s="13">
        <f t="shared" si="69"/>
        <v>0</v>
      </c>
      <c r="R101" s="13">
        <f t="shared" si="70"/>
        <v>679.24785908</v>
      </c>
    </row>
    <row r="102" spans="1:18" ht="15">
      <c r="A102" s="27" t="s">
        <v>5</v>
      </c>
      <c r="B102" s="57">
        <v>2003</v>
      </c>
      <c r="C102" s="40" t="s">
        <v>46</v>
      </c>
      <c r="D102" s="41">
        <f>'G-35 Customer Count'!I25</f>
        <v>3677</v>
      </c>
      <c r="E102" s="41">
        <v>1</v>
      </c>
      <c r="F102" s="43"/>
      <c r="G102" s="44">
        <f>'G-36 Monthly Volumes'!M48</f>
        <v>541.88</v>
      </c>
      <c r="H102" s="14">
        <f t="shared" si="62"/>
        <v>0.0317</v>
      </c>
      <c r="I102" s="6">
        <f t="shared" si="63"/>
        <v>0.097068</v>
      </c>
      <c r="J102" s="13">
        <f t="shared" si="66"/>
        <v>169.16010784</v>
      </c>
      <c r="K102" s="14">
        <f t="shared" si="64"/>
        <v>0.0956</v>
      </c>
      <c r="L102" s="6">
        <f t="shared" si="65"/>
        <v>0.292623</v>
      </c>
      <c r="M102" s="13">
        <f t="shared" si="67"/>
        <v>510.08775124000005</v>
      </c>
      <c r="N102" s="19"/>
      <c r="O102" s="13">
        <f t="shared" si="68"/>
        <v>0</v>
      </c>
      <c r="P102" s="19">
        <v>0</v>
      </c>
      <c r="Q102" s="13">
        <f t="shared" si="69"/>
        <v>0</v>
      </c>
      <c r="R102" s="13">
        <f t="shared" si="70"/>
        <v>679.24785908</v>
      </c>
    </row>
    <row r="103" spans="1:18" ht="15">
      <c r="A103" s="27" t="s">
        <v>5</v>
      </c>
      <c r="B103" s="57">
        <v>2003</v>
      </c>
      <c r="C103" s="40" t="s">
        <v>47</v>
      </c>
      <c r="D103" s="41">
        <f>'G-35 Customer Count'!I26</f>
        <v>3691</v>
      </c>
      <c r="E103" s="41">
        <v>1</v>
      </c>
      <c r="F103" s="43"/>
      <c r="G103" s="44">
        <f>'G-36 Monthly Volumes'!M49</f>
        <v>543.64</v>
      </c>
      <c r="H103" s="14">
        <f t="shared" si="62"/>
        <v>0.0317</v>
      </c>
      <c r="I103" s="6">
        <f t="shared" si="63"/>
        <v>0.097068</v>
      </c>
      <c r="J103" s="13">
        <f t="shared" si="66"/>
        <v>169.77474752</v>
      </c>
      <c r="K103" s="14">
        <f t="shared" si="64"/>
        <v>0.0956</v>
      </c>
      <c r="L103" s="6">
        <f t="shared" si="65"/>
        <v>0.292623</v>
      </c>
      <c r="M103" s="13">
        <f t="shared" si="67"/>
        <v>511.94116772</v>
      </c>
      <c r="N103" s="19"/>
      <c r="O103" s="13">
        <f t="shared" si="68"/>
        <v>0</v>
      </c>
      <c r="P103" s="19">
        <v>0</v>
      </c>
      <c r="Q103" s="13">
        <f t="shared" si="69"/>
        <v>0</v>
      </c>
      <c r="R103" s="13">
        <f t="shared" si="70"/>
        <v>681.71591524</v>
      </c>
    </row>
    <row r="104" spans="1:18" ht="15">
      <c r="A104" s="27" t="s">
        <v>5</v>
      </c>
      <c r="B104" s="57">
        <v>2003</v>
      </c>
      <c r="C104" s="40" t="s">
        <v>48</v>
      </c>
      <c r="D104" s="41">
        <f>'G-35 Customer Count'!I27</f>
        <v>3709</v>
      </c>
      <c r="E104" s="41">
        <v>1</v>
      </c>
      <c r="F104" s="43"/>
      <c r="G104" s="44">
        <f>'G-36 Monthly Volumes'!M50</f>
        <v>543.64</v>
      </c>
      <c r="H104" s="14">
        <f t="shared" si="62"/>
        <v>0.0317</v>
      </c>
      <c r="I104" s="6">
        <f t="shared" si="63"/>
        <v>0.097068</v>
      </c>
      <c r="J104" s="13">
        <f t="shared" si="66"/>
        <v>170.34534752</v>
      </c>
      <c r="K104" s="14">
        <f t="shared" si="64"/>
        <v>0.0956</v>
      </c>
      <c r="L104" s="6">
        <f t="shared" si="65"/>
        <v>0.292623</v>
      </c>
      <c r="M104" s="13">
        <f t="shared" si="67"/>
        <v>513.66196772</v>
      </c>
      <c r="N104" s="19"/>
      <c r="O104" s="13">
        <f t="shared" si="68"/>
        <v>0</v>
      </c>
      <c r="P104" s="19">
        <v>0</v>
      </c>
      <c r="Q104" s="13">
        <f t="shared" si="69"/>
        <v>0</v>
      </c>
      <c r="R104" s="13">
        <f t="shared" si="70"/>
        <v>684.00731524</v>
      </c>
    </row>
    <row r="105" spans="1:18" ht="15">
      <c r="A105" s="27" t="s">
        <v>5</v>
      </c>
      <c r="B105" s="57">
        <v>2003</v>
      </c>
      <c r="C105" s="40" t="s">
        <v>49</v>
      </c>
      <c r="D105" s="41">
        <f>'G-35 Customer Count'!I28</f>
        <v>3718</v>
      </c>
      <c r="E105" s="41">
        <v>1</v>
      </c>
      <c r="F105" s="43"/>
      <c r="G105" s="44">
        <f>'G-36 Monthly Volumes'!M51</f>
        <v>545.44</v>
      </c>
      <c r="H105" s="14">
        <f t="shared" si="62"/>
        <v>0.0317</v>
      </c>
      <c r="I105" s="6">
        <f t="shared" si="63"/>
        <v>0.097068</v>
      </c>
      <c r="J105" s="13">
        <f t="shared" si="66"/>
        <v>170.80536992</v>
      </c>
      <c r="K105" s="14">
        <f t="shared" si="64"/>
        <v>0.0956</v>
      </c>
      <c r="L105" s="6">
        <f t="shared" si="65"/>
        <v>0.292623</v>
      </c>
      <c r="M105" s="13">
        <f t="shared" si="67"/>
        <v>515.0490891200001</v>
      </c>
      <c r="N105" s="19"/>
      <c r="O105" s="13">
        <f t="shared" si="68"/>
        <v>0</v>
      </c>
      <c r="P105" s="19">
        <v>0</v>
      </c>
      <c r="Q105" s="13">
        <f t="shared" si="69"/>
        <v>0</v>
      </c>
      <c r="R105" s="13">
        <f t="shared" si="70"/>
        <v>685.85445904</v>
      </c>
    </row>
    <row r="106" spans="1:18" ht="15.75" thickBot="1">
      <c r="A106" s="27" t="s">
        <v>5</v>
      </c>
      <c r="B106" s="57">
        <v>2003</v>
      </c>
      <c r="C106" s="40" t="s">
        <v>38</v>
      </c>
      <c r="D106" s="41"/>
      <c r="E106" s="41">
        <v>1</v>
      </c>
      <c r="F106" s="43"/>
      <c r="G106" s="44">
        <f>'G-36 Monthly Volumes'!M52</f>
        <v>-539</v>
      </c>
      <c r="H106" s="14">
        <f t="shared" si="62"/>
        <v>0.0317</v>
      </c>
      <c r="I106" s="6">
        <f t="shared" si="63"/>
        <v>0.097068</v>
      </c>
      <c r="J106" s="13">
        <f t="shared" si="66"/>
        <v>-52.319652</v>
      </c>
      <c r="K106" s="14">
        <f t="shared" si="64"/>
        <v>0.0956</v>
      </c>
      <c r="L106" s="6">
        <f t="shared" si="65"/>
        <v>0.292623</v>
      </c>
      <c r="M106" s="13">
        <f t="shared" si="67"/>
        <v>-157.72379700000002</v>
      </c>
      <c r="N106" s="19"/>
      <c r="O106" s="13">
        <f t="shared" si="68"/>
        <v>0</v>
      </c>
      <c r="P106" s="19">
        <v>0</v>
      </c>
      <c r="Q106" s="13">
        <f t="shared" si="69"/>
        <v>0</v>
      </c>
      <c r="R106" s="13">
        <f t="shared" si="70"/>
        <v>-210.043449</v>
      </c>
    </row>
    <row r="107" spans="1:18" ht="15.75" thickBot="1">
      <c r="A107" s="59" t="s">
        <v>65</v>
      </c>
      <c r="B107" s="60"/>
      <c r="C107" s="61"/>
      <c r="D107" s="62">
        <f>SUM(D94:D106)</f>
        <v>43884</v>
      </c>
      <c r="E107" s="62"/>
      <c r="F107" s="62">
        <f>SUM(F94:F106)</f>
        <v>0</v>
      </c>
      <c r="G107" s="62">
        <f>SUM(G94:G106)</f>
        <v>6500.370000000001</v>
      </c>
      <c r="H107" s="64"/>
      <c r="I107" s="65"/>
      <c r="J107" s="66">
        <f>SUM(J94:J106)</f>
        <v>2022.1007151599995</v>
      </c>
      <c r="K107" s="64"/>
      <c r="L107" s="65"/>
      <c r="M107" s="66">
        <f>SUM(M94:M106)</f>
        <v>6097.46817051</v>
      </c>
      <c r="N107" s="67"/>
      <c r="O107" s="66">
        <f>SUM(O94:O106)</f>
        <v>0</v>
      </c>
      <c r="P107" s="67"/>
      <c r="Q107" s="66">
        <f>SUM(Q94:Q106)</f>
        <v>0</v>
      </c>
      <c r="R107" s="66">
        <f>SUM(R94:R106)</f>
        <v>8119.568885670001</v>
      </c>
    </row>
    <row r="108" spans="1:18" ht="15">
      <c r="A108" s="16"/>
      <c r="B108" s="3"/>
      <c r="C108" s="3"/>
      <c r="D108" s="68"/>
      <c r="E108" s="68"/>
      <c r="F108" s="68"/>
      <c r="G108" s="69"/>
      <c r="H108" s="14"/>
      <c r="I108" s="6"/>
      <c r="J108" s="13"/>
      <c r="K108" s="14"/>
      <c r="L108" s="6"/>
      <c r="M108" s="13"/>
      <c r="N108" s="19"/>
      <c r="O108" s="13"/>
      <c r="P108" s="19"/>
      <c r="Q108" s="13"/>
      <c r="R108" s="13"/>
    </row>
    <row r="109" spans="1:18" s="18" customFormat="1" ht="15.75" thickBot="1">
      <c r="A109" s="122" t="s">
        <v>25</v>
      </c>
      <c r="B109" s="123"/>
      <c r="C109" s="123"/>
      <c r="D109" s="124"/>
      <c r="E109" s="124"/>
      <c r="F109" s="124">
        <f>F17+F32+F47+F62+F77+F92+F107</f>
        <v>157579360.36757028</v>
      </c>
      <c r="G109" s="124">
        <f>G17+G32+G47+G62+G77+G92+G107</f>
        <v>642854.39</v>
      </c>
      <c r="H109" s="122"/>
      <c r="I109" s="123"/>
      <c r="J109" s="125">
        <f>J17+J32+J47+J62+J77+J92+J107</f>
        <v>222907.58775461133</v>
      </c>
      <c r="K109" s="122"/>
      <c r="L109" s="123"/>
      <c r="M109" s="125">
        <f>M17+M32+M47+M62+M77+M92+M107</f>
        <v>672126.4126349122</v>
      </c>
      <c r="N109" s="122"/>
      <c r="O109" s="125">
        <f>O17+O32+O47+O62+O77+O92+O107</f>
        <v>0</v>
      </c>
      <c r="P109" s="122"/>
      <c r="Q109" s="125">
        <f>Q17+Q32+Q47+Q62+Q77+Q92+Q107</f>
        <v>0</v>
      </c>
      <c r="R109" s="125">
        <f>R17+R32+R47+R62+R77+R92+R107</f>
        <v>895034.0003895236</v>
      </c>
    </row>
    <row r="110" spans="1:18" ht="15">
      <c r="A110" s="3"/>
      <c r="B110" s="3"/>
      <c r="C110" s="3"/>
      <c r="D110" s="9"/>
      <c r="E110" s="9"/>
      <c r="F110" s="9"/>
      <c r="G110" s="9"/>
      <c r="H110" s="3"/>
      <c r="I110" s="3"/>
      <c r="J110" s="4"/>
      <c r="K110" s="3"/>
      <c r="L110" s="3"/>
      <c r="M110" s="4"/>
      <c r="N110" s="4"/>
      <c r="O110" s="4"/>
      <c r="P110" s="4"/>
      <c r="Q110" s="4"/>
      <c r="R110" s="4"/>
    </row>
    <row r="112" spans="6:11" ht="15">
      <c r="F112" s="10"/>
      <c r="J112" s="8"/>
      <c r="K112" s="2"/>
    </row>
    <row r="113" spans="10:11" ht="15">
      <c r="J113" s="8"/>
      <c r="K113" s="2"/>
    </row>
    <row r="114" spans="10:11" ht="15">
      <c r="J114" s="8"/>
      <c r="K114" s="2"/>
    </row>
    <row r="115" spans="10:11" ht="15">
      <c r="J115" s="8"/>
      <c r="K115" s="2"/>
    </row>
    <row r="116" spans="10:11" ht="15">
      <c r="J116" s="8"/>
      <c r="K116" s="2"/>
    </row>
    <row r="117" spans="10:11" ht="15">
      <c r="J117" s="8"/>
      <c r="K117" s="2"/>
    </row>
  </sheetData>
  <sheetProtection/>
  <printOptions/>
  <pageMargins left="0.45" right="0.45" top="0.75" bottom="0.75" header="0.3" footer="0.3"/>
  <pageSetup fitToHeight="2" fitToWidth="1" horizontalDpi="600" verticalDpi="600" orientation="landscape" scale="54" r:id="rId1"/>
  <headerFooter>
    <oddHeader>&amp;C&amp;A&amp;RWoodstock Hydro
EB-2011-0207
September 2011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6"/>
  <sheetViews>
    <sheetView showGridLines="0" zoomScalePageLayoutView="0" workbookViewId="0" topLeftCell="A73">
      <selection activeCell="O111" sqref="O111"/>
    </sheetView>
  </sheetViews>
  <sheetFormatPr defaultColWidth="9.140625" defaultRowHeight="15"/>
  <cols>
    <col min="1" max="1" width="22.8515625" style="0" bestFit="1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1.00390625" style="0" bestFit="1" customWidth="1"/>
    <col min="10" max="10" width="11.57421875" style="0" bestFit="1" customWidth="1"/>
    <col min="11" max="11" width="12.57421875" style="0" bestFit="1" customWidth="1"/>
    <col min="12" max="12" width="11.421875" style="0" customWidth="1"/>
    <col min="13" max="13" width="12.57421875" style="0" bestFit="1" customWidth="1"/>
    <col min="14" max="14" width="11.00390625" style="0" bestFit="1" customWidth="1"/>
    <col min="15" max="15" width="12.57421875" style="0" bestFit="1" customWidth="1"/>
    <col min="16" max="16" width="9.8515625" style="0" hidden="1" customWidth="1"/>
    <col min="17" max="17" width="14.57421875" style="0" hidden="1" customWidth="1"/>
    <col min="18" max="18" width="12.57421875" style="0" bestFit="1" customWidth="1"/>
  </cols>
  <sheetData>
    <row r="1" s="1" customFormat="1" ht="15.75" thickBot="1"/>
    <row r="2" spans="1:18" s="23" customFormat="1" ht="75">
      <c r="A2" s="37" t="s">
        <v>24</v>
      </c>
      <c r="B2" s="56"/>
      <c r="C2" s="38" t="s">
        <v>23</v>
      </c>
      <c r="D2" s="38" t="s">
        <v>58</v>
      </c>
      <c r="E2" s="38" t="s">
        <v>27</v>
      </c>
      <c r="F2" s="38" t="s">
        <v>9</v>
      </c>
      <c r="G2" s="39" t="s">
        <v>10</v>
      </c>
      <c r="H2" s="15" t="s">
        <v>12</v>
      </c>
      <c r="I2" s="17" t="s">
        <v>19</v>
      </c>
      <c r="J2" s="22" t="s">
        <v>13</v>
      </c>
      <c r="K2" s="15" t="s">
        <v>102</v>
      </c>
      <c r="L2" s="17" t="s">
        <v>103</v>
      </c>
      <c r="M2" s="22" t="s">
        <v>104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7" t="s">
        <v>0</v>
      </c>
      <c r="B3" s="57">
        <v>2004</v>
      </c>
      <c r="C3" s="40" t="s">
        <v>39</v>
      </c>
      <c r="D3" s="41">
        <f>'G-35 Customer Count'!C29</f>
        <v>12468</v>
      </c>
      <c r="E3" s="41">
        <v>1</v>
      </c>
      <c r="F3" s="41">
        <f>'G-36 Monthly Volumes'!E4</f>
        <v>9615365.332603287</v>
      </c>
      <c r="G3" s="42"/>
      <c r="H3" s="12">
        <f>0.4024</f>
        <v>0.4024</v>
      </c>
      <c r="I3" s="6">
        <f>0.000588</f>
        <v>0.000588</v>
      </c>
      <c r="J3" s="13">
        <f>D3*E3*H3+(F3+G3)*I3</f>
        <v>10670.958015570734</v>
      </c>
      <c r="K3" s="12">
        <f>1.2132</f>
        <v>1.2132</v>
      </c>
      <c r="L3" s="6">
        <f>0.001773</f>
        <v>0.001773</v>
      </c>
      <c r="M3" s="13">
        <f>D3*E3*K3+(F3+G3)*L3</f>
        <v>32174.220334705627</v>
      </c>
      <c r="N3" s="19"/>
      <c r="O3" s="13">
        <f>(F3+G3)*N3</f>
        <v>0</v>
      </c>
      <c r="P3" s="19">
        <v>0</v>
      </c>
      <c r="Q3" s="13">
        <f>(F3+G3)*P3</f>
        <v>0</v>
      </c>
      <c r="R3" s="13">
        <f>J3+M3+O3+Q3</f>
        <v>42845.17835027636</v>
      </c>
    </row>
    <row r="4" spans="1:18" ht="15">
      <c r="A4" s="27" t="s">
        <v>0</v>
      </c>
      <c r="B4" s="57">
        <v>2004</v>
      </c>
      <c r="C4" s="40" t="s">
        <v>40</v>
      </c>
      <c r="D4" s="41">
        <f>'G-35 Customer Count'!C30</f>
        <v>12470</v>
      </c>
      <c r="E4" s="41">
        <v>1</v>
      </c>
      <c r="F4" s="41">
        <f>'G-36 Monthly Volumes'!E5</f>
        <v>9873460.203717694</v>
      </c>
      <c r="G4" s="42"/>
      <c r="H4" s="12">
        <f>0.4024</f>
        <v>0.4024</v>
      </c>
      <c r="I4" s="6">
        <f>0.000588</f>
        <v>0.000588</v>
      </c>
      <c r="J4" s="13">
        <f>D4*E4*H4+(F4+G4)*I4</f>
        <v>10823.522599786003</v>
      </c>
      <c r="K4" s="12">
        <f>1.2132</f>
        <v>1.2132</v>
      </c>
      <c r="L4" s="6">
        <f>0.001773</f>
        <v>0.001773</v>
      </c>
      <c r="M4" s="13">
        <f>D4*E4*K4+(F4+G4)*L4</f>
        <v>32634.248941191472</v>
      </c>
      <c r="N4" s="19"/>
      <c r="O4" s="13">
        <f>(F4+G4)*N4</f>
        <v>0</v>
      </c>
      <c r="P4" s="19">
        <v>0</v>
      </c>
      <c r="Q4" s="13">
        <f>(F4+G4)*P4</f>
        <v>0</v>
      </c>
      <c r="R4" s="13">
        <f>J4+M4+O4+Q4</f>
        <v>43457.771540977476</v>
      </c>
    </row>
    <row r="5" spans="1:18" ht="15">
      <c r="A5" s="27" t="s">
        <v>0</v>
      </c>
      <c r="B5" s="57">
        <v>2004</v>
      </c>
      <c r="C5" s="40" t="s">
        <v>41</v>
      </c>
      <c r="D5" s="41">
        <f>'G-35 Customer Count'!C31</f>
        <v>12492</v>
      </c>
      <c r="E5" s="41">
        <v>1</v>
      </c>
      <c r="F5" s="41">
        <f>'G-36 Monthly Volumes'!E6</f>
        <v>11432945.218078936</v>
      </c>
      <c r="G5" s="42"/>
      <c r="H5" s="12">
        <f>0.4024</f>
        <v>0.4024</v>
      </c>
      <c r="I5" s="6">
        <f>0.000588</f>
        <v>0.000588</v>
      </c>
      <c r="J5" s="13">
        <f>D5*E5*H5+(F5+G5)*I5</f>
        <v>11749.352588230413</v>
      </c>
      <c r="K5" s="12">
        <f>1.2132</f>
        <v>1.2132</v>
      </c>
      <c r="L5" s="6">
        <f>0.001773</f>
        <v>0.001773</v>
      </c>
      <c r="M5" s="13">
        <f>D5*E5*K5+(F5+G5)*L5</f>
        <v>35425.906271653956</v>
      </c>
      <c r="N5" s="19"/>
      <c r="O5" s="13">
        <f>(F5+G5)*N5</f>
        <v>0</v>
      </c>
      <c r="P5" s="19">
        <v>0</v>
      </c>
      <c r="Q5" s="13">
        <f>(F5+G5)*P5</f>
        <v>0</v>
      </c>
      <c r="R5" s="13">
        <f>J5+M5+O5+Q5</f>
        <v>47175.25885988437</v>
      </c>
    </row>
    <row r="6" spans="1:18" ht="15">
      <c r="A6" s="27" t="s">
        <v>0</v>
      </c>
      <c r="B6" s="57">
        <v>2004</v>
      </c>
      <c r="C6" s="40" t="s">
        <v>42</v>
      </c>
      <c r="D6" s="41"/>
      <c r="E6" s="41">
        <v>1</v>
      </c>
      <c r="F6" s="41">
        <f>'G-36 Monthly Volumes'!E7</f>
        <v>6419228.604348388</v>
      </c>
      <c r="G6" s="42"/>
      <c r="H6" s="12">
        <v>0</v>
      </c>
      <c r="I6" s="6">
        <v>0</v>
      </c>
      <c r="J6" s="13">
        <f>D6*E6*H6+(F6+G6)*I6</f>
        <v>0</v>
      </c>
      <c r="K6" s="12">
        <v>0</v>
      </c>
      <c r="L6" s="6">
        <v>0</v>
      </c>
      <c r="M6" s="13">
        <f>D6*E6*K6+(F6+G6)*L6</f>
        <v>0</v>
      </c>
      <c r="N6" s="19">
        <v>0.003565</v>
      </c>
      <c r="O6" s="13">
        <f>(F6+G6)*N6</f>
        <v>22884.549974502002</v>
      </c>
      <c r="P6" s="19">
        <v>0</v>
      </c>
      <c r="Q6" s="13">
        <f>(F6+G6)*P6</f>
        <v>0</v>
      </c>
      <c r="R6" s="13">
        <f>J6+M6+O6+Q6</f>
        <v>22884.549974502002</v>
      </c>
    </row>
    <row r="7" spans="1:18" ht="15">
      <c r="A7" s="27" t="s">
        <v>0</v>
      </c>
      <c r="B7" s="57">
        <v>2004</v>
      </c>
      <c r="C7" s="40" t="s">
        <v>35</v>
      </c>
      <c r="D7" s="41"/>
      <c r="E7" s="41">
        <v>1</v>
      </c>
      <c r="F7" s="41">
        <f>'G-36 Monthly Volumes'!E8</f>
        <v>7963154.81963865</v>
      </c>
      <c r="G7" s="42"/>
      <c r="H7" s="12">
        <v>0</v>
      </c>
      <c r="I7" s="6">
        <v>0</v>
      </c>
      <c r="J7" s="13">
        <f aca="true" t="shared" si="0" ref="J7:J15">D7*E7*H7+(F7+G7)*I7</f>
        <v>0</v>
      </c>
      <c r="K7" s="12">
        <v>0</v>
      </c>
      <c r="L7" s="6">
        <v>0</v>
      </c>
      <c r="M7" s="13">
        <f aca="true" t="shared" si="1" ref="M7:M15">D7*E7*K7+(F7+G7)*L7</f>
        <v>0</v>
      </c>
      <c r="N7" s="19">
        <v>0.003565</v>
      </c>
      <c r="O7" s="13">
        <f aca="true" t="shared" si="2" ref="O7:O15">(F7+G7)*N7</f>
        <v>28388.646932011787</v>
      </c>
      <c r="P7" s="19">
        <v>0</v>
      </c>
      <c r="Q7" s="13">
        <f aca="true" t="shared" si="3" ref="Q7:Q15">(F7+G7)*P7</f>
        <v>0</v>
      </c>
      <c r="R7" s="13">
        <f aca="true" t="shared" si="4" ref="R7:R15">J7+M7+O7+Q7</f>
        <v>28388.646932011787</v>
      </c>
    </row>
    <row r="8" spans="1:18" ht="15">
      <c r="A8" s="27" t="s">
        <v>0</v>
      </c>
      <c r="B8" s="57">
        <v>2004</v>
      </c>
      <c r="C8" s="40" t="s">
        <v>43</v>
      </c>
      <c r="D8" s="41"/>
      <c r="E8" s="41">
        <v>1</v>
      </c>
      <c r="F8" s="41">
        <f>'G-36 Monthly Volumes'!E9</f>
        <v>6900427.2783936</v>
      </c>
      <c r="G8" s="42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>
        <v>0.003565</v>
      </c>
      <c r="O8" s="13">
        <f t="shared" si="2"/>
        <v>24600.023247473186</v>
      </c>
      <c r="P8" s="19">
        <v>0</v>
      </c>
      <c r="Q8" s="13">
        <f t="shared" si="3"/>
        <v>0</v>
      </c>
      <c r="R8" s="13">
        <f t="shared" si="4"/>
        <v>24600.023247473186</v>
      </c>
    </row>
    <row r="9" spans="1:18" ht="15">
      <c r="A9" s="27" t="s">
        <v>0</v>
      </c>
      <c r="B9" s="57">
        <v>2004</v>
      </c>
      <c r="C9" s="40" t="s">
        <v>44</v>
      </c>
      <c r="D9" s="41"/>
      <c r="E9" s="41">
        <v>1</v>
      </c>
      <c r="F9" s="41">
        <f>'G-36 Monthly Volumes'!E10</f>
        <v>8679472.335706528</v>
      </c>
      <c r="G9" s="42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>
        <v>0.003565</v>
      </c>
      <c r="O9" s="13">
        <f t="shared" si="2"/>
        <v>30942.31887679377</v>
      </c>
      <c r="P9" s="19">
        <v>0</v>
      </c>
      <c r="Q9" s="13">
        <f t="shared" si="3"/>
        <v>0</v>
      </c>
      <c r="R9" s="13">
        <f t="shared" si="4"/>
        <v>30942.31887679377</v>
      </c>
    </row>
    <row r="10" spans="1:18" ht="15">
      <c r="A10" s="27" t="s">
        <v>0</v>
      </c>
      <c r="B10" s="57">
        <v>2004</v>
      </c>
      <c r="C10" s="40" t="s">
        <v>45</v>
      </c>
      <c r="D10" s="41"/>
      <c r="E10" s="41">
        <v>1</v>
      </c>
      <c r="F10" s="41">
        <f>'G-36 Monthly Volumes'!E11</f>
        <v>7658391.371935493</v>
      </c>
      <c r="G10" s="42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>
        <v>0.003565</v>
      </c>
      <c r="O10" s="13">
        <f t="shared" si="2"/>
        <v>27302.165240950035</v>
      </c>
      <c r="P10" s="19">
        <v>0</v>
      </c>
      <c r="Q10" s="13">
        <f t="shared" si="3"/>
        <v>0</v>
      </c>
      <c r="R10" s="13">
        <f t="shared" si="4"/>
        <v>27302.165240950035</v>
      </c>
    </row>
    <row r="11" spans="1:18" ht="15">
      <c r="A11" s="27" t="s">
        <v>0</v>
      </c>
      <c r="B11" s="57">
        <v>2004</v>
      </c>
      <c r="C11" s="40" t="s">
        <v>46</v>
      </c>
      <c r="D11" s="41"/>
      <c r="E11" s="41">
        <v>1</v>
      </c>
      <c r="F11" s="41">
        <f>'G-36 Monthly Volumes'!E12</f>
        <v>9363478.47377242</v>
      </c>
      <c r="G11" s="42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>
        <v>0.003565</v>
      </c>
      <c r="O11" s="13">
        <f t="shared" si="2"/>
        <v>33380.800758998674</v>
      </c>
      <c r="P11" s="19">
        <v>0</v>
      </c>
      <c r="Q11" s="13">
        <f t="shared" si="3"/>
        <v>0</v>
      </c>
      <c r="R11" s="13">
        <f t="shared" si="4"/>
        <v>33380.800758998674</v>
      </c>
    </row>
    <row r="12" spans="1:18" ht="15">
      <c r="A12" s="27" t="s">
        <v>0</v>
      </c>
      <c r="B12" s="57">
        <v>2004</v>
      </c>
      <c r="C12" s="40" t="s">
        <v>47</v>
      </c>
      <c r="D12" s="41"/>
      <c r="E12" s="41">
        <v>1</v>
      </c>
      <c r="F12" s="41">
        <f>'G-36 Monthly Volumes'!E13</f>
        <v>7427831.541574553</v>
      </c>
      <c r="G12" s="42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>
        <v>0.003565</v>
      </c>
      <c r="O12" s="13">
        <f t="shared" si="2"/>
        <v>26480.21944571328</v>
      </c>
      <c r="P12" s="19">
        <v>0</v>
      </c>
      <c r="Q12" s="13">
        <f t="shared" si="3"/>
        <v>0</v>
      </c>
      <c r="R12" s="13">
        <f t="shared" si="4"/>
        <v>26480.21944571328</v>
      </c>
    </row>
    <row r="13" spans="1:18" ht="15">
      <c r="A13" s="27" t="s">
        <v>0</v>
      </c>
      <c r="B13" s="57">
        <v>2004</v>
      </c>
      <c r="C13" s="40" t="s">
        <v>48</v>
      </c>
      <c r="D13" s="41"/>
      <c r="E13" s="41">
        <v>1</v>
      </c>
      <c r="F13" s="41">
        <f>'G-36 Monthly Volumes'!E14</f>
        <v>8460195.839137875</v>
      </c>
      <c r="G13" s="42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>
        <v>0.003565</v>
      </c>
      <c r="O13" s="13">
        <f t="shared" si="2"/>
        <v>30160.598166526524</v>
      </c>
      <c r="P13" s="19">
        <v>0</v>
      </c>
      <c r="Q13" s="13">
        <f t="shared" si="3"/>
        <v>0</v>
      </c>
      <c r="R13" s="13">
        <f t="shared" si="4"/>
        <v>30160.598166526524</v>
      </c>
    </row>
    <row r="14" spans="1:18" ht="15">
      <c r="A14" s="27" t="s">
        <v>0</v>
      </c>
      <c r="B14" s="57">
        <v>2004</v>
      </c>
      <c r="C14" s="40" t="s">
        <v>49</v>
      </c>
      <c r="D14" s="41"/>
      <c r="E14" s="41">
        <v>1</v>
      </c>
      <c r="F14" s="41">
        <f>'G-36 Monthly Volumes'!E15</f>
        <v>7784466.856822956</v>
      </c>
      <c r="G14" s="42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>
        <v>0.003565</v>
      </c>
      <c r="O14" s="13">
        <f t="shared" si="2"/>
        <v>27751.62434457384</v>
      </c>
      <c r="P14" s="19">
        <v>0</v>
      </c>
      <c r="Q14" s="13">
        <f t="shared" si="3"/>
        <v>0</v>
      </c>
      <c r="R14" s="13">
        <f t="shared" si="4"/>
        <v>27751.62434457384</v>
      </c>
    </row>
    <row r="15" spans="1:18" ht="15.75" thickBot="1">
      <c r="A15" s="27" t="s">
        <v>0</v>
      </c>
      <c r="B15" s="57">
        <v>2004</v>
      </c>
      <c r="C15" s="40" t="s">
        <v>38</v>
      </c>
      <c r="D15" s="41"/>
      <c r="E15" s="41">
        <v>1</v>
      </c>
      <c r="F15" s="41">
        <f>'G-36 Monthly Volumes'!E16</f>
        <v>4689542</v>
      </c>
      <c r="G15" s="42"/>
      <c r="H15" s="12">
        <v>0</v>
      </c>
      <c r="I15" s="6">
        <v>0</v>
      </c>
      <c r="J15" s="13">
        <f t="shared" si="0"/>
        <v>0</v>
      </c>
      <c r="K15" s="12">
        <v>0</v>
      </c>
      <c r="L15" s="6">
        <v>0</v>
      </c>
      <c r="M15" s="13">
        <f t="shared" si="1"/>
        <v>0</v>
      </c>
      <c r="N15" s="19">
        <v>0.003565</v>
      </c>
      <c r="O15" s="13">
        <f t="shared" si="2"/>
        <v>16718.21723</v>
      </c>
      <c r="P15" s="19">
        <v>0</v>
      </c>
      <c r="Q15" s="13">
        <f t="shared" si="3"/>
        <v>0</v>
      </c>
      <c r="R15" s="13">
        <f t="shared" si="4"/>
        <v>16718.21723</v>
      </c>
    </row>
    <row r="16" spans="1:18" ht="15.75" thickBot="1">
      <c r="A16" s="59" t="s">
        <v>59</v>
      </c>
      <c r="B16" s="60"/>
      <c r="C16" s="61"/>
      <c r="D16" s="62">
        <f>SUM(D3:D15)</f>
        <v>37430</v>
      </c>
      <c r="E16" s="62"/>
      <c r="F16" s="62">
        <f>SUM(F3:F15)</f>
        <v>106267959.87573038</v>
      </c>
      <c r="G16" s="63">
        <f>SUM(G3:G15)</f>
        <v>0</v>
      </c>
      <c r="H16" s="64"/>
      <c r="I16" s="65"/>
      <c r="J16" s="66">
        <f>SUM(J3:J15)</f>
        <v>33243.83320358715</v>
      </c>
      <c r="K16" s="64"/>
      <c r="L16" s="65"/>
      <c r="M16" s="66">
        <f>SUM(M3:M15)</f>
        <v>100234.37554755106</v>
      </c>
      <c r="N16" s="67"/>
      <c r="O16" s="66">
        <f>SUM(O3:O15)</f>
        <v>268609.1642175431</v>
      </c>
      <c r="P16" s="67"/>
      <c r="Q16" s="66">
        <f>SUM(Q3:Q15)</f>
        <v>0</v>
      </c>
      <c r="R16" s="66">
        <f>SUM(R3:R15)</f>
        <v>402087.3729686813</v>
      </c>
    </row>
    <row r="17" spans="1:18" ht="15">
      <c r="A17" s="27"/>
      <c r="B17" s="57"/>
      <c r="C17" s="40"/>
      <c r="D17" s="41"/>
      <c r="E17" s="41"/>
      <c r="F17" s="41"/>
      <c r="G17" s="42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7" t="s">
        <v>1</v>
      </c>
      <c r="B18" s="57">
        <v>2004</v>
      </c>
      <c r="C18" s="40" t="s">
        <v>39</v>
      </c>
      <c r="D18" s="41">
        <f>'G-35 Customer Count'!D29</f>
        <v>1142</v>
      </c>
      <c r="E18" s="41">
        <v>1</v>
      </c>
      <c r="F18" s="41">
        <f>'G-36 Monthly Volumes'!E22</f>
        <v>3988876.615231673</v>
      </c>
      <c r="G18" s="42"/>
      <c r="H18" s="12">
        <f>0.6597</f>
        <v>0.6597</v>
      </c>
      <c r="I18" s="6">
        <f>0.000432</f>
        <v>0.000432</v>
      </c>
      <c r="J18" s="13">
        <f>D18*E18*H18+(F18+G18)*I18</f>
        <v>2476.5720977800825</v>
      </c>
      <c r="K18" s="12">
        <f>1.9888</f>
        <v>1.9888</v>
      </c>
      <c r="L18" s="6">
        <f>0.001304</f>
        <v>0.001304</v>
      </c>
      <c r="M18" s="13">
        <f>D18*E18*K18+(F18+G18)*L18</f>
        <v>7472.7047062621</v>
      </c>
      <c r="N18" s="19"/>
      <c r="O18" s="13">
        <f>(F18+G18)*N18</f>
        <v>0</v>
      </c>
      <c r="P18" s="19">
        <v>0</v>
      </c>
      <c r="Q18" s="13">
        <f>(F18+G18)*P18</f>
        <v>0</v>
      </c>
      <c r="R18" s="13">
        <f>J18+M18+O18+Q18</f>
        <v>9949.276804042183</v>
      </c>
    </row>
    <row r="19" spans="1:18" ht="15">
      <c r="A19" s="27" t="s">
        <v>1</v>
      </c>
      <c r="B19" s="57">
        <v>2004</v>
      </c>
      <c r="C19" s="40" t="s">
        <v>40</v>
      </c>
      <c r="D19" s="41">
        <f>'G-35 Customer Count'!D30</f>
        <v>1131</v>
      </c>
      <c r="E19" s="41">
        <v>1</v>
      </c>
      <c r="F19" s="41">
        <f>'G-36 Monthly Volumes'!E23</f>
        <v>4199810.584287536</v>
      </c>
      <c r="G19" s="42"/>
      <c r="H19" s="12">
        <f>0.6597</f>
        <v>0.6597</v>
      </c>
      <c r="I19" s="6">
        <f>0.000432</f>
        <v>0.000432</v>
      </c>
      <c r="J19" s="13">
        <f>D19*E19*H19+(F19+G19)*I19</f>
        <v>2560.4388724122155</v>
      </c>
      <c r="K19" s="12">
        <f>1.9888</f>
        <v>1.9888</v>
      </c>
      <c r="L19" s="6">
        <f>0.001304</f>
        <v>0.001304</v>
      </c>
      <c r="M19" s="13">
        <f>D19*E19*K19+(F19+G19)*L19</f>
        <v>7725.885801910947</v>
      </c>
      <c r="N19" s="19"/>
      <c r="O19" s="13">
        <f>(F19+G19)*N19</f>
        <v>0</v>
      </c>
      <c r="P19" s="19">
        <v>0</v>
      </c>
      <c r="Q19" s="13">
        <f>(F19+G19)*P19</f>
        <v>0</v>
      </c>
      <c r="R19" s="13">
        <f>J19+M19+O19+Q19</f>
        <v>10286.324674323161</v>
      </c>
    </row>
    <row r="20" spans="1:18" ht="15">
      <c r="A20" s="27" t="s">
        <v>1</v>
      </c>
      <c r="B20" s="57">
        <v>2004</v>
      </c>
      <c r="C20" s="40" t="s">
        <v>41</v>
      </c>
      <c r="D20" s="41">
        <f>'G-35 Customer Count'!D31</f>
        <v>1136</v>
      </c>
      <c r="E20" s="41">
        <v>1</v>
      </c>
      <c r="F20" s="41">
        <f>'G-36 Monthly Volumes'!E24</f>
        <v>3651914.424992297</v>
      </c>
      <c r="G20" s="42"/>
      <c r="H20" s="12">
        <f>0.6597</f>
        <v>0.6597</v>
      </c>
      <c r="I20" s="6">
        <f>0.000432</f>
        <v>0.000432</v>
      </c>
      <c r="J20" s="13">
        <f>D20*E20*H20+(F20+G20)*I20</f>
        <v>2327.046231596672</v>
      </c>
      <c r="K20" s="12">
        <f>1.9888</f>
        <v>1.9888</v>
      </c>
      <c r="L20" s="6">
        <f>0.001304</f>
        <v>0.001304</v>
      </c>
      <c r="M20" s="13">
        <f>D20*E20*K20+(F20+G20)*L20</f>
        <v>7021.373210189955</v>
      </c>
      <c r="N20" s="19"/>
      <c r="O20" s="13">
        <f>(F20+G20)*N20</f>
        <v>0</v>
      </c>
      <c r="P20" s="19">
        <v>0</v>
      </c>
      <c r="Q20" s="13">
        <f>(F20+G20)*P20</f>
        <v>0</v>
      </c>
      <c r="R20" s="13">
        <f>J20+M20+O20+Q20</f>
        <v>9348.419441786627</v>
      </c>
    </row>
    <row r="21" spans="1:18" ht="15">
      <c r="A21" s="27" t="s">
        <v>1</v>
      </c>
      <c r="B21" s="57">
        <v>2004</v>
      </c>
      <c r="C21" s="40" t="s">
        <v>42</v>
      </c>
      <c r="D21" s="41"/>
      <c r="E21" s="41">
        <v>1</v>
      </c>
      <c r="F21" s="41">
        <f>'G-36 Monthly Volumes'!E25</f>
        <v>3810018.047209549</v>
      </c>
      <c r="G21" s="42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>
        <v>0.001955</v>
      </c>
      <c r="O21" s="13">
        <f>(F21+G21)*N21</f>
        <v>7448.585282294669</v>
      </c>
      <c r="P21" s="19">
        <v>0</v>
      </c>
      <c r="Q21" s="13">
        <f>(F21+G21)*P21</f>
        <v>0</v>
      </c>
      <c r="R21" s="13">
        <f>J21+M21+O21+Q21</f>
        <v>7448.585282294669</v>
      </c>
    </row>
    <row r="22" spans="1:18" ht="15">
      <c r="A22" s="27" t="s">
        <v>1</v>
      </c>
      <c r="B22" s="57">
        <v>2004</v>
      </c>
      <c r="C22" s="40" t="s">
        <v>35</v>
      </c>
      <c r="D22" s="41"/>
      <c r="E22" s="41">
        <v>1</v>
      </c>
      <c r="F22" s="41">
        <f>'G-36 Monthly Volumes'!E26</f>
        <v>3463653.070484429</v>
      </c>
      <c r="G22" s="42"/>
      <c r="H22" s="12">
        <v>0</v>
      </c>
      <c r="I22" s="6">
        <v>0</v>
      </c>
      <c r="J22" s="13">
        <f aca="true" t="shared" si="5" ref="J22:J30">D22*E22*H22+(F22+G22)*I22</f>
        <v>0</v>
      </c>
      <c r="K22" s="12">
        <v>0</v>
      </c>
      <c r="L22" s="6">
        <v>0</v>
      </c>
      <c r="M22" s="13">
        <f aca="true" t="shared" si="6" ref="M22:M30">D22*E22*K22+(F22+G22)*L22</f>
        <v>0</v>
      </c>
      <c r="N22" s="19">
        <v>0.001955</v>
      </c>
      <c r="O22" s="13">
        <f aca="true" t="shared" si="7" ref="O22:O30">(F22+G22)*N22</f>
        <v>6771.441752797059</v>
      </c>
      <c r="P22" s="19">
        <v>0</v>
      </c>
      <c r="Q22" s="13">
        <f aca="true" t="shared" si="8" ref="Q22:Q30">(F22+G22)*P22</f>
        <v>0</v>
      </c>
      <c r="R22" s="13">
        <f aca="true" t="shared" si="9" ref="R22:R30">J22+M22+O22+Q22</f>
        <v>6771.441752797059</v>
      </c>
    </row>
    <row r="23" spans="1:18" ht="15">
      <c r="A23" s="27" t="s">
        <v>1</v>
      </c>
      <c r="B23" s="57">
        <v>2004</v>
      </c>
      <c r="C23" s="40" t="s">
        <v>43</v>
      </c>
      <c r="D23" s="41"/>
      <c r="E23" s="41">
        <v>1</v>
      </c>
      <c r="F23" s="41">
        <f>'G-36 Monthly Volumes'!E27</f>
        <v>3309629.474472927</v>
      </c>
      <c r="G23" s="42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>
        <v>0.001955</v>
      </c>
      <c r="O23" s="13">
        <f t="shared" si="7"/>
        <v>6470.325622594572</v>
      </c>
      <c r="P23" s="19">
        <v>0</v>
      </c>
      <c r="Q23" s="13">
        <f t="shared" si="8"/>
        <v>0</v>
      </c>
      <c r="R23" s="13">
        <f t="shared" si="9"/>
        <v>6470.325622594572</v>
      </c>
    </row>
    <row r="24" spans="1:18" ht="15">
      <c r="A24" s="27" t="s">
        <v>1</v>
      </c>
      <c r="B24" s="57">
        <v>2004</v>
      </c>
      <c r="C24" s="40" t="s">
        <v>44</v>
      </c>
      <c r="D24" s="41"/>
      <c r="E24" s="41">
        <v>1</v>
      </c>
      <c r="F24" s="41">
        <f>'G-36 Monthly Volumes'!E28</f>
        <v>3554893.422296787</v>
      </c>
      <c r="G24" s="42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>
        <v>0.001955</v>
      </c>
      <c r="O24" s="13">
        <f t="shared" si="7"/>
        <v>6949.816640590219</v>
      </c>
      <c r="P24" s="19">
        <v>0</v>
      </c>
      <c r="Q24" s="13">
        <f t="shared" si="8"/>
        <v>0</v>
      </c>
      <c r="R24" s="13">
        <f t="shared" si="9"/>
        <v>6949.816640590219</v>
      </c>
    </row>
    <row r="25" spans="1:18" ht="15">
      <c r="A25" s="27" t="s">
        <v>1</v>
      </c>
      <c r="B25" s="57">
        <v>2004</v>
      </c>
      <c r="C25" s="40" t="s">
        <v>45</v>
      </c>
      <c r="D25" s="41"/>
      <c r="E25" s="41">
        <v>1</v>
      </c>
      <c r="F25" s="41">
        <f>'G-36 Monthly Volumes'!E29</f>
        <v>3606221.7526088594</v>
      </c>
      <c r="G25" s="42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>
        <v>0.001955</v>
      </c>
      <c r="O25" s="13">
        <f t="shared" si="7"/>
        <v>7050.16352635032</v>
      </c>
      <c r="P25" s="19">
        <v>0</v>
      </c>
      <c r="Q25" s="13">
        <f t="shared" si="8"/>
        <v>0</v>
      </c>
      <c r="R25" s="13">
        <f t="shared" si="9"/>
        <v>7050.16352635032</v>
      </c>
    </row>
    <row r="26" spans="1:18" ht="15">
      <c r="A26" s="27" t="s">
        <v>1</v>
      </c>
      <c r="B26" s="57">
        <v>2004</v>
      </c>
      <c r="C26" s="40" t="s">
        <v>46</v>
      </c>
      <c r="D26" s="41"/>
      <c r="E26" s="41">
        <v>1</v>
      </c>
      <c r="F26" s="41">
        <f>'G-36 Monthly Volumes'!E30</f>
        <v>3601928.7116749366</v>
      </c>
      <c r="G26" s="42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>
        <v>0.001955</v>
      </c>
      <c r="O26" s="13">
        <f t="shared" si="7"/>
        <v>7041.770631324502</v>
      </c>
      <c r="P26" s="19">
        <v>0</v>
      </c>
      <c r="Q26" s="13">
        <f t="shared" si="8"/>
        <v>0</v>
      </c>
      <c r="R26" s="13">
        <f t="shared" si="9"/>
        <v>7041.770631324502</v>
      </c>
    </row>
    <row r="27" spans="1:18" ht="15">
      <c r="A27" s="27" t="s">
        <v>1</v>
      </c>
      <c r="B27" s="57">
        <v>2004</v>
      </c>
      <c r="C27" s="40" t="s">
        <v>47</v>
      </c>
      <c r="D27" s="41"/>
      <c r="E27" s="41">
        <v>1</v>
      </c>
      <c r="F27" s="41">
        <f>'G-36 Monthly Volumes'!E31</f>
        <v>3329123.1554473205</v>
      </c>
      <c r="G27" s="42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>
        <v>0.001955</v>
      </c>
      <c r="O27" s="13">
        <f t="shared" si="7"/>
        <v>6508.435768899512</v>
      </c>
      <c r="P27" s="19">
        <v>0</v>
      </c>
      <c r="Q27" s="13">
        <f t="shared" si="8"/>
        <v>0</v>
      </c>
      <c r="R27" s="13">
        <f t="shared" si="9"/>
        <v>6508.435768899512</v>
      </c>
    </row>
    <row r="28" spans="1:18" ht="15">
      <c r="A28" s="27" t="s">
        <v>1</v>
      </c>
      <c r="B28" s="57">
        <v>2004</v>
      </c>
      <c r="C28" s="40" t="s">
        <v>48</v>
      </c>
      <c r="D28" s="41"/>
      <c r="E28" s="41">
        <v>1</v>
      </c>
      <c r="F28" s="41">
        <f>'G-36 Monthly Volumes'!E32</f>
        <v>3115977.847170397</v>
      </c>
      <c r="G28" s="42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>
        <v>0.001955</v>
      </c>
      <c r="O28" s="13">
        <f t="shared" si="7"/>
        <v>6091.736691218127</v>
      </c>
      <c r="P28" s="19">
        <v>0</v>
      </c>
      <c r="Q28" s="13">
        <f t="shared" si="8"/>
        <v>0</v>
      </c>
      <c r="R28" s="13">
        <f t="shared" si="9"/>
        <v>6091.736691218127</v>
      </c>
    </row>
    <row r="29" spans="1:18" ht="15">
      <c r="A29" s="27" t="s">
        <v>1</v>
      </c>
      <c r="B29" s="57">
        <v>2004</v>
      </c>
      <c r="C29" s="40" t="s">
        <v>49</v>
      </c>
      <c r="D29" s="41"/>
      <c r="E29" s="41">
        <v>1</v>
      </c>
      <c r="F29" s="41">
        <f>'G-36 Monthly Volumes'!E33</f>
        <v>3598117.1485593542</v>
      </c>
      <c r="G29" s="42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>
        <v>0.001955</v>
      </c>
      <c r="O29" s="13">
        <f t="shared" si="7"/>
        <v>7034.319025433538</v>
      </c>
      <c r="P29" s="19">
        <v>0</v>
      </c>
      <c r="Q29" s="13">
        <f t="shared" si="8"/>
        <v>0</v>
      </c>
      <c r="R29" s="13">
        <f t="shared" si="9"/>
        <v>7034.319025433538</v>
      </c>
    </row>
    <row r="30" spans="1:18" ht="15.75" thickBot="1">
      <c r="A30" s="27" t="s">
        <v>1</v>
      </c>
      <c r="B30" s="57">
        <v>2004</v>
      </c>
      <c r="C30" s="40" t="s">
        <v>38</v>
      </c>
      <c r="D30" s="41"/>
      <c r="E30" s="41">
        <v>1</v>
      </c>
      <c r="F30" s="41">
        <f>'G-36 Monthly Volumes'!E34</f>
        <v>2479791</v>
      </c>
      <c r="G30" s="42"/>
      <c r="H30" s="12">
        <v>0</v>
      </c>
      <c r="I30" s="6">
        <v>0</v>
      </c>
      <c r="J30" s="13">
        <f t="shared" si="5"/>
        <v>0</v>
      </c>
      <c r="K30" s="12">
        <v>0</v>
      </c>
      <c r="L30" s="6">
        <v>0</v>
      </c>
      <c r="M30" s="13">
        <f t="shared" si="6"/>
        <v>0</v>
      </c>
      <c r="N30" s="19">
        <v>0.001955</v>
      </c>
      <c r="O30" s="13">
        <f t="shared" si="7"/>
        <v>4847.991405000001</v>
      </c>
      <c r="P30" s="19">
        <v>0</v>
      </c>
      <c r="Q30" s="13">
        <f t="shared" si="8"/>
        <v>0</v>
      </c>
      <c r="R30" s="13">
        <f t="shared" si="9"/>
        <v>4847.991405000001</v>
      </c>
    </row>
    <row r="31" spans="1:18" ht="15.75" thickBot="1">
      <c r="A31" s="59" t="s">
        <v>60</v>
      </c>
      <c r="B31" s="60"/>
      <c r="C31" s="61"/>
      <c r="D31" s="62">
        <f>SUM(D18:D30)</f>
        <v>3409</v>
      </c>
      <c r="E31" s="62"/>
      <c r="F31" s="62">
        <f>SUM(F18:F30)</f>
        <v>45709955.25443607</v>
      </c>
      <c r="G31" s="63">
        <f>SUM(G18:G30)</f>
        <v>0</v>
      </c>
      <c r="H31" s="64"/>
      <c r="I31" s="65"/>
      <c r="J31" s="66">
        <f>SUM(J18:J30)</f>
        <v>7364.05720178897</v>
      </c>
      <c r="K31" s="64"/>
      <c r="L31" s="65"/>
      <c r="M31" s="66">
        <f>SUM(M18:M30)</f>
        <v>22219.963718363004</v>
      </c>
      <c r="N31" s="67"/>
      <c r="O31" s="66">
        <f>SUM(O18:O30)</f>
        <v>66214.58634650252</v>
      </c>
      <c r="P31" s="67"/>
      <c r="Q31" s="66">
        <f>SUM(Q18:Q30)</f>
        <v>0</v>
      </c>
      <c r="R31" s="66">
        <f>SUM(R18:R30)</f>
        <v>95798.6072666545</v>
      </c>
    </row>
    <row r="32" spans="1:18" ht="15">
      <c r="A32" s="27"/>
      <c r="B32" s="57"/>
      <c r="C32" s="40"/>
      <c r="D32" s="41"/>
      <c r="E32" s="41"/>
      <c r="F32" s="41"/>
      <c r="G32" s="42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7" t="s">
        <v>8</v>
      </c>
      <c r="B33" s="57">
        <v>2004</v>
      </c>
      <c r="C33" s="40" t="s">
        <v>39</v>
      </c>
      <c r="D33" s="41">
        <f>'G-35 Customer Count'!E29</f>
        <v>51</v>
      </c>
      <c r="E33" s="41">
        <v>1</v>
      </c>
      <c r="F33" s="41">
        <f>'G-36 Monthly Volumes'!E40</f>
        <v>6968.666666666667</v>
      </c>
      <c r="G33" s="42"/>
      <c r="H33" s="12">
        <f>0.6597</f>
        <v>0.6597</v>
      </c>
      <c r="I33" s="6">
        <f>0.000432</f>
        <v>0.000432</v>
      </c>
      <c r="J33" s="13">
        <f aca="true" t="shared" si="10" ref="J33:J45">D33*E33*H33+(F33+G33)*I33</f>
        <v>36.655164</v>
      </c>
      <c r="K33" s="12">
        <f>1.9888</f>
        <v>1.9888</v>
      </c>
      <c r="L33" s="6">
        <f>0.001304</f>
        <v>0.001304</v>
      </c>
      <c r="M33" s="13">
        <f>D33*E33*K33+(F33+G33)*L33</f>
        <v>110.51594133333333</v>
      </c>
      <c r="N33" s="19"/>
      <c r="O33" s="13">
        <f>(F33+G33)*N33</f>
        <v>0</v>
      </c>
      <c r="P33" s="19">
        <v>0</v>
      </c>
      <c r="Q33" s="13">
        <f>(F33+G33)*P33</f>
        <v>0</v>
      </c>
      <c r="R33" s="13">
        <f>J33+M33+O33+Q33</f>
        <v>147.17110533333334</v>
      </c>
    </row>
    <row r="34" spans="1:18" ht="15">
      <c r="A34" s="27" t="s">
        <v>8</v>
      </c>
      <c r="B34" s="57">
        <v>2004</v>
      </c>
      <c r="C34" s="40" t="s">
        <v>40</v>
      </c>
      <c r="D34" s="41">
        <f>'G-35 Customer Count'!E30</f>
        <v>51</v>
      </c>
      <c r="E34" s="41">
        <v>1</v>
      </c>
      <c r="F34" s="41">
        <f>'G-36 Monthly Volumes'!E41</f>
        <v>6968.666666666667</v>
      </c>
      <c r="G34" s="42"/>
      <c r="H34" s="12">
        <f>0.6597</f>
        <v>0.6597</v>
      </c>
      <c r="I34" s="6">
        <f>0.000432</f>
        <v>0.000432</v>
      </c>
      <c r="J34" s="13">
        <f t="shared" si="10"/>
        <v>36.655164</v>
      </c>
      <c r="K34" s="12">
        <f>1.9888</f>
        <v>1.9888</v>
      </c>
      <c r="L34" s="6">
        <f>0.001304</f>
        <v>0.001304</v>
      </c>
      <c r="M34" s="13">
        <f>D34*E34*K34+(F34+G34)*L34</f>
        <v>110.51594133333333</v>
      </c>
      <c r="N34" s="19"/>
      <c r="O34" s="13">
        <f>(F34+G34)*N34</f>
        <v>0</v>
      </c>
      <c r="P34" s="19">
        <v>0</v>
      </c>
      <c r="Q34" s="13">
        <f>(F34+G34)*P34</f>
        <v>0</v>
      </c>
      <c r="R34" s="13">
        <f>J34+M34+O34+Q34</f>
        <v>147.17110533333334</v>
      </c>
    </row>
    <row r="35" spans="1:18" ht="15">
      <c r="A35" s="27" t="s">
        <v>8</v>
      </c>
      <c r="B35" s="57">
        <v>2004</v>
      </c>
      <c r="C35" s="40" t="s">
        <v>41</v>
      </c>
      <c r="D35" s="41">
        <f>'G-35 Customer Count'!E31</f>
        <v>51</v>
      </c>
      <c r="E35" s="41">
        <v>1</v>
      </c>
      <c r="F35" s="41">
        <f>'G-36 Monthly Volumes'!E42</f>
        <v>6968.666666666667</v>
      </c>
      <c r="G35" s="42"/>
      <c r="H35" s="12">
        <f>0.6597</f>
        <v>0.6597</v>
      </c>
      <c r="I35" s="6">
        <f>0.000432</f>
        <v>0.000432</v>
      </c>
      <c r="J35" s="13">
        <f t="shared" si="10"/>
        <v>36.655164</v>
      </c>
      <c r="K35" s="12">
        <f>1.9888</f>
        <v>1.9888</v>
      </c>
      <c r="L35" s="6">
        <f>0.001304</f>
        <v>0.001304</v>
      </c>
      <c r="M35" s="13">
        <f>D35*E35*K35+(F35+G35)*L35</f>
        <v>110.51594133333333</v>
      </c>
      <c r="N35" s="19"/>
      <c r="O35" s="13">
        <f>(F35+G35)*N35</f>
        <v>0</v>
      </c>
      <c r="P35" s="19">
        <v>0</v>
      </c>
      <c r="Q35" s="13">
        <f>(F35+G35)*P35</f>
        <v>0</v>
      </c>
      <c r="R35" s="13">
        <f>J35+M35+O35+Q35</f>
        <v>147.17110533333334</v>
      </c>
    </row>
    <row r="36" spans="1:18" ht="15">
      <c r="A36" s="27" t="s">
        <v>8</v>
      </c>
      <c r="B36" s="57">
        <v>2004</v>
      </c>
      <c r="C36" s="40" t="s">
        <v>42</v>
      </c>
      <c r="D36" s="41"/>
      <c r="E36" s="41">
        <v>1</v>
      </c>
      <c r="F36" s="41">
        <f>'G-36 Monthly Volumes'!E43</f>
        <v>6968.666666666667</v>
      </c>
      <c r="G36" s="42"/>
      <c r="H36" s="12">
        <v>0</v>
      </c>
      <c r="I36" s="6">
        <v>0</v>
      </c>
      <c r="J36" s="13">
        <f t="shared" si="10"/>
        <v>0</v>
      </c>
      <c r="K36" s="12">
        <v>0</v>
      </c>
      <c r="L36" s="6">
        <v>0</v>
      </c>
      <c r="M36" s="13">
        <f aca="true" t="shared" si="11" ref="M36:M45">D36*E36*K36+(F36+G36)*L36</f>
        <v>0</v>
      </c>
      <c r="N36" s="19">
        <v>0.001955</v>
      </c>
      <c r="O36" s="13">
        <f aca="true" t="shared" si="12" ref="O36:O45">(F36+G36)*N36</f>
        <v>13.623743333333335</v>
      </c>
      <c r="P36" s="19">
        <v>0</v>
      </c>
      <c r="Q36" s="13">
        <f aca="true" t="shared" si="13" ref="Q36:Q45">(F36+G36)*P36</f>
        <v>0</v>
      </c>
      <c r="R36" s="13">
        <f aca="true" t="shared" si="14" ref="R36:R45">J36+M36+O36+Q36</f>
        <v>13.623743333333335</v>
      </c>
    </row>
    <row r="37" spans="1:18" ht="15">
      <c r="A37" s="27" t="s">
        <v>8</v>
      </c>
      <c r="B37" s="57">
        <v>2004</v>
      </c>
      <c r="C37" s="40" t="s">
        <v>35</v>
      </c>
      <c r="D37" s="41"/>
      <c r="E37" s="41">
        <v>1</v>
      </c>
      <c r="F37" s="41">
        <f>'G-36 Monthly Volumes'!E44</f>
        <v>6968.666666666667</v>
      </c>
      <c r="G37" s="42"/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9">
        <v>0.001955</v>
      </c>
      <c r="O37" s="13">
        <f t="shared" si="12"/>
        <v>13.623743333333335</v>
      </c>
      <c r="P37" s="19">
        <v>0</v>
      </c>
      <c r="Q37" s="13">
        <f t="shared" si="13"/>
        <v>0</v>
      </c>
      <c r="R37" s="13">
        <f t="shared" si="14"/>
        <v>13.623743333333335</v>
      </c>
    </row>
    <row r="38" spans="1:18" ht="15">
      <c r="A38" s="27" t="s">
        <v>8</v>
      </c>
      <c r="B38" s="57">
        <v>2004</v>
      </c>
      <c r="C38" s="40" t="s">
        <v>43</v>
      </c>
      <c r="D38" s="41"/>
      <c r="E38" s="41">
        <v>1</v>
      </c>
      <c r="F38" s="41">
        <f>'G-36 Monthly Volumes'!E45</f>
        <v>6968.666666666667</v>
      </c>
      <c r="G38" s="42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>
        <v>0.001955</v>
      </c>
      <c r="O38" s="13">
        <f t="shared" si="12"/>
        <v>13.623743333333335</v>
      </c>
      <c r="P38" s="19">
        <v>0</v>
      </c>
      <c r="Q38" s="13">
        <f t="shared" si="13"/>
        <v>0</v>
      </c>
      <c r="R38" s="13">
        <f t="shared" si="14"/>
        <v>13.623743333333335</v>
      </c>
    </row>
    <row r="39" spans="1:18" ht="15">
      <c r="A39" s="27" t="s">
        <v>8</v>
      </c>
      <c r="B39" s="57">
        <v>2004</v>
      </c>
      <c r="C39" s="40" t="s">
        <v>44</v>
      </c>
      <c r="D39" s="41"/>
      <c r="E39" s="41">
        <v>1</v>
      </c>
      <c r="F39" s="41">
        <f>'G-36 Monthly Volumes'!E46</f>
        <v>6968.666666666667</v>
      </c>
      <c r="G39" s="42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>
        <v>0.001955</v>
      </c>
      <c r="O39" s="13">
        <f t="shared" si="12"/>
        <v>13.623743333333335</v>
      </c>
      <c r="P39" s="19">
        <v>0</v>
      </c>
      <c r="Q39" s="13">
        <f t="shared" si="13"/>
        <v>0</v>
      </c>
      <c r="R39" s="13">
        <f t="shared" si="14"/>
        <v>13.623743333333335</v>
      </c>
    </row>
    <row r="40" spans="1:18" ht="15">
      <c r="A40" s="27" t="s">
        <v>8</v>
      </c>
      <c r="B40" s="57">
        <v>2004</v>
      </c>
      <c r="C40" s="40" t="s">
        <v>45</v>
      </c>
      <c r="D40" s="41"/>
      <c r="E40" s="41">
        <v>1</v>
      </c>
      <c r="F40" s="41">
        <f>'G-36 Monthly Volumes'!E47</f>
        <v>6968.666666666667</v>
      </c>
      <c r="G40" s="42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>
        <v>0.001955</v>
      </c>
      <c r="O40" s="13">
        <f t="shared" si="12"/>
        <v>13.623743333333335</v>
      </c>
      <c r="P40" s="19">
        <v>0</v>
      </c>
      <c r="Q40" s="13">
        <f t="shared" si="13"/>
        <v>0</v>
      </c>
      <c r="R40" s="13">
        <f t="shared" si="14"/>
        <v>13.623743333333335</v>
      </c>
    </row>
    <row r="41" spans="1:18" ht="15">
      <c r="A41" s="27" t="s">
        <v>8</v>
      </c>
      <c r="B41" s="57">
        <v>2004</v>
      </c>
      <c r="C41" s="40" t="s">
        <v>46</v>
      </c>
      <c r="D41" s="41"/>
      <c r="E41" s="41">
        <v>1</v>
      </c>
      <c r="F41" s="41">
        <f>'G-36 Monthly Volumes'!E48</f>
        <v>6968.666666666667</v>
      </c>
      <c r="G41" s="42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>
        <v>0.001955</v>
      </c>
      <c r="O41" s="13">
        <f t="shared" si="12"/>
        <v>13.623743333333335</v>
      </c>
      <c r="P41" s="19">
        <v>0</v>
      </c>
      <c r="Q41" s="13">
        <f t="shared" si="13"/>
        <v>0</v>
      </c>
      <c r="R41" s="13">
        <f t="shared" si="14"/>
        <v>13.623743333333335</v>
      </c>
    </row>
    <row r="42" spans="1:18" ht="15">
      <c r="A42" s="27" t="s">
        <v>8</v>
      </c>
      <c r="B42" s="57">
        <v>2004</v>
      </c>
      <c r="C42" s="40" t="s">
        <v>47</v>
      </c>
      <c r="D42" s="41"/>
      <c r="E42" s="41">
        <v>1</v>
      </c>
      <c r="F42" s="41">
        <f>'G-36 Monthly Volumes'!E49</f>
        <v>6968.666666666667</v>
      </c>
      <c r="G42" s="42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>
        <v>0.001955</v>
      </c>
      <c r="O42" s="13">
        <f t="shared" si="12"/>
        <v>13.623743333333335</v>
      </c>
      <c r="P42" s="19">
        <v>0</v>
      </c>
      <c r="Q42" s="13">
        <f t="shared" si="13"/>
        <v>0</v>
      </c>
      <c r="R42" s="13">
        <f t="shared" si="14"/>
        <v>13.623743333333335</v>
      </c>
    </row>
    <row r="43" spans="1:18" ht="15">
      <c r="A43" s="27" t="s">
        <v>8</v>
      </c>
      <c r="B43" s="57">
        <v>2004</v>
      </c>
      <c r="C43" s="40" t="s">
        <v>48</v>
      </c>
      <c r="D43" s="41"/>
      <c r="E43" s="41">
        <v>1</v>
      </c>
      <c r="F43" s="41">
        <f>'G-36 Monthly Volumes'!E50</f>
        <v>6968.666666666667</v>
      </c>
      <c r="G43" s="42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>
        <v>0.001955</v>
      </c>
      <c r="O43" s="13">
        <f t="shared" si="12"/>
        <v>13.623743333333335</v>
      </c>
      <c r="P43" s="19">
        <v>0</v>
      </c>
      <c r="Q43" s="13">
        <f t="shared" si="13"/>
        <v>0</v>
      </c>
      <c r="R43" s="13">
        <f t="shared" si="14"/>
        <v>13.623743333333335</v>
      </c>
    </row>
    <row r="44" spans="1:18" ht="15">
      <c r="A44" s="27" t="s">
        <v>8</v>
      </c>
      <c r="B44" s="57">
        <v>2004</v>
      </c>
      <c r="C44" s="40" t="s">
        <v>49</v>
      </c>
      <c r="D44" s="41"/>
      <c r="E44" s="41">
        <v>1</v>
      </c>
      <c r="F44" s="41">
        <f>'G-36 Monthly Volumes'!E51</f>
        <v>6968.666666666667</v>
      </c>
      <c r="G44" s="42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>
        <v>0.001955</v>
      </c>
      <c r="O44" s="13">
        <f t="shared" si="12"/>
        <v>13.623743333333335</v>
      </c>
      <c r="P44" s="19">
        <v>0</v>
      </c>
      <c r="Q44" s="13">
        <f t="shared" si="13"/>
        <v>0</v>
      </c>
      <c r="R44" s="13">
        <f t="shared" si="14"/>
        <v>13.623743333333335</v>
      </c>
    </row>
    <row r="45" spans="1:18" ht="15.75" thickBot="1">
      <c r="A45" s="27" t="s">
        <v>8</v>
      </c>
      <c r="B45" s="57">
        <v>2004</v>
      </c>
      <c r="C45" s="40" t="s">
        <v>38</v>
      </c>
      <c r="D45" s="41"/>
      <c r="E45" s="41">
        <v>1</v>
      </c>
      <c r="F45" s="41">
        <f>'G-36 Monthly Volumes'!E52</f>
        <v>0</v>
      </c>
      <c r="G45" s="42"/>
      <c r="H45" s="12">
        <v>0</v>
      </c>
      <c r="I45" s="6">
        <v>0</v>
      </c>
      <c r="J45" s="13">
        <f t="shared" si="10"/>
        <v>0</v>
      </c>
      <c r="K45" s="12">
        <v>0</v>
      </c>
      <c r="L45" s="6">
        <v>0</v>
      </c>
      <c r="M45" s="13">
        <f t="shared" si="11"/>
        <v>0</v>
      </c>
      <c r="N45" s="19">
        <v>0.001955</v>
      </c>
      <c r="O45" s="13">
        <f t="shared" si="12"/>
        <v>0</v>
      </c>
      <c r="P45" s="19">
        <v>0</v>
      </c>
      <c r="Q45" s="13">
        <f t="shared" si="13"/>
        <v>0</v>
      </c>
      <c r="R45" s="13">
        <f t="shared" si="14"/>
        <v>0</v>
      </c>
    </row>
    <row r="46" spans="1:18" ht="15.75" thickBot="1">
      <c r="A46" s="59" t="s">
        <v>61</v>
      </c>
      <c r="B46" s="60"/>
      <c r="C46" s="61"/>
      <c r="D46" s="62">
        <f>SUM(D33:D45)</f>
        <v>153</v>
      </c>
      <c r="E46" s="62"/>
      <c r="F46" s="62">
        <f>SUM(F33:F45)</f>
        <v>83624</v>
      </c>
      <c r="G46" s="63">
        <f>SUM(G33:G45)</f>
        <v>0</v>
      </c>
      <c r="H46" s="64"/>
      <c r="I46" s="65"/>
      <c r="J46" s="66">
        <f>SUM(J33:J45)</f>
        <v>109.965492</v>
      </c>
      <c r="K46" s="64"/>
      <c r="L46" s="65"/>
      <c r="M46" s="66">
        <f>SUM(M33:M45)</f>
        <v>331.547824</v>
      </c>
      <c r="N46" s="67"/>
      <c r="O46" s="66">
        <f>SUM(O33:O45)</f>
        <v>122.61369000000002</v>
      </c>
      <c r="P46" s="67"/>
      <c r="Q46" s="66">
        <f>SUM(Q33:Q45)</f>
        <v>0</v>
      </c>
      <c r="R46" s="66">
        <f>SUM(R33:R45)</f>
        <v>564.1270059999999</v>
      </c>
    </row>
    <row r="47" spans="1:18" ht="15">
      <c r="A47" s="27"/>
      <c r="B47" s="57"/>
      <c r="C47" s="40"/>
      <c r="D47" s="41"/>
      <c r="E47" s="41"/>
      <c r="F47" s="43"/>
      <c r="G47" s="58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7" t="s">
        <v>2</v>
      </c>
      <c r="B48" s="57">
        <v>2004</v>
      </c>
      <c r="C48" s="40" t="s">
        <v>39</v>
      </c>
      <c r="D48" s="41">
        <f>'G-35 Customer Count'!F29</f>
        <v>172</v>
      </c>
      <c r="E48" s="41">
        <v>1</v>
      </c>
      <c r="F48" s="43"/>
      <c r="G48" s="44">
        <f>'G-36 Monthly Volumes'!N4</f>
        <v>44110.62</v>
      </c>
      <c r="H48" s="12">
        <f>10.6608</f>
        <v>10.6608</v>
      </c>
      <c r="I48" s="6">
        <f>0.056616</f>
        <v>0.056616</v>
      </c>
      <c r="J48" s="13">
        <f>D48*E48*H48+(F48+G48)*I48</f>
        <v>4331.02446192</v>
      </c>
      <c r="K48" s="12">
        <f>32.1381</f>
        <v>32.1381</v>
      </c>
      <c r="L48" s="6">
        <f>0.170675</f>
        <v>0.170675</v>
      </c>
      <c r="M48" s="13">
        <f aca="true" t="shared" si="15" ref="M48:M60">D48*E48*K48+(F48+G48)*L48</f>
        <v>13056.3332685</v>
      </c>
      <c r="N48" s="19"/>
      <c r="O48" s="13">
        <f aca="true" t="shared" si="16" ref="O48:O60">(F48+G48)*N48</f>
        <v>0</v>
      </c>
      <c r="P48" s="19">
        <v>0</v>
      </c>
      <c r="Q48" s="13">
        <f aca="true" t="shared" si="17" ref="Q48:Q60">(F48+G48)*P48</f>
        <v>0</v>
      </c>
      <c r="R48" s="13">
        <f aca="true" t="shared" si="18" ref="R48:R60">J48+M48+O48+Q48</f>
        <v>17387.35773042</v>
      </c>
    </row>
    <row r="49" spans="1:18" ht="15">
      <c r="A49" s="27" t="s">
        <v>2</v>
      </c>
      <c r="B49" s="57">
        <v>2004</v>
      </c>
      <c r="C49" s="40" t="s">
        <v>40</v>
      </c>
      <c r="D49" s="41">
        <f>'G-35 Customer Count'!F30</f>
        <v>172</v>
      </c>
      <c r="E49" s="41">
        <v>1</v>
      </c>
      <c r="F49" s="43"/>
      <c r="G49" s="44">
        <f>'G-36 Monthly Volumes'!N5</f>
        <v>36962.399999999994</v>
      </c>
      <c r="H49" s="12">
        <f>10.6608</f>
        <v>10.6608</v>
      </c>
      <c r="I49" s="6">
        <f>0.056616</f>
        <v>0.056616</v>
      </c>
      <c r="J49" s="13">
        <f aca="true" t="shared" si="19" ref="J49:J60">D49*E49*H49+(F49+G49)*I49</f>
        <v>3926.3208383999995</v>
      </c>
      <c r="K49" s="12">
        <f>32.1381</f>
        <v>32.1381</v>
      </c>
      <c r="L49" s="6">
        <f>0.170675</f>
        <v>0.170675</v>
      </c>
      <c r="M49" s="13">
        <f t="shared" si="15"/>
        <v>11836.310819999999</v>
      </c>
      <c r="N49" s="19"/>
      <c r="O49" s="13">
        <f t="shared" si="16"/>
        <v>0</v>
      </c>
      <c r="P49" s="19">
        <v>0</v>
      </c>
      <c r="Q49" s="13">
        <f t="shared" si="17"/>
        <v>0</v>
      </c>
      <c r="R49" s="13">
        <f t="shared" si="18"/>
        <v>15762.631658399998</v>
      </c>
    </row>
    <row r="50" spans="1:18" ht="15">
      <c r="A50" s="27" t="s">
        <v>2</v>
      </c>
      <c r="B50" s="57">
        <v>2004</v>
      </c>
      <c r="C50" s="40" t="s">
        <v>41</v>
      </c>
      <c r="D50" s="41">
        <f>'G-35 Customer Count'!F31</f>
        <v>173</v>
      </c>
      <c r="E50" s="41">
        <v>1</v>
      </c>
      <c r="F50" s="43"/>
      <c r="G50" s="44">
        <f>'G-36 Monthly Volumes'!N6</f>
        <v>51530.2</v>
      </c>
      <c r="H50" s="12">
        <f>10.6608</f>
        <v>10.6608</v>
      </c>
      <c r="I50" s="6">
        <f>0.056616</f>
        <v>0.056616</v>
      </c>
      <c r="J50" s="13">
        <f t="shared" si="19"/>
        <v>4761.7522032</v>
      </c>
      <c r="K50" s="12">
        <f>32.1381</f>
        <v>32.1381</v>
      </c>
      <c r="L50" s="6">
        <f>0.170675</f>
        <v>0.170675</v>
      </c>
      <c r="M50" s="13">
        <f t="shared" si="15"/>
        <v>14354.808184999998</v>
      </c>
      <c r="N50" s="19"/>
      <c r="O50" s="13">
        <f t="shared" si="16"/>
        <v>0</v>
      </c>
      <c r="P50" s="19">
        <v>0</v>
      </c>
      <c r="Q50" s="13">
        <f t="shared" si="17"/>
        <v>0</v>
      </c>
      <c r="R50" s="13">
        <f t="shared" si="18"/>
        <v>19116.5603882</v>
      </c>
    </row>
    <row r="51" spans="1:18" ht="15">
      <c r="A51" s="27" t="s">
        <v>2</v>
      </c>
      <c r="B51" s="57">
        <v>2004</v>
      </c>
      <c r="C51" s="40" t="s">
        <v>42</v>
      </c>
      <c r="D51" s="41"/>
      <c r="E51" s="41">
        <v>1</v>
      </c>
      <c r="F51" s="43"/>
      <c r="G51" s="44">
        <f>'G-36 Monthly Volumes'!N7</f>
        <v>44209.83</v>
      </c>
      <c r="H51" s="12">
        <v>0</v>
      </c>
      <c r="I51" s="6">
        <v>0</v>
      </c>
      <c r="J51" s="13">
        <f t="shared" si="19"/>
        <v>0</v>
      </c>
      <c r="K51" s="12">
        <v>0</v>
      </c>
      <c r="L51" s="6">
        <v>0</v>
      </c>
      <c r="M51" s="13">
        <f t="shared" si="15"/>
        <v>0</v>
      </c>
      <c r="N51" s="19">
        <v>0.241274</v>
      </c>
      <c r="O51" s="13">
        <f t="shared" si="16"/>
        <v>10666.68252342</v>
      </c>
      <c r="P51" s="19">
        <v>0</v>
      </c>
      <c r="Q51" s="13">
        <f t="shared" si="17"/>
        <v>0</v>
      </c>
      <c r="R51" s="13">
        <f t="shared" si="18"/>
        <v>10666.68252342</v>
      </c>
    </row>
    <row r="52" spans="1:18" ht="15">
      <c r="A52" s="27" t="s">
        <v>2</v>
      </c>
      <c r="B52" s="57">
        <v>2004</v>
      </c>
      <c r="C52" s="40" t="s">
        <v>35</v>
      </c>
      <c r="D52" s="41"/>
      <c r="E52" s="41">
        <v>1</v>
      </c>
      <c r="F52" s="43"/>
      <c r="G52" s="44">
        <f>'G-36 Monthly Volumes'!N8</f>
        <v>43505.82</v>
      </c>
      <c r="H52" s="12">
        <v>0</v>
      </c>
      <c r="I52" s="6">
        <v>0</v>
      </c>
      <c r="J52" s="13">
        <f t="shared" si="19"/>
        <v>0</v>
      </c>
      <c r="K52" s="12">
        <v>0</v>
      </c>
      <c r="L52" s="6">
        <v>0</v>
      </c>
      <c r="M52" s="13">
        <f t="shared" si="15"/>
        <v>0</v>
      </c>
      <c r="N52" s="19">
        <v>0.241274</v>
      </c>
      <c r="O52" s="13">
        <f t="shared" si="16"/>
        <v>10496.82321468</v>
      </c>
      <c r="P52" s="19">
        <v>0</v>
      </c>
      <c r="Q52" s="13">
        <f t="shared" si="17"/>
        <v>0</v>
      </c>
      <c r="R52" s="13">
        <f t="shared" si="18"/>
        <v>10496.82321468</v>
      </c>
    </row>
    <row r="53" spans="1:18" ht="15">
      <c r="A53" s="27" t="s">
        <v>2</v>
      </c>
      <c r="B53" s="57">
        <v>2004</v>
      </c>
      <c r="C53" s="40" t="s">
        <v>43</v>
      </c>
      <c r="D53" s="41"/>
      <c r="E53" s="41">
        <v>1</v>
      </c>
      <c r="F53" s="43"/>
      <c r="G53" s="44">
        <f>'G-36 Monthly Volumes'!N9</f>
        <v>45128.28</v>
      </c>
      <c r="H53" s="12">
        <v>0</v>
      </c>
      <c r="I53" s="6">
        <v>0</v>
      </c>
      <c r="J53" s="13">
        <f t="shared" si="19"/>
        <v>0</v>
      </c>
      <c r="K53" s="12">
        <v>0</v>
      </c>
      <c r="L53" s="6">
        <v>0</v>
      </c>
      <c r="M53" s="13">
        <f t="shared" si="15"/>
        <v>0</v>
      </c>
      <c r="N53" s="19">
        <v>0.241274</v>
      </c>
      <c r="O53" s="13">
        <f t="shared" si="16"/>
        <v>10888.28062872</v>
      </c>
      <c r="P53" s="19">
        <v>0</v>
      </c>
      <c r="Q53" s="13">
        <f t="shared" si="17"/>
        <v>0</v>
      </c>
      <c r="R53" s="13">
        <f t="shared" si="18"/>
        <v>10888.28062872</v>
      </c>
    </row>
    <row r="54" spans="1:18" ht="15">
      <c r="A54" s="27" t="s">
        <v>2</v>
      </c>
      <c r="B54" s="57">
        <v>2004</v>
      </c>
      <c r="C54" s="40" t="s">
        <v>44</v>
      </c>
      <c r="D54" s="41"/>
      <c r="E54" s="41">
        <v>1</v>
      </c>
      <c r="F54" s="43"/>
      <c r="G54" s="44">
        <f>'G-36 Monthly Volumes'!N10</f>
        <v>46263.28</v>
      </c>
      <c r="H54" s="12">
        <v>0</v>
      </c>
      <c r="I54" s="6">
        <v>0</v>
      </c>
      <c r="J54" s="13">
        <f t="shared" si="19"/>
        <v>0</v>
      </c>
      <c r="K54" s="12">
        <v>0</v>
      </c>
      <c r="L54" s="6">
        <v>0</v>
      </c>
      <c r="M54" s="13">
        <f t="shared" si="15"/>
        <v>0</v>
      </c>
      <c r="N54" s="19">
        <v>0.241274</v>
      </c>
      <c r="O54" s="13">
        <f t="shared" si="16"/>
        <v>11162.12661872</v>
      </c>
      <c r="P54" s="19">
        <v>0</v>
      </c>
      <c r="Q54" s="13">
        <f t="shared" si="17"/>
        <v>0</v>
      </c>
      <c r="R54" s="13">
        <f t="shared" si="18"/>
        <v>11162.12661872</v>
      </c>
    </row>
    <row r="55" spans="1:18" ht="15">
      <c r="A55" s="27" t="s">
        <v>2</v>
      </c>
      <c r="B55" s="57">
        <v>2004</v>
      </c>
      <c r="C55" s="40" t="s">
        <v>45</v>
      </c>
      <c r="D55" s="41"/>
      <c r="E55" s="41">
        <v>1</v>
      </c>
      <c r="F55" s="43"/>
      <c r="G55" s="44">
        <f>'G-36 Monthly Volumes'!N11</f>
        <v>45987.61</v>
      </c>
      <c r="H55" s="12">
        <v>0</v>
      </c>
      <c r="I55" s="6">
        <v>0</v>
      </c>
      <c r="J55" s="13">
        <f t="shared" si="19"/>
        <v>0</v>
      </c>
      <c r="K55" s="12">
        <v>0</v>
      </c>
      <c r="L55" s="6">
        <v>0</v>
      </c>
      <c r="M55" s="13">
        <f t="shared" si="15"/>
        <v>0</v>
      </c>
      <c r="N55" s="19">
        <v>0.241274</v>
      </c>
      <c r="O55" s="13">
        <f t="shared" si="16"/>
        <v>11095.614615139999</v>
      </c>
      <c r="P55" s="19">
        <v>0</v>
      </c>
      <c r="Q55" s="13">
        <f t="shared" si="17"/>
        <v>0</v>
      </c>
      <c r="R55" s="13">
        <f t="shared" si="18"/>
        <v>11095.614615139999</v>
      </c>
    </row>
    <row r="56" spans="1:18" ht="15">
      <c r="A56" s="27" t="s">
        <v>2</v>
      </c>
      <c r="B56" s="57">
        <v>2004</v>
      </c>
      <c r="C56" s="40" t="s">
        <v>46</v>
      </c>
      <c r="D56" s="41"/>
      <c r="E56" s="41">
        <v>1</v>
      </c>
      <c r="F56" s="43"/>
      <c r="G56" s="44">
        <f>'G-36 Monthly Volumes'!N12</f>
        <v>46153.64</v>
      </c>
      <c r="H56" s="12">
        <v>0</v>
      </c>
      <c r="I56" s="6">
        <v>0</v>
      </c>
      <c r="J56" s="13">
        <f t="shared" si="19"/>
        <v>0</v>
      </c>
      <c r="K56" s="12">
        <v>0</v>
      </c>
      <c r="L56" s="6">
        <v>0</v>
      </c>
      <c r="M56" s="13">
        <f t="shared" si="15"/>
        <v>0</v>
      </c>
      <c r="N56" s="19">
        <v>0.241274</v>
      </c>
      <c r="O56" s="13">
        <f t="shared" si="16"/>
        <v>11135.67333736</v>
      </c>
      <c r="P56" s="19">
        <v>0</v>
      </c>
      <c r="Q56" s="13">
        <f t="shared" si="17"/>
        <v>0</v>
      </c>
      <c r="R56" s="13">
        <f t="shared" si="18"/>
        <v>11135.67333736</v>
      </c>
    </row>
    <row r="57" spans="1:18" ht="15">
      <c r="A57" s="27" t="s">
        <v>2</v>
      </c>
      <c r="B57" s="57">
        <v>2004</v>
      </c>
      <c r="C57" s="40" t="s">
        <v>47</v>
      </c>
      <c r="D57" s="41"/>
      <c r="E57" s="41">
        <v>1</v>
      </c>
      <c r="F57" s="43"/>
      <c r="G57" s="44">
        <f>'G-36 Monthly Volumes'!N13</f>
        <v>46293.42</v>
      </c>
      <c r="H57" s="12">
        <v>0</v>
      </c>
      <c r="I57" s="6">
        <v>0</v>
      </c>
      <c r="J57" s="13">
        <f t="shared" si="19"/>
        <v>0</v>
      </c>
      <c r="K57" s="12">
        <v>0</v>
      </c>
      <c r="L57" s="6">
        <v>0</v>
      </c>
      <c r="M57" s="13">
        <f t="shared" si="15"/>
        <v>0</v>
      </c>
      <c r="N57" s="19">
        <v>0.241274</v>
      </c>
      <c r="O57" s="13">
        <f t="shared" si="16"/>
        <v>11169.39861708</v>
      </c>
      <c r="P57" s="19">
        <v>0</v>
      </c>
      <c r="Q57" s="13">
        <f t="shared" si="17"/>
        <v>0</v>
      </c>
      <c r="R57" s="13">
        <f t="shared" si="18"/>
        <v>11169.39861708</v>
      </c>
    </row>
    <row r="58" spans="1:18" ht="15">
      <c r="A58" s="27" t="s">
        <v>2</v>
      </c>
      <c r="B58" s="57">
        <v>2004</v>
      </c>
      <c r="C58" s="40" t="s">
        <v>48</v>
      </c>
      <c r="D58" s="41"/>
      <c r="E58" s="41">
        <v>1</v>
      </c>
      <c r="F58" s="43"/>
      <c r="G58" s="44">
        <f>'G-36 Monthly Volumes'!N14</f>
        <v>45207.11</v>
      </c>
      <c r="H58" s="12">
        <v>0</v>
      </c>
      <c r="I58" s="6">
        <v>0</v>
      </c>
      <c r="J58" s="13">
        <f t="shared" si="19"/>
        <v>0</v>
      </c>
      <c r="K58" s="12">
        <v>0</v>
      </c>
      <c r="L58" s="6">
        <v>0</v>
      </c>
      <c r="M58" s="13">
        <f t="shared" si="15"/>
        <v>0</v>
      </c>
      <c r="N58" s="19">
        <v>0.241274</v>
      </c>
      <c r="O58" s="13">
        <f t="shared" si="16"/>
        <v>10907.30025814</v>
      </c>
      <c r="P58" s="19">
        <v>0</v>
      </c>
      <c r="Q58" s="13">
        <f t="shared" si="17"/>
        <v>0</v>
      </c>
      <c r="R58" s="13">
        <f t="shared" si="18"/>
        <v>10907.30025814</v>
      </c>
    </row>
    <row r="59" spans="1:18" ht="15">
      <c r="A59" s="27" t="s">
        <v>2</v>
      </c>
      <c r="B59" s="57">
        <v>2004</v>
      </c>
      <c r="C59" s="40" t="s">
        <v>49</v>
      </c>
      <c r="D59" s="41"/>
      <c r="E59" s="41">
        <v>1</v>
      </c>
      <c r="F59" s="43"/>
      <c r="G59" s="44">
        <f>'G-36 Monthly Volumes'!N15</f>
        <v>44626.53999999999</v>
      </c>
      <c r="H59" s="12">
        <v>0</v>
      </c>
      <c r="I59" s="6">
        <v>0</v>
      </c>
      <c r="J59" s="13">
        <f t="shared" si="19"/>
        <v>0</v>
      </c>
      <c r="K59" s="12">
        <v>0</v>
      </c>
      <c r="L59" s="6">
        <v>0</v>
      </c>
      <c r="M59" s="13">
        <f t="shared" si="15"/>
        <v>0</v>
      </c>
      <c r="N59" s="19">
        <v>0.241274</v>
      </c>
      <c r="O59" s="13">
        <f t="shared" si="16"/>
        <v>10767.223811959999</v>
      </c>
      <c r="P59" s="19">
        <v>0</v>
      </c>
      <c r="Q59" s="13">
        <f t="shared" si="17"/>
        <v>0</v>
      </c>
      <c r="R59" s="13">
        <f t="shared" si="18"/>
        <v>10767.223811959999</v>
      </c>
    </row>
    <row r="60" spans="1:18" ht="16.5" customHeight="1" thickBot="1">
      <c r="A60" s="27" t="s">
        <v>2</v>
      </c>
      <c r="B60" s="57">
        <v>2004</v>
      </c>
      <c r="C60" s="40" t="s">
        <v>38</v>
      </c>
      <c r="D60" s="41"/>
      <c r="E60" s="41">
        <v>1</v>
      </c>
      <c r="F60" s="43"/>
      <c r="G60" s="44">
        <f>'G-36 Monthly Volumes'!N16</f>
        <v>808.2099999999991</v>
      </c>
      <c r="H60" s="12">
        <v>0</v>
      </c>
      <c r="I60" s="6">
        <v>0</v>
      </c>
      <c r="J60" s="13">
        <f t="shared" si="19"/>
        <v>0</v>
      </c>
      <c r="K60" s="12">
        <v>0</v>
      </c>
      <c r="L60" s="6">
        <v>0</v>
      </c>
      <c r="M60" s="13">
        <f t="shared" si="15"/>
        <v>0</v>
      </c>
      <c r="N60" s="19">
        <v>0.241274</v>
      </c>
      <c r="O60" s="13">
        <f t="shared" si="16"/>
        <v>195.00005953999977</v>
      </c>
      <c r="P60" s="19">
        <v>0</v>
      </c>
      <c r="Q60" s="13">
        <f t="shared" si="17"/>
        <v>0</v>
      </c>
      <c r="R60" s="13">
        <f t="shared" si="18"/>
        <v>195.00005953999977</v>
      </c>
    </row>
    <row r="61" spans="1:18" ht="15.75" thickBot="1">
      <c r="A61" s="59" t="s">
        <v>62</v>
      </c>
      <c r="B61" s="60"/>
      <c r="C61" s="61"/>
      <c r="D61" s="62">
        <f>SUM(D48:D60)</f>
        <v>517</v>
      </c>
      <c r="E61" s="62"/>
      <c r="F61" s="62">
        <f>SUM(F48:F60)</f>
        <v>0</v>
      </c>
      <c r="G61" s="63">
        <f>SUM(G48:G60)</f>
        <v>540786.96</v>
      </c>
      <c r="H61" s="64"/>
      <c r="I61" s="65"/>
      <c r="J61" s="66">
        <f>SUM(J48:J60)</f>
        <v>13019.097503519999</v>
      </c>
      <c r="K61" s="64"/>
      <c r="L61" s="65"/>
      <c r="M61" s="66">
        <f>SUM(M48:M60)</f>
        <v>39247.45227349999</v>
      </c>
      <c r="N61" s="67"/>
      <c r="O61" s="66">
        <f>SUM(O48:O60)</f>
        <v>98484.12368476001</v>
      </c>
      <c r="P61" s="67"/>
      <c r="Q61" s="66">
        <f>SUM(Q48:Q60)</f>
        <v>0</v>
      </c>
      <c r="R61" s="66">
        <f>SUM(R48:R60)</f>
        <v>150750.67346178</v>
      </c>
    </row>
    <row r="62" spans="1:18" ht="15">
      <c r="A62" s="27"/>
      <c r="B62" s="57"/>
      <c r="C62" s="40"/>
      <c r="D62" s="41"/>
      <c r="E62" s="41"/>
      <c r="F62" s="43"/>
      <c r="G62" s="44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7" t="s">
        <v>3</v>
      </c>
      <c r="B63" s="57">
        <v>2004</v>
      </c>
      <c r="C63" s="40" t="s">
        <v>39</v>
      </c>
      <c r="D63" s="41">
        <f>'G-35 Customer Count'!G29</f>
        <v>1</v>
      </c>
      <c r="E63" s="41">
        <v>1</v>
      </c>
      <c r="F63" s="43"/>
      <c r="G63" s="44">
        <f>'G-36 Monthly Volumes'!N22</f>
        <v>5277.93</v>
      </c>
      <c r="H63" s="14">
        <f>467.0871</f>
        <v>467.0871</v>
      </c>
      <c r="I63" s="6">
        <f>0.080496</f>
        <v>0.080496</v>
      </c>
      <c r="J63" s="13">
        <f>D63*E63*H63+(F63+G63)*I63</f>
        <v>891.93935328</v>
      </c>
      <c r="K63" s="14">
        <f>1408.0869</f>
        <v>1408.0869</v>
      </c>
      <c r="L63" s="6">
        <f>0.242666</f>
        <v>0.242666</v>
      </c>
      <c r="M63" s="13">
        <f>D63*E63*K63+(F63+G63)*L63</f>
        <v>2688.86106138</v>
      </c>
      <c r="N63" s="19"/>
      <c r="O63" s="13">
        <f>(F63+G63)*N63</f>
        <v>0</v>
      </c>
      <c r="P63" s="19">
        <v>0</v>
      </c>
      <c r="Q63" s="13">
        <f>(F63+G63)*P63</f>
        <v>0</v>
      </c>
      <c r="R63" s="13">
        <f>J63+M63+O63+Q63</f>
        <v>3580.80041466</v>
      </c>
    </row>
    <row r="64" spans="1:18" ht="15">
      <c r="A64" s="27" t="s">
        <v>3</v>
      </c>
      <c r="B64" s="57">
        <v>2004</v>
      </c>
      <c r="C64" s="40" t="s">
        <v>40</v>
      </c>
      <c r="D64" s="41">
        <f>'G-35 Customer Count'!G30</f>
        <v>1</v>
      </c>
      <c r="E64" s="41">
        <v>1</v>
      </c>
      <c r="F64" s="43"/>
      <c r="G64" s="44">
        <f>'G-36 Monthly Volumes'!N23</f>
        <v>5688.14</v>
      </c>
      <c r="H64" s="14">
        <f>467.0871</f>
        <v>467.0871</v>
      </c>
      <c r="I64" s="6">
        <f>0.080496</f>
        <v>0.080496</v>
      </c>
      <c r="J64" s="13">
        <f>D64*E64*H64+(F64+G64)*I64</f>
        <v>924.9596174400001</v>
      </c>
      <c r="K64" s="14">
        <f>1408.0869</f>
        <v>1408.0869</v>
      </c>
      <c r="L64" s="6">
        <f>0.242666</f>
        <v>0.242666</v>
      </c>
      <c r="M64" s="13">
        <f>D64*E64*K64+(F64+G64)*L64</f>
        <v>2788.40508124</v>
      </c>
      <c r="N64" s="19"/>
      <c r="O64" s="13">
        <f>(F64+G64)*N64</f>
        <v>0</v>
      </c>
      <c r="P64" s="19">
        <v>0</v>
      </c>
      <c r="Q64" s="13">
        <f>(F64+G64)*P64</f>
        <v>0</v>
      </c>
      <c r="R64" s="13">
        <f>J64+M64+O64+Q64</f>
        <v>3713.3646986800004</v>
      </c>
    </row>
    <row r="65" spans="1:18" ht="15">
      <c r="A65" s="27" t="s">
        <v>3</v>
      </c>
      <c r="B65" s="57">
        <v>2004</v>
      </c>
      <c r="C65" s="40" t="s">
        <v>41</v>
      </c>
      <c r="D65" s="41">
        <f>'G-35 Customer Count'!G31</f>
        <v>1</v>
      </c>
      <c r="E65" s="41">
        <v>1</v>
      </c>
      <c r="F65" s="43"/>
      <c r="G65" s="44">
        <f>'G-36 Monthly Volumes'!N24</f>
        <v>5657.85</v>
      </c>
      <c r="H65" s="14">
        <f>467.0871</f>
        <v>467.0871</v>
      </c>
      <c r="I65" s="6">
        <f>0.080496</f>
        <v>0.080496</v>
      </c>
      <c r="J65" s="13">
        <f>D65*E65*H65+(F65+G65)*I65</f>
        <v>922.5213936</v>
      </c>
      <c r="K65" s="14">
        <f>1408.0869</f>
        <v>1408.0869</v>
      </c>
      <c r="L65" s="6">
        <f>0.242666</f>
        <v>0.242666</v>
      </c>
      <c r="M65" s="13">
        <f>D65*E65*K65+(F65+G65)*L65</f>
        <v>2781.0547281</v>
      </c>
      <c r="N65" s="19"/>
      <c r="O65" s="13">
        <f>(F65+G65)*N65</f>
        <v>0</v>
      </c>
      <c r="P65" s="19">
        <v>0</v>
      </c>
      <c r="Q65" s="13">
        <f>(F65+G65)*P65</f>
        <v>0</v>
      </c>
      <c r="R65" s="13">
        <f>J65+M65+O65+Q65</f>
        <v>3703.5761217</v>
      </c>
    </row>
    <row r="66" spans="1:18" ht="15">
      <c r="A66" s="27" t="s">
        <v>3</v>
      </c>
      <c r="B66" s="57">
        <v>2004</v>
      </c>
      <c r="C66" s="40" t="s">
        <v>42</v>
      </c>
      <c r="D66" s="41"/>
      <c r="E66" s="41">
        <v>1</v>
      </c>
      <c r="F66" s="43"/>
      <c r="G66" s="44">
        <f>'G-36 Monthly Volumes'!N25</f>
        <v>5900.06</v>
      </c>
      <c r="H66" s="12">
        <v>0</v>
      </c>
      <c r="I66" s="6">
        <v>0</v>
      </c>
      <c r="J66" s="13">
        <f>D66*E66*H66+(F66+G66)*I66</f>
        <v>0</v>
      </c>
      <c r="K66" s="12">
        <v>0</v>
      </c>
      <c r="L66" s="6">
        <v>0</v>
      </c>
      <c r="M66" s="13">
        <f>D66*E66*K66+(F66+G66)*L66</f>
        <v>0</v>
      </c>
      <c r="N66" s="19">
        <v>0.411884</v>
      </c>
      <c r="O66" s="13">
        <f>(F66+G66)*N66</f>
        <v>2430.14031304</v>
      </c>
      <c r="P66" s="19">
        <v>0</v>
      </c>
      <c r="Q66" s="13">
        <f>(F66+G66)*P66</f>
        <v>0</v>
      </c>
      <c r="R66" s="13">
        <f>J66+M66+O66+Q66</f>
        <v>2430.14031304</v>
      </c>
    </row>
    <row r="67" spans="1:18" ht="15">
      <c r="A67" s="27" t="s">
        <v>3</v>
      </c>
      <c r="B67" s="57">
        <v>2004</v>
      </c>
      <c r="C67" s="40" t="s">
        <v>35</v>
      </c>
      <c r="D67" s="41"/>
      <c r="E67" s="41">
        <v>1</v>
      </c>
      <c r="F67" s="43"/>
      <c r="G67" s="44">
        <f>'G-36 Monthly Volumes'!N26</f>
        <v>5335.84</v>
      </c>
      <c r="H67" s="12">
        <v>0</v>
      </c>
      <c r="I67" s="6">
        <v>0</v>
      </c>
      <c r="J67" s="13">
        <f aca="true" t="shared" si="20" ref="J67:J75">D67*E67*H67+(F67+G67)*I67</f>
        <v>0</v>
      </c>
      <c r="K67" s="12">
        <v>0</v>
      </c>
      <c r="L67" s="6">
        <v>0</v>
      </c>
      <c r="M67" s="13">
        <f aca="true" t="shared" si="21" ref="M67:M75">D67*E67*K67+(F67+G67)*L67</f>
        <v>0</v>
      </c>
      <c r="N67" s="19">
        <v>0.411884</v>
      </c>
      <c r="O67" s="13">
        <f aca="true" t="shared" si="22" ref="O67:O75">(F67+G67)*N67</f>
        <v>2197.7471225599998</v>
      </c>
      <c r="P67" s="19">
        <v>0</v>
      </c>
      <c r="Q67" s="13">
        <f aca="true" t="shared" si="23" ref="Q67:Q75">(F67+G67)*P67</f>
        <v>0</v>
      </c>
      <c r="R67" s="13">
        <f aca="true" t="shared" si="24" ref="R67:R75">J67+M67+O67+Q67</f>
        <v>2197.7471225599998</v>
      </c>
    </row>
    <row r="68" spans="1:18" ht="15">
      <c r="A68" s="27" t="s">
        <v>3</v>
      </c>
      <c r="B68" s="57">
        <v>2004</v>
      </c>
      <c r="C68" s="40" t="s">
        <v>43</v>
      </c>
      <c r="D68" s="41"/>
      <c r="E68" s="41">
        <v>1</v>
      </c>
      <c r="F68" s="43"/>
      <c r="G68" s="44">
        <f>'G-36 Monthly Volumes'!N27</f>
        <v>5514.83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>
        <v>0.411884</v>
      </c>
      <c r="O68" s="13">
        <f t="shared" si="22"/>
        <v>2271.47023972</v>
      </c>
      <c r="P68" s="19">
        <v>0</v>
      </c>
      <c r="Q68" s="13">
        <f t="shared" si="23"/>
        <v>0</v>
      </c>
      <c r="R68" s="13">
        <f t="shared" si="24"/>
        <v>2271.47023972</v>
      </c>
    </row>
    <row r="69" spans="1:18" ht="15">
      <c r="A69" s="27" t="s">
        <v>3</v>
      </c>
      <c r="B69" s="57">
        <v>2004</v>
      </c>
      <c r="C69" s="40" t="s">
        <v>44</v>
      </c>
      <c r="D69" s="41"/>
      <c r="E69" s="41">
        <v>1</v>
      </c>
      <c r="F69" s="43"/>
      <c r="G69" s="44">
        <f>'G-36 Monthly Volumes'!N28</f>
        <v>5667.51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9">
        <v>0.411884</v>
      </c>
      <c r="O69" s="13">
        <f t="shared" si="22"/>
        <v>2334.35668884</v>
      </c>
      <c r="P69" s="19">
        <v>0</v>
      </c>
      <c r="Q69" s="13">
        <f t="shared" si="23"/>
        <v>0</v>
      </c>
      <c r="R69" s="13">
        <f t="shared" si="24"/>
        <v>2334.35668884</v>
      </c>
    </row>
    <row r="70" spans="1:18" ht="15">
      <c r="A70" s="27" t="s">
        <v>3</v>
      </c>
      <c r="B70" s="57">
        <v>2004</v>
      </c>
      <c r="C70" s="40" t="s">
        <v>45</v>
      </c>
      <c r="D70" s="41"/>
      <c r="E70" s="41">
        <v>1</v>
      </c>
      <c r="F70" s="43"/>
      <c r="G70" s="44">
        <f>'G-36 Monthly Volumes'!N29</f>
        <v>5503.92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9">
        <v>0.411884</v>
      </c>
      <c r="O70" s="13">
        <f t="shared" si="22"/>
        <v>2266.9765852799997</v>
      </c>
      <c r="P70" s="19">
        <v>0</v>
      </c>
      <c r="Q70" s="13">
        <f t="shared" si="23"/>
        <v>0</v>
      </c>
      <c r="R70" s="13">
        <f t="shared" si="24"/>
        <v>2266.9765852799997</v>
      </c>
    </row>
    <row r="71" spans="1:18" ht="15">
      <c r="A71" s="27" t="s">
        <v>3</v>
      </c>
      <c r="B71" s="57">
        <v>2004</v>
      </c>
      <c r="C71" s="40" t="s">
        <v>46</v>
      </c>
      <c r="D71" s="41"/>
      <c r="E71" s="41">
        <v>1</v>
      </c>
      <c r="F71" s="43"/>
      <c r="G71" s="44">
        <f>'G-36 Monthly Volumes'!N30</f>
        <v>5500.4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9">
        <v>0.411884</v>
      </c>
      <c r="O71" s="13">
        <f t="shared" si="22"/>
        <v>2265.5267535999997</v>
      </c>
      <c r="P71" s="19">
        <v>0</v>
      </c>
      <c r="Q71" s="13">
        <f t="shared" si="23"/>
        <v>0</v>
      </c>
      <c r="R71" s="13">
        <f t="shared" si="24"/>
        <v>2265.5267535999997</v>
      </c>
    </row>
    <row r="72" spans="1:18" ht="15">
      <c r="A72" s="27" t="s">
        <v>3</v>
      </c>
      <c r="B72" s="57">
        <v>2004</v>
      </c>
      <c r="C72" s="40" t="s">
        <v>47</v>
      </c>
      <c r="D72" s="41"/>
      <c r="E72" s="41">
        <v>1</v>
      </c>
      <c r="F72" s="43"/>
      <c r="G72" s="44">
        <f>'G-36 Monthly Volumes'!N31</f>
        <v>5699.27</v>
      </c>
      <c r="H72" s="12">
        <v>0</v>
      </c>
      <c r="I72" s="6">
        <v>0</v>
      </c>
      <c r="J72" s="13">
        <f t="shared" si="20"/>
        <v>0</v>
      </c>
      <c r="K72" s="12">
        <v>0</v>
      </c>
      <c r="L72" s="6">
        <v>0</v>
      </c>
      <c r="M72" s="13">
        <f t="shared" si="21"/>
        <v>0</v>
      </c>
      <c r="N72" s="19">
        <v>0.411884</v>
      </c>
      <c r="O72" s="13">
        <f t="shared" si="22"/>
        <v>2347.43812468</v>
      </c>
      <c r="P72" s="19">
        <v>0</v>
      </c>
      <c r="Q72" s="13">
        <f t="shared" si="23"/>
        <v>0</v>
      </c>
      <c r="R72" s="13">
        <f t="shared" si="24"/>
        <v>2347.43812468</v>
      </c>
    </row>
    <row r="73" spans="1:18" ht="15">
      <c r="A73" s="27" t="s">
        <v>3</v>
      </c>
      <c r="B73" s="57">
        <v>2004</v>
      </c>
      <c r="C73" s="40" t="s">
        <v>48</v>
      </c>
      <c r="D73" s="41"/>
      <c r="E73" s="41">
        <v>1</v>
      </c>
      <c r="F73" s="43"/>
      <c r="G73" s="44">
        <f>'G-36 Monthly Volumes'!N32</f>
        <v>5172.43</v>
      </c>
      <c r="H73" s="12">
        <v>0</v>
      </c>
      <c r="I73" s="6">
        <v>0</v>
      </c>
      <c r="J73" s="13">
        <f t="shared" si="20"/>
        <v>0</v>
      </c>
      <c r="K73" s="12">
        <v>0</v>
      </c>
      <c r="L73" s="6">
        <v>0</v>
      </c>
      <c r="M73" s="13">
        <f t="shared" si="21"/>
        <v>0</v>
      </c>
      <c r="N73" s="19">
        <v>0.411884</v>
      </c>
      <c r="O73" s="13">
        <f t="shared" si="22"/>
        <v>2130.44115812</v>
      </c>
      <c r="P73" s="19">
        <v>0</v>
      </c>
      <c r="Q73" s="13">
        <f t="shared" si="23"/>
        <v>0</v>
      </c>
      <c r="R73" s="13">
        <f t="shared" si="24"/>
        <v>2130.44115812</v>
      </c>
    </row>
    <row r="74" spans="1:18" ht="15">
      <c r="A74" s="27" t="s">
        <v>3</v>
      </c>
      <c r="B74" s="57">
        <v>2004</v>
      </c>
      <c r="C74" s="40" t="s">
        <v>49</v>
      </c>
      <c r="D74" s="41"/>
      <c r="E74" s="41">
        <v>1</v>
      </c>
      <c r="F74" s="43"/>
      <c r="G74" s="44">
        <f>'G-36 Monthly Volumes'!N33</f>
        <v>5102.58</v>
      </c>
      <c r="H74" s="12">
        <v>0</v>
      </c>
      <c r="I74" s="6">
        <v>0</v>
      </c>
      <c r="J74" s="13">
        <f t="shared" si="20"/>
        <v>0</v>
      </c>
      <c r="K74" s="12">
        <v>0</v>
      </c>
      <c r="L74" s="6">
        <v>0</v>
      </c>
      <c r="M74" s="13">
        <f t="shared" si="21"/>
        <v>0</v>
      </c>
      <c r="N74" s="19">
        <v>0.411884</v>
      </c>
      <c r="O74" s="13">
        <f t="shared" si="22"/>
        <v>2101.67106072</v>
      </c>
      <c r="P74" s="19">
        <v>0</v>
      </c>
      <c r="Q74" s="13">
        <f t="shared" si="23"/>
        <v>0</v>
      </c>
      <c r="R74" s="13">
        <f t="shared" si="24"/>
        <v>2101.67106072</v>
      </c>
    </row>
    <row r="75" spans="1:18" ht="15.75" thickBot="1">
      <c r="A75" s="27" t="s">
        <v>3</v>
      </c>
      <c r="B75" s="57">
        <v>2004</v>
      </c>
      <c r="C75" s="40" t="s">
        <v>38</v>
      </c>
      <c r="D75" s="41"/>
      <c r="E75" s="41">
        <v>1</v>
      </c>
      <c r="F75" s="43"/>
      <c r="G75" s="44">
        <f>'G-36 Monthly Volumes'!N34</f>
        <v>-361.3900000000003</v>
      </c>
      <c r="H75" s="12">
        <v>0</v>
      </c>
      <c r="I75" s="6">
        <v>0</v>
      </c>
      <c r="J75" s="13">
        <f t="shared" si="20"/>
        <v>0</v>
      </c>
      <c r="K75" s="12">
        <v>0</v>
      </c>
      <c r="L75" s="6">
        <v>0</v>
      </c>
      <c r="M75" s="13">
        <f t="shared" si="21"/>
        <v>0</v>
      </c>
      <c r="N75" s="19">
        <v>0.411884</v>
      </c>
      <c r="O75" s="13">
        <f t="shared" si="22"/>
        <v>-148.85075876000013</v>
      </c>
      <c r="P75" s="19">
        <v>0</v>
      </c>
      <c r="Q75" s="13">
        <f t="shared" si="23"/>
        <v>0</v>
      </c>
      <c r="R75" s="13">
        <f t="shared" si="24"/>
        <v>-148.85075876000013</v>
      </c>
    </row>
    <row r="76" spans="1:18" ht="15.75" thickBot="1">
      <c r="A76" s="59" t="s">
        <v>63</v>
      </c>
      <c r="B76" s="60"/>
      <c r="C76" s="61"/>
      <c r="D76" s="62">
        <f>SUM(D63:D75)</f>
        <v>3</v>
      </c>
      <c r="E76" s="62"/>
      <c r="F76" s="62">
        <f>SUM(F63:F75)</f>
        <v>0</v>
      </c>
      <c r="G76" s="63">
        <f>SUM(G63:G75)</f>
        <v>65659.37</v>
      </c>
      <c r="H76" s="64"/>
      <c r="I76" s="65"/>
      <c r="J76" s="66">
        <f>SUM(J63:J75)</f>
        <v>2739.42036432</v>
      </c>
      <c r="K76" s="64"/>
      <c r="L76" s="65"/>
      <c r="M76" s="66">
        <f>SUM(M63:M75)</f>
        <v>8258.32087072</v>
      </c>
      <c r="N76" s="67"/>
      <c r="O76" s="66">
        <f>SUM(O63:O75)</f>
        <v>20196.9172878</v>
      </c>
      <c r="P76" s="67"/>
      <c r="Q76" s="66">
        <f>SUM(Q63:Q75)</f>
        <v>0</v>
      </c>
      <c r="R76" s="66">
        <f>SUM(R63:R75)</f>
        <v>31194.658522840004</v>
      </c>
    </row>
    <row r="77" spans="1:18" ht="15">
      <c r="A77" s="27"/>
      <c r="B77" s="57"/>
      <c r="C77" s="40"/>
      <c r="D77" s="41"/>
      <c r="E77" s="41"/>
      <c r="F77" s="43"/>
      <c r="G77" s="44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7" t="s">
        <v>4</v>
      </c>
      <c r="B78" s="57">
        <v>2004</v>
      </c>
      <c r="C78" s="40" t="s">
        <v>39</v>
      </c>
      <c r="D78" s="41">
        <f>'G-35 Customer Count'!H29</f>
        <v>84</v>
      </c>
      <c r="E78" s="41">
        <v>1</v>
      </c>
      <c r="F78" s="43"/>
      <c r="G78" s="44">
        <f>'G-36 Monthly Volumes'!N58</f>
        <v>36</v>
      </c>
      <c r="H78" s="14">
        <f>0.1177</f>
        <v>0.1177</v>
      </c>
      <c r="I78" s="6">
        <f>0.161515</f>
        <v>0.161515</v>
      </c>
      <c r="J78" s="13">
        <f>D78*E78*H78+(F78+G78)*I78</f>
        <v>15.701339999999998</v>
      </c>
      <c r="K78" s="14">
        <f>0.3548</f>
        <v>0.3548</v>
      </c>
      <c r="L78" s="6">
        <f>0.486904</f>
        <v>0.486904</v>
      </c>
      <c r="M78" s="13">
        <f>D78*E78*K78+(F78+G78)*L78</f>
        <v>47.331744</v>
      </c>
      <c r="N78" s="19"/>
      <c r="O78" s="13">
        <f>(F78+G78)*N78</f>
        <v>0</v>
      </c>
      <c r="P78" s="19">
        <v>0</v>
      </c>
      <c r="Q78" s="13">
        <f>(F78+G78)*P78</f>
        <v>0</v>
      </c>
      <c r="R78" s="13">
        <f>J78+M78+O78+Q78</f>
        <v>63.033084</v>
      </c>
    </row>
    <row r="79" spans="1:18" ht="15">
      <c r="A79" s="27" t="s">
        <v>4</v>
      </c>
      <c r="B79" s="57">
        <v>2004</v>
      </c>
      <c r="C79" s="40" t="s">
        <v>40</v>
      </c>
      <c r="D79" s="41">
        <f>'G-35 Customer Count'!H30</f>
        <v>84</v>
      </c>
      <c r="E79" s="41">
        <v>1</v>
      </c>
      <c r="F79" s="43"/>
      <c r="G79" s="44">
        <f>'G-36 Monthly Volumes'!N59</f>
        <v>35</v>
      </c>
      <c r="H79" s="14">
        <f>0.1177</f>
        <v>0.1177</v>
      </c>
      <c r="I79" s="6">
        <f>0.161515</f>
        <v>0.161515</v>
      </c>
      <c r="J79" s="13">
        <f>D79*E79*H79+(F79+G79)*I79</f>
        <v>15.539824999999999</v>
      </c>
      <c r="K79" s="14">
        <f>0.3548</f>
        <v>0.3548</v>
      </c>
      <c r="L79" s="6">
        <f>0.486904</f>
        <v>0.486904</v>
      </c>
      <c r="M79" s="13">
        <f>D79*E79*K79+(F79+G79)*L79</f>
        <v>46.844840000000005</v>
      </c>
      <c r="N79" s="19"/>
      <c r="O79" s="13">
        <f>(F79+G79)*N79</f>
        <v>0</v>
      </c>
      <c r="P79" s="19">
        <v>0</v>
      </c>
      <c r="Q79" s="13">
        <f>(F79+G79)*P79</f>
        <v>0</v>
      </c>
      <c r="R79" s="13">
        <f>J79+M79+O79+Q79</f>
        <v>62.384665000000005</v>
      </c>
    </row>
    <row r="80" spans="1:18" ht="15">
      <c r="A80" s="27" t="s">
        <v>4</v>
      </c>
      <c r="B80" s="57">
        <v>2004</v>
      </c>
      <c r="C80" s="40" t="s">
        <v>41</v>
      </c>
      <c r="D80" s="41">
        <f>'G-35 Customer Count'!H31</f>
        <v>59</v>
      </c>
      <c r="E80" s="41">
        <v>1</v>
      </c>
      <c r="F80" s="43"/>
      <c r="G80" s="44">
        <f>'G-36 Monthly Volumes'!N60</f>
        <v>35</v>
      </c>
      <c r="H80" s="14">
        <f>0.1177</f>
        <v>0.1177</v>
      </c>
      <c r="I80" s="6">
        <f>0.161515</f>
        <v>0.161515</v>
      </c>
      <c r="J80" s="13">
        <f>D80*E80*H80+(F80+G80)*I80</f>
        <v>12.597325</v>
      </c>
      <c r="K80" s="14">
        <f>0.3548</f>
        <v>0.3548</v>
      </c>
      <c r="L80" s="6">
        <f>0.486904</f>
        <v>0.486904</v>
      </c>
      <c r="M80" s="13">
        <f>D80*E80*K80+(F80+G80)*L80</f>
        <v>37.97484</v>
      </c>
      <c r="N80" s="19"/>
      <c r="O80" s="13">
        <f>(F80+G80)*N80</f>
        <v>0</v>
      </c>
      <c r="P80" s="19">
        <v>0</v>
      </c>
      <c r="Q80" s="13">
        <f>(F80+G80)*P80</f>
        <v>0</v>
      </c>
      <c r="R80" s="13">
        <f>J80+M80+O80+Q80</f>
        <v>50.572165</v>
      </c>
    </row>
    <row r="81" spans="1:18" ht="15">
      <c r="A81" s="27" t="s">
        <v>4</v>
      </c>
      <c r="B81" s="57">
        <v>2004</v>
      </c>
      <c r="C81" s="40" t="s">
        <v>42</v>
      </c>
      <c r="D81" s="41"/>
      <c r="E81" s="41">
        <v>1</v>
      </c>
      <c r="F81" s="43"/>
      <c r="G81" s="44">
        <f>'G-36 Monthly Volumes'!N61</f>
        <v>0</v>
      </c>
      <c r="H81" s="12">
        <v>0</v>
      </c>
      <c r="I81" s="6">
        <v>0</v>
      </c>
      <c r="J81" s="13">
        <f>D81*E81*H81+(F81+G81)*I81</f>
        <v>0</v>
      </c>
      <c r="K81" s="12">
        <v>0</v>
      </c>
      <c r="L81" s="6">
        <v>0</v>
      </c>
      <c r="M81" s="13">
        <f>D81*E81*K81+(F81+G81)*L81</f>
        <v>0</v>
      </c>
      <c r="N81" s="19">
        <v>1.457856</v>
      </c>
      <c r="O81" s="13">
        <f>(F81+G81)*N81</f>
        <v>0</v>
      </c>
      <c r="P81" s="19">
        <v>0</v>
      </c>
      <c r="Q81" s="13">
        <f>(F81+G81)*P81</f>
        <v>0</v>
      </c>
      <c r="R81" s="13">
        <f>J81+M81+O81+Q81</f>
        <v>0</v>
      </c>
    </row>
    <row r="82" spans="1:18" ht="15">
      <c r="A82" s="27" t="s">
        <v>4</v>
      </c>
      <c r="B82" s="57">
        <v>2004</v>
      </c>
      <c r="C82" s="40" t="s">
        <v>35</v>
      </c>
      <c r="D82" s="41"/>
      <c r="E82" s="41">
        <v>1</v>
      </c>
      <c r="F82" s="43"/>
      <c r="G82" s="44">
        <f>'G-36 Monthly Volumes'!N62</f>
        <v>0</v>
      </c>
      <c r="H82" s="12">
        <v>0</v>
      </c>
      <c r="I82" s="6">
        <v>0</v>
      </c>
      <c r="J82" s="13">
        <f aca="true" t="shared" si="25" ref="J82:J90">D82*E82*H82+(F82+G82)*I82</f>
        <v>0</v>
      </c>
      <c r="K82" s="12">
        <v>0</v>
      </c>
      <c r="L82" s="6">
        <v>0</v>
      </c>
      <c r="M82" s="13">
        <f aca="true" t="shared" si="26" ref="M82:M90">D82*E82*K82+(F82+G82)*L82</f>
        <v>0</v>
      </c>
      <c r="N82" s="19">
        <v>1.457856</v>
      </c>
      <c r="O82" s="13">
        <f aca="true" t="shared" si="27" ref="O82:O90">(F82+G82)*N82</f>
        <v>0</v>
      </c>
      <c r="P82" s="19">
        <v>0</v>
      </c>
      <c r="Q82" s="13">
        <f aca="true" t="shared" si="28" ref="Q82:Q90">(F82+G82)*P82</f>
        <v>0</v>
      </c>
      <c r="R82" s="13">
        <f aca="true" t="shared" si="29" ref="R82:R90">J82+M82+O82+Q82</f>
        <v>0</v>
      </c>
    </row>
    <row r="83" spans="1:18" ht="15">
      <c r="A83" s="27" t="s">
        <v>4</v>
      </c>
      <c r="B83" s="57">
        <v>2004</v>
      </c>
      <c r="C83" s="40" t="s">
        <v>43</v>
      </c>
      <c r="D83" s="41"/>
      <c r="E83" s="41">
        <v>1</v>
      </c>
      <c r="F83" s="43"/>
      <c r="G83" s="44">
        <f>'G-36 Monthly Volumes'!N63</f>
        <v>0</v>
      </c>
      <c r="H83" s="12">
        <v>0</v>
      </c>
      <c r="I83" s="6">
        <v>0</v>
      </c>
      <c r="J83" s="13">
        <f t="shared" si="25"/>
        <v>0</v>
      </c>
      <c r="K83" s="12">
        <v>0</v>
      </c>
      <c r="L83" s="6">
        <v>0</v>
      </c>
      <c r="M83" s="13">
        <f t="shared" si="26"/>
        <v>0</v>
      </c>
      <c r="N83" s="19">
        <v>1.457856</v>
      </c>
      <c r="O83" s="13">
        <f t="shared" si="27"/>
        <v>0</v>
      </c>
      <c r="P83" s="19">
        <v>0</v>
      </c>
      <c r="Q83" s="13">
        <f t="shared" si="28"/>
        <v>0</v>
      </c>
      <c r="R83" s="13">
        <f t="shared" si="29"/>
        <v>0</v>
      </c>
    </row>
    <row r="84" spans="1:18" ht="15">
      <c r="A84" s="27" t="s">
        <v>4</v>
      </c>
      <c r="B84" s="57">
        <v>2004</v>
      </c>
      <c r="C84" s="40" t="s">
        <v>44</v>
      </c>
      <c r="D84" s="41"/>
      <c r="E84" s="41">
        <v>1</v>
      </c>
      <c r="F84" s="43"/>
      <c r="G84" s="44">
        <f>'G-36 Monthly Volumes'!N64</f>
        <v>0</v>
      </c>
      <c r="H84" s="12">
        <v>0</v>
      </c>
      <c r="I84" s="6">
        <v>0</v>
      </c>
      <c r="J84" s="13">
        <f t="shared" si="25"/>
        <v>0</v>
      </c>
      <c r="K84" s="12">
        <v>0</v>
      </c>
      <c r="L84" s="6">
        <v>0</v>
      </c>
      <c r="M84" s="13">
        <f t="shared" si="26"/>
        <v>0</v>
      </c>
      <c r="N84" s="19">
        <v>1.457856</v>
      </c>
      <c r="O84" s="13">
        <f t="shared" si="27"/>
        <v>0</v>
      </c>
      <c r="P84" s="19">
        <v>0</v>
      </c>
      <c r="Q84" s="13">
        <f t="shared" si="28"/>
        <v>0</v>
      </c>
      <c r="R84" s="13">
        <f t="shared" si="29"/>
        <v>0</v>
      </c>
    </row>
    <row r="85" spans="1:18" ht="15">
      <c r="A85" s="27" t="s">
        <v>4</v>
      </c>
      <c r="B85" s="57">
        <v>2004</v>
      </c>
      <c r="C85" s="40" t="s">
        <v>45</v>
      </c>
      <c r="D85" s="41"/>
      <c r="E85" s="41">
        <v>1</v>
      </c>
      <c r="F85" s="43"/>
      <c r="G85" s="44">
        <f>'G-36 Monthly Volumes'!N65</f>
        <v>0</v>
      </c>
      <c r="H85" s="12">
        <v>0</v>
      </c>
      <c r="I85" s="6">
        <v>0</v>
      </c>
      <c r="J85" s="13">
        <f t="shared" si="25"/>
        <v>0</v>
      </c>
      <c r="K85" s="12">
        <v>0</v>
      </c>
      <c r="L85" s="6">
        <v>0</v>
      </c>
      <c r="M85" s="13">
        <f t="shared" si="26"/>
        <v>0</v>
      </c>
      <c r="N85" s="19">
        <v>1.457856</v>
      </c>
      <c r="O85" s="13">
        <f t="shared" si="27"/>
        <v>0</v>
      </c>
      <c r="P85" s="19">
        <v>0</v>
      </c>
      <c r="Q85" s="13">
        <f t="shared" si="28"/>
        <v>0</v>
      </c>
      <c r="R85" s="13">
        <f t="shared" si="29"/>
        <v>0</v>
      </c>
    </row>
    <row r="86" spans="1:18" ht="15">
      <c r="A86" s="27" t="s">
        <v>4</v>
      </c>
      <c r="B86" s="57">
        <v>2004</v>
      </c>
      <c r="C86" s="40" t="s">
        <v>46</v>
      </c>
      <c r="D86" s="41"/>
      <c r="E86" s="41">
        <v>1</v>
      </c>
      <c r="F86" s="43"/>
      <c r="G86" s="44">
        <f>'G-36 Monthly Volumes'!N66</f>
        <v>0</v>
      </c>
      <c r="H86" s="12">
        <v>0</v>
      </c>
      <c r="I86" s="6">
        <v>0</v>
      </c>
      <c r="J86" s="13">
        <f t="shared" si="25"/>
        <v>0</v>
      </c>
      <c r="K86" s="12">
        <v>0</v>
      </c>
      <c r="L86" s="6">
        <v>0</v>
      </c>
      <c r="M86" s="13">
        <f t="shared" si="26"/>
        <v>0</v>
      </c>
      <c r="N86" s="19">
        <v>1.457856</v>
      </c>
      <c r="O86" s="13">
        <f t="shared" si="27"/>
        <v>0</v>
      </c>
      <c r="P86" s="19">
        <v>0</v>
      </c>
      <c r="Q86" s="13">
        <f t="shared" si="28"/>
        <v>0</v>
      </c>
      <c r="R86" s="13">
        <f t="shared" si="29"/>
        <v>0</v>
      </c>
    </row>
    <row r="87" spans="1:18" ht="15">
      <c r="A87" s="27" t="s">
        <v>4</v>
      </c>
      <c r="B87" s="57">
        <v>2004</v>
      </c>
      <c r="C87" s="40" t="s">
        <v>47</v>
      </c>
      <c r="D87" s="41"/>
      <c r="E87" s="41">
        <v>1</v>
      </c>
      <c r="F87" s="43"/>
      <c r="G87" s="44">
        <f>'G-36 Monthly Volumes'!N67</f>
        <v>0</v>
      </c>
      <c r="H87" s="12">
        <v>0</v>
      </c>
      <c r="I87" s="6">
        <v>0</v>
      </c>
      <c r="J87" s="13">
        <f t="shared" si="25"/>
        <v>0</v>
      </c>
      <c r="K87" s="12">
        <v>0</v>
      </c>
      <c r="L87" s="6">
        <v>0</v>
      </c>
      <c r="M87" s="13">
        <f t="shared" si="26"/>
        <v>0</v>
      </c>
      <c r="N87" s="19">
        <v>1.457856</v>
      </c>
      <c r="O87" s="13">
        <f t="shared" si="27"/>
        <v>0</v>
      </c>
      <c r="P87" s="19">
        <v>0</v>
      </c>
      <c r="Q87" s="13">
        <f t="shared" si="28"/>
        <v>0</v>
      </c>
      <c r="R87" s="13">
        <f t="shared" si="29"/>
        <v>0</v>
      </c>
    </row>
    <row r="88" spans="1:18" ht="15">
      <c r="A88" s="27" t="s">
        <v>4</v>
      </c>
      <c r="B88" s="57">
        <v>2004</v>
      </c>
      <c r="C88" s="40" t="s">
        <v>48</v>
      </c>
      <c r="D88" s="41"/>
      <c r="E88" s="41">
        <v>1</v>
      </c>
      <c r="F88" s="43"/>
      <c r="G88" s="44">
        <f>'G-36 Monthly Volumes'!N68</f>
        <v>0</v>
      </c>
      <c r="H88" s="12">
        <v>0</v>
      </c>
      <c r="I88" s="6">
        <v>0</v>
      </c>
      <c r="J88" s="13">
        <f t="shared" si="25"/>
        <v>0</v>
      </c>
      <c r="K88" s="12">
        <v>0</v>
      </c>
      <c r="L88" s="6">
        <v>0</v>
      </c>
      <c r="M88" s="13">
        <f t="shared" si="26"/>
        <v>0</v>
      </c>
      <c r="N88" s="19">
        <v>1.457856</v>
      </c>
      <c r="O88" s="13">
        <f t="shared" si="27"/>
        <v>0</v>
      </c>
      <c r="P88" s="19">
        <v>0</v>
      </c>
      <c r="Q88" s="13">
        <f t="shared" si="28"/>
        <v>0</v>
      </c>
      <c r="R88" s="13">
        <f t="shared" si="29"/>
        <v>0</v>
      </c>
    </row>
    <row r="89" spans="1:18" ht="15">
      <c r="A89" s="27" t="s">
        <v>4</v>
      </c>
      <c r="B89" s="57">
        <v>2004</v>
      </c>
      <c r="C89" s="40" t="s">
        <v>49</v>
      </c>
      <c r="D89" s="41"/>
      <c r="E89" s="41">
        <v>1</v>
      </c>
      <c r="F89" s="43"/>
      <c r="G89" s="44">
        <f>'G-36 Monthly Volumes'!N69</f>
        <v>0</v>
      </c>
      <c r="H89" s="12">
        <v>0</v>
      </c>
      <c r="I89" s="6">
        <v>0</v>
      </c>
      <c r="J89" s="13">
        <f t="shared" si="25"/>
        <v>0</v>
      </c>
      <c r="K89" s="12">
        <v>0</v>
      </c>
      <c r="L89" s="6">
        <v>0</v>
      </c>
      <c r="M89" s="13">
        <f t="shared" si="26"/>
        <v>0</v>
      </c>
      <c r="N89" s="19">
        <v>1.457856</v>
      </c>
      <c r="O89" s="13">
        <f t="shared" si="27"/>
        <v>0</v>
      </c>
      <c r="P89" s="19">
        <v>0</v>
      </c>
      <c r="Q89" s="13">
        <f t="shared" si="28"/>
        <v>0</v>
      </c>
      <c r="R89" s="13">
        <f t="shared" si="29"/>
        <v>0</v>
      </c>
    </row>
    <row r="90" spans="1:18" ht="15.75" thickBot="1">
      <c r="A90" s="27" t="s">
        <v>4</v>
      </c>
      <c r="B90" s="57">
        <v>2004</v>
      </c>
      <c r="C90" s="40" t="s">
        <v>38</v>
      </c>
      <c r="D90" s="41"/>
      <c r="E90" s="41">
        <v>1</v>
      </c>
      <c r="F90" s="43"/>
      <c r="G90" s="44">
        <f>'G-36 Monthly Volumes'!N70</f>
        <v>0</v>
      </c>
      <c r="H90" s="12">
        <v>0</v>
      </c>
      <c r="I90" s="6">
        <v>0</v>
      </c>
      <c r="J90" s="13">
        <f t="shared" si="25"/>
        <v>0</v>
      </c>
      <c r="K90" s="12">
        <v>0</v>
      </c>
      <c r="L90" s="6">
        <v>0</v>
      </c>
      <c r="M90" s="13">
        <f t="shared" si="26"/>
        <v>0</v>
      </c>
      <c r="N90" s="19">
        <v>1.457856</v>
      </c>
      <c r="O90" s="13">
        <f t="shared" si="27"/>
        <v>0</v>
      </c>
      <c r="P90" s="19">
        <v>0</v>
      </c>
      <c r="Q90" s="13">
        <f t="shared" si="28"/>
        <v>0</v>
      </c>
      <c r="R90" s="13">
        <f t="shared" si="29"/>
        <v>0</v>
      </c>
    </row>
    <row r="91" spans="1:18" ht="15.75" thickBot="1">
      <c r="A91" s="59" t="s">
        <v>64</v>
      </c>
      <c r="B91" s="60"/>
      <c r="C91" s="61"/>
      <c r="D91" s="62">
        <f>SUM(D78:D90)</f>
        <v>227</v>
      </c>
      <c r="E91" s="62"/>
      <c r="F91" s="62">
        <f>SUM(F78:F90)</f>
        <v>0</v>
      </c>
      <c r="G91" s="63">
        <f>SUM(G78:G90)</f>
        <v>106</v>
      </c>
      <c r="H91" s="64"/>
      <c r="I91" s="65"/>
      <c r="J91" s="66">
        <f>SUM(J78:J90)</f>
        <v>43.83848999999999</v>
      </c>
      <c r="K91" s="64"/>
      <c r="L91" s="65"/>
      <c r="M91" s="66">
        <f>SUM(M78:M90)</f>
        <v>132.15142400000002</v>
      </c>
      <c r="N91" s="67"/>
      <c r="O91" s="66">
        <f>SUM(O78:O90)</f>
        <v>0</v>
      </c>
      <c r="P91" s="67"/>
      <c r="Q91" s="66">
        <f>SUM(Q78:Q90)</f>
        <v>0</v>
      </c>
      <c r="R91" s="66">
        <f>SUM(R78:R90)</f>
        <v>175.989914</v>
      </c>
    </row>
    <row r="92" spans="1:18" ht="15">
      <c r="A92" s="27"/>
      <c r="B92" s="57"/>
      <c r="C92" s="40"/>
      <c r="D92" s="41"/>
      <c r="E92" s="41"/>
      <c r="F92" s="43"/>
      <c r="G92" s="44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7" t="s">
        <v>5</v>
      </c>
      <c r="B93" s="57">
        <v>2004</v>
      </c>
      <c r="C93" s="40" t="s">
        <v>39</v>
      </c>
      <c r="D93" s="41">
        <f>'G-35 Customer Count'!I29</f>
        <v>3734</v>
      </c>
      <c r="E93" s="41">
        <v>1</v>
      </c>
      <c r="F93" s="43"/>
      <c r="G93" s="44">
        <f>'G-36 Monthly Volumes'!N40</f>
        <v>551.04</v>
      </c>
      <c r="H93" s="14">
        <f>0.0317</f>
        <v>0.0317</v>
      </c>
      <c r="I93" s="6">
        <f>0.097068</f>
        <v>0.097068</v>
      </c>
      <c r="J93" s="13">
        <f>D93*E93*H93+(F93+G93)*I93</f>
        <v>171.85615072000002</v>
      </c>
      <c r="K93" s="14">
        <f>0.0956</f>
        <v>0.0956</v>
      </c>
      <c r="L93" s="6">
        <f>0.292623</f>
        <v>0.292623</v>
      </c>
      <c r="M93" s="13">
        <f>D93*E93*K93+(F93+G93)*L93</f>
        <v>518.21737792</v>
      </c>
      <c r="N93" s="19"/>
      <c r="O93" s="13">
        <f>(F93+G93)*N93</f>
        <v>0</v>
      </c>
      <c r="P93" s="19">
        <v>0</v>
      </c>
      <c r="Q93" s="13">
        <f>(F93+G93)*P93</f>
        <v>0</v>
      </c>
      <c r="R93" s="13">
        <f aca="true" t="shared" si="30" ref="R93:R105">J93+M93+O93+Q93</f>
        <v>690.07352864</v>
      </c>
    </row>
    <row r="94" spans="1:18" ht="15">
      <c r="A94" s="27" t="s">
        <v>5</v>
      </c>
      <c r="B94" s="57">
        <v>2004</v>
      </c>
      <c r="C94" s="40" t="s">
        <v>40</v>
      </c>
      <c r="D94" s="41">
        <f>'G-35 Customer Count'!I30</f>
        <v>3734</v>
      </c>
      <c r="E94" s="41">
        <v>1</v>
      </c>
      <c r="F94" s="43"/>
      <c r="G94" s="44">
        <f>'G-36 Monthly Volumes'!N41</f>
        <v>551.04</v>
      </c>
      <c r="H94" s="14">
        <f>0.0317</f>
        <v>0.0317</v>
      </c>
      <c r="I94" s="6">
        <f>0.097068</f>
        <v>0.097068</v>
      </c>
      <c r="J94" s="13">
        <f>D94*E94*H94+(F94+G94)*I94</f>
        <v>171.85615072000002</v>
      </c>
      <c r="K94" s="14">
        <f>0.0956</f>
        <v>0.0956</v>
      </c>
      <c r="L94" s="6">
        <f>0.292623</f>
        <v>0.292623</v>
      </c>
      <c r="M94" s="13">
        <f>D94*E94*K94+(F94+G94)*L94</f>
        <v>518.21737792</v>
      </c>
      <c r="N94" s="19"/>
      <c r="O94" s="13">
        <f>(F94+G94)*N94</f>
        <v>0</v>
      </c>
      <c r="P94" s="19">
        <v>0</v>
      </c>
      <c r="Q94" s="13">
        <f>(F94+G94)*P94</f>
        <v>0</v>
      </c>
      <c r="R94" s="13">
        <f t="shared" si="30"/>
        <v>690.07352864</v>
      </c>
    </row>
    <row r="95" spans="1:18" ht="15">
      <c r="A95" s="27" t="s">
        <v>5</v>
      </c>
      <c r="B95" s="57">
        <v>2004</v>
      </c>
      <c r="C95" s="40" t="s">
        <v>41</v>
      </c>
      <c r="D95" s="41">
        <f>'G-35 Customer Count'!I31</f>
        <v>3744</v>
      </c>
      <c r="E95" s="41">
        <v>1</v>
      </c>
      <c r="F95" s="43"/>
      <c r="G95" s="44">
        <f>'G-36 Monthly Volumes'!N42</f>
        <v>553.87</v>
      </c>
      <c r="H95" s="14">
        <f>0.0317</f>
        <v>0.0317</v>
      </c>
      <c r="I95" s="6">
        <f>0.097068</f>
        <v>0.097068</v>
      </c>
      <c r="J95" s="13">
        <f>D95*E95*H95+(F95+G95)*I95</f>
        <v>172.44785316</v>
      </c>
      <c r="K95" s="14">
        <f>0.0956</f>
        <v>0.0956</v>
      </c>
      <c r="L95" s="6">
        <f>0.292623</f>
        <v>0.292623</v>
      </c>
      <c r="M95" s="13">
        <f>D95*E95*K95+(F95+G95)*L95</f>
        <v>520.0015010100001</v>
      </c>
      <c r="N95" s="19"/>
      <c r="O95" s="13">
        <f>(F95+G95)*N95</f>
        <v>0</v>
      </c>
      <c r="P95" s="19">
        <v>0</v>
      </c>
      <c r="Q95" s="13">
        <f>(F95+G95)*P95</f>
        <v>0</v>
      </c>
      <c r="R95" s="13">
        <f t="shared" si="30"/>
        <v>692.4493541700001</v>
      </c>
    </row>
    <row r="96" spans="1:18" ht="15">
      <c r="A96" s="27" t="s">
        <v>5</v>
      </c>
      <c r="B96" s="57">
        <v>2004</v>
      </c>
      <c r="C96" s="40" t="s">
        <v>42</v>
      </c>
      <c r="D96" s="41"/>
      <c r="E96" s="41">
        <v>1</v>
      </c>
      <c r="F96" s="43"/>
      <c r="G96" s="44">
        <f>'G-36 Monthly Volumes'!N43</f>
        <v>553.06</v>
      </c>
      <c r="H96" s="12">
        <v>0</v>
      </c>
      <c r="I96" s="6">
        <v>0</v>
      </c>
      <c r="J96" s="13">
        <f>D96*E96*H96+(F96+G96)*I96</f>
        <v>0</v>
      </c>
      <c r="K96" s="12">
        <v>0</v>
      </c>
      <c r="L96" s="6">
        <v>0</v>
      </c>
      <c r="M96" s="13">
        <f>D96*E96*K96+(F96+G96)*L96</f>
        <v>0</v>
      </c>
      <c r="N96" s="19">
        <v>0.974486</v>
      </c>
      <c r="O96" s="13">
        <f>(F96+G96)*N96</f>
        <v>538.94922716</v>
      </c>
      <c r="P96" s="19">
        <v>0</v>
      </c>
      <c r="Q96" s="13">
        <f>(F96+G96)*P96</f>
        <v>0</v>
      </c>
      <c r="R96" s="13">
        <f t="shared" si="30"/>
        <v>538.94922716</v>
      </c>
    </row>
    <row r="97" spans="1:18" ht="15">
      <c r="A97" s="27" t="s">
        <v>5</v>
      </c>
      <c r="B97" s="57">
        <v>2004</v>
      </c>
      <c r="C97" s="40" t="s">
        <v>35</v>
      </c>
      <c r="D97" s="41"/>
      <c r="E97" s="41">
        <v>1</v>
      </c>
      <c r="F97" s="43"/>
      <c r="G97" s="44">
        <f>'G-36 Monthly Volumes'!N44</f>
        <v>553.06</v>
      </c>
      <c r="H97" s="12">
        <v>0</v>
      </c>
      <c r="I97" s="6">
        <v>0</v>
      </c>
      <c r="J97" s="13">
        <f aca="true" t="shared" si="31" ref="J97:J105">D97*E97*H97+(F97+G97)*I97</f>
        <v>0</v>
      </c>
      <c r="K97" s="12">
        <v>0</v>
      </c>
      <c r="L97" s="6">
        <v>0</v>
      </c>
      <c r="M97" s="13">
        <f aca="true" t="shared" si="32" ref="M97:M105">D97*E97*K97+(F97+G97)*L97</f>
        <v>0</v>
      </c>
      <c r="N97" s="19">
        <v>0.974486</v>
      </c>
      <c r="O97" s="13">
        <f aca="true" t="shared" si="33" ref="O97:O105">(F97+G97)*N97</f>
        <v>538.94922716</v>
      </c>
      <c r="P97" s="19">
        <v>0</v>
      </c>
      <c r="Q97" s="13">
        <f aca="true" t="shared" si="34" ref="Q97:Q105">(F97+G97)*P97</f>
        <v>0</v>
      </c>
      <c r="R97" s="13">
        <f t="shared" si="30"/>
        <v>538.94922716</v>
      </c>
    </row>
    <row r="98" spans="1:18" ht="15">
      <c r="A98" s="27" t="s">
        <v>5</v>
      </c>
      <c r="B98" s="57">
        <v>2004</v>
      </c>
      <c r="C98" s="40" t="s">
        <v>43</v>
      </c>
      <c r="D98" s="41"/>
      <c r="E98" s="41">
        <v>1</v>
      </c>
      <c r="F98" s="43"/>
      <c r="G98" s="44">
        <f>'G-36 Monthly Volumes'!N45</f>
        <v>553.06</v>
      </c>
      <c r="H98" s="12">
        <v>0</v>
      </c>
      <c r="I98" s="6">
        <v>0</v>
      </c>
      <c r="J98" s="13">
        <f t="shared" si="31"/>
        <v>0</v>
      </c>
      <c r="K98" s="12">
        <v>0</v>
      </c>
      <c r="L98" s="6">
        <v>0</v>
      </c>
      <c r="M98" s="13">
        <f t="shared" si="32"/>
        <v>0</v>
      </c>
      <c r="N98" s="19">
        <v>0.974486</v>
      </c>
      <c r="O98" s="13">
        <f t="shared" si="33"/>
        <v>538.94922716</v>
      </c>
      <c r="P98" s="19">
        <v>0</v>
      </c>
      <c r="Q98" s="13">
        <f t="shared" si="34"/>
        <v>0</v>
      </c>
      <c r="R98" s="13">
        <f t="shared" si="30"/>
        <v>538.94922716</v>
      </c>
    </row>
    <row r="99" spans="1:18" ht="15">
      <c r="A99" s="27" t="s">
        <v>5</v>
      </c>
      <c r="B99" s="57">
        <v>2004</v>
      </c>
      <c r="C99" s="40" t="s">
        <v>44</v>
      </c>
      <c r="D99" s="41"/>
      <c r="E99" s="41">
        <v>1</v>
      </c>
      <c r="F99" s="43"/>
      <c r="G99" s="44">
        <f>'G-36 Monthly Volumes'!N46</f>
        <v>553.16</v>
      </c>
      <c r="H99" s="12">
        <v>0</v>
      </c>
      <c r="I99" s="6">
        <v>0</v>
      </c>
      <c r="J99" s="13">
        <f t="shared" si="31"/>
        <v>0</v>
      </c>
      <c r="K99" s="12">
        <v>0</v>
      </c>
      <c r="L99" s="6">
        <v>0</v>
      </c>
      <c r="M99" s="13">
        <f t="shared" si="32"/>
        <v>0</v>
      </c>
      <c r="N99" s="19">
        <v>0.974486</v>
      </c>
      <c r="O99" s="13">
        <f t="shared" si="33"/>
        <v>539.04667576</v>
      </c>
      <c r="P99" s="19">
        <v>0</v>
      </c>
      <c r="Q99" s="13">
        <f t="shared" si="34"/>
        <v>0</v>
      </c>
      <c r="R99" s="13">
        <f t="shared" si="30"/>
        <v>539.04667576</v>
      </c>
    </row>
    <row r="100" spans="1:18" ht="15">
      <c r="A100" s="27" t="s">
        <v>5</v>
      </c>
      <c r="B100" s="57">
        <v>2004</v>
      </c>
      <c r="C100" s="40" t="s">
        <v>45</v>
      </c>
      <c r="D100" s="41"/>
      <c r="E100" s="41">
        <v>1</v>
      </c>
      <c r="F100" s="43"/>
      <c r="G100" s="44">
        <f>'G-36 Monthly Volumes'!N47</f>
        <v>553.16</v>
      </c>
      <c r="H100" s="12">
        <v>0</v>
      </c>
      <c r="I100" s="6">
        <v>0</v>
      </c>
      <c r="J100" s="13">
        <f t="shared" si="31"/>
        <v>0</v>
      </c>
      <c r="K100" s="12">
        <v>0</v>
      </c>
      <c r="L100" s="6">
        <v>0</v>
      </c>
      <c r="M100" s="13">
        <f t="shared" si="32"/>
        <v>0</v>
      </c>
      <c r="N100" s="19">
        <v>0.974486</v>
      </c>
      <c r="O100" s="13">
        <f t="shared" si="33"/>
        <v>539.04667576</v>
      </c>
      <c r="P100" s="19">
        <v>0</v>
      </c>
      <c r="Q100" s="13">
        <f t="shared" si="34"/>
        <v>0</v>
      </c>
      <c r="R100" s="13">
        <f t="shared" si="30"/>
        <v>539.04667576</v>
      </c>
    </row>
    <row r="101" spans="1:18" ht="15">
      <c r="A101" s="27" t="s">
        <v>5</v>
      </c>
      <c r="B101" s="57">
        <v>2004</v>
      </c>
      <c r="C101" s="40" t="s">
        <v>46</v>
      </c>
      <c r="D101" s="41"/>
      <c r="E101" s="41">
        <v>1</v>
      </c>
      <c r="F101" s="43"/>
      <c r="G101" s="44">
        <f>'G-36 Monthly Volumes'!N48</f>
        <v>554.36</v>
      </c>
      <c r="H101" s="12">
        <v>0</v>
      </c>
      <c r="I101" s="6">
        <v>0</v>
      </c>
      <c r="J101" s="13">
        <f t="shared" si="31"/>
        <v>0</v>
      </c>
      <c r="K101" s="12">
        <v>0</v>
      </c>
      <c r="L101" s="6">
        <v>0</v>
      </c>
      <c r="M101" s="13">
        <f t="shared" si="32"/>
        <v>0</v>
      </c>
      <c r="N101" s="19">
        <v>0.974486</v>
      </c>
      <c r="O101" s="13">
        <f t="shared" si="33"/>
        <v>540.2160589599999</v>
      </c>
      <c r="P101" s="19">
        <v>0</v>
      </c>
      <c r="Q101" s="13">
        <f t="shared" si="34"/>
        <v>0</v>
      </c>
      <c r="R101" s="13">
        <f t="shared" si="30"/>
        <v>540.2160589599999</v>
      </c>
    </row>
    <row r="102" spans="1:18" ht="15">
      <c r="A102" s="27" t="s">
        <v>5</v>
      </c>
      <c r="B102" s="57">
        <v>2004</v>
      </c>
      <c r="C102" s="40" t="s">
        <v>47</v>
      </c>
      <c r="D102" s="41"/>
      <c r="E102" s="41">
        <v>1</v>
      </c>
      <c r="F102" s="43"/>
      <c r="G102" s="44">
        <f>'G-36 Monthly Volumes'!N49</f>
        <v>554.98</v>
      </c>
      <c r="H102" s="12">
        <v>0</v>
      </c>
      <c r="I102" s="6">
        <v>0</v>
      </c>
      <c r="J102" s="13">
        <f t="shared" si="31"/>
        <v>0</v>
      </c>
      <c r="K102" s="12">
        <v>0</v>
      </c>
      <c r="L102" s="6">
        <v>0</v>
      </c>
      <c r="M102" s="13">
        <f t="shared" si="32"/>
        <v>0</v>
      </c>
      <c r="N102" s="19">
        <v>0.974486</v>
      </c>
      <c r="O102" s="13">
        <f t="shared" si="33"/>
        <v>540.82024028</v>
      </c>
      <c r="P102" s="19">
        <v>0</v>
      </c>
      <c r="Q102" s="13">
        <f t="shared" si="34"/>
        <v>0</v>
      </c>
      <c r="R102" s="13">
        <f t="shared" si="30"/>
        <v>540.82024028</v>
      </c>
    </row>
    <row r="103" spans="1:18" ht="15">
      <c r="A103" s="27" t="s">
        <v>5</v>
      </c>
      <c r="B103" s="57">
        <v>2004</v>
      </c>
      <c r="C103" s="40" t="s">
        <v>48</v>
      </c>
      <c r="D103" s="41"/>
      <c r="E103" s="41">
        <v>1</v>
      </c>
      <c r="F103" s="43"/>
      <c r="G103" s="44">
        <f>'G-36 Monthly Volumes'!N50</f>
        <v>558.02</v>
      </c>
      <c r="H103" s="12">
        <v>0</v>
      </c>
      <c r="I103" s="6">
        <v>0</v>
      </c>
      <c r="J103" s="13">
        <f t="shared" si="31"/>
        <v>0</v>
      </c>
      <c r="K103" s="12">
        <v>0</v>
      </c>
      <c r="L103" s="6">
        <v>0</v>
      </c>
      <c r="M103" s="13">
        <f t="shared" si="32"/>
        <v>0</v>
      </c>
      <c r="N103" s="19">
        <v>0.974486</v>
      </c>
      <c r="O103" s="13">
        <f t="shared" si="33"/>
        <v>543.7826777199999</v>
      </c>
      <c r="P103" s="19">
        <v>0</v>
      </c>
      <c r="Q103" s="13">
        <f t="shared" si="34"/>
        <v>0</v>
      </c>
      <c r="R103" s="13">
        <f t="shared" si="30"/>
        <v>543.7826777199999</v>
      </c>
    </row>
    <row r="104" spans="1:18" ht="15">
      <c r="A104" s="27" t="s">
        <v>5</v>
      </c>
      <c r="B104" s="57">
        <v>2004</v>
      </c>
      <c r="C104" s="40" t="s">
        <v>49</v>
      </c>
      <c r="D104" s="41"/>
      <c r="E104" s="41">
        <v>1</v>
      </c>
      <c r="F104" s="43"/>
      <c r="G104" s="44">
        <f>'G-36 Monthly Volumes'!N51</f>
        <v>561.12</v>
      </c>
      <c r="H104" s="12">
        <v>0</v>
      </c>
      <c r="I104" s="6">
        <v>0</v>
      </c>
      <c r="J104" s="13">
        <f t="shared" si="31"/>
        <v>0</v>
      </c>
      <c r="K104" s="12">
        <v>0</v>
      </c>
      <c r="L104" s="6">
        <v>0</v>
      </c>
      <c r="M104" s="13">
        <f t="shared" si="32"/>
        <v>0</v>
      </c>
      <c r="N104" s="19">
        <v>0.974486</v>
      </c>
      <c r="O104" s="13">
        <f t="shared" si="33"/>
        <v>546.80358432</v>
      </c>
      <c r="P104" s="19">
        <v>0</v>
      </c>
      <c r="Q104" s="13">
        <f t="shared" si="34"/>
        <v>0</v>
      </c>
      <c r="R104" s="13">
        <f t="shared" si="30"/>
        <v>546.80358432</v>
      </c>
    </row>
    <row r="105" spans="1:18" ht="15.75" thickBot="1">
      <c r="A105" s="27" t="s">
        <v>5</v>
      </c>
      <c r="B105" s="57">
        <v>2004</v>
      </c>
      <c r="C105" s="40" t="s">
        <v>38</v>
      </c>
      <c r="D105" s="41"/>
      <c r="E105" s="41">
        <v>1</v>
      </c>
      <c r="F105" s="43"/>
      <c r="G105" s="44">
        <f>'G-36 Monthly Volumes'!N52</f>
        <v>10.080000000000041</v>
      </c>
      <c r="H105" s="12">
        <v>0</v>
      </c>
      <c r="I105" s="6">
        <v>0</v>
      </c>
      <c r="J105" s="13">
        <f t="shared" si="31"/>
        <v>0</v>
      </c>
      <c r="K105" s="12">
        <v>0</v>
      </c>
      <c r="L105" s="6">
        <v>0</v>
      </c>
      <c r="M105" s="13">
        <f t="shared" si="32"/>
        <v>0</v>
      </c>
      <c r="N105" s="19">
        <v>0.974486</v>
      </c>
      <c r="O105" s="13">
        <f t="shared" si="33"/>
        <v>9.822818880000039</v>
      </c>
      <c r="P105" s="19">
        <v>0</v>
      </c>
      <c r="Q105" s="13">
        <f t="shared" si="34"/>
        <v>0</v>
      </c>
      <c r="R105" s="13">
        <f t="shared" si="30"/>
        <v>9.822818880000039</v>
      </c>
    </row>
    <row r="106" spans="1:18" ht="15.75" thickBot="1">
      <c r="A106" s="59" t="s">
        <v>65</v>
      </c>
      <c r="B106" s="60"/>
      <c r="C106" s="61"/>
      <c r="D106" s="62">
        <f>SUM(D93:D105)</f>
        <v>11212</v>
      </c>
      <c r="E106" s="62"/>
      <c r="F106" s="62">
        <f>SUM(F93:F105)</f>
        <v>0</v>
      </c>
      <c r="G106" s="63">
        <f>SUM(G93:G105)</f>
        <v>6660.009999999999</v>
      </c>
      <c r="H106" s="64"/>
      <c r="I106" s="65"/>
      <c r="J106" s="66">
        <f>SUM(J93:J105)</f>
        <v>516.1601546</v>
      </c>
      <c r="K106" s="64"/>
      <c r="L106" s="65"/>
      <c r="M106" s="66">
        <f>SUM(M93:M105)</f>
        <v>1556.43625685</v>
      </c>
      <c r="N106" s="67"/>
      <c r="O106" s="66">
        <f>SUM(O93:O105)</f>
        <v>4876.38641316</v>
      </c>
      <c r="P106" s="67"/>
      <c r="Q106" s="66">
        <f>SUM(Q93:Q105)</f>
        <v>0</v>
      </c>
      <c r="R106" s="66">
        <f>SUM(R93:R105)</f>
        <v>6948.9828246100005</v>
      </c>
    </row>
    <row r="107" spans="1:18" ht="15">
      <c r="A107" s="16"/>
      <c r="B107" s="3"/>
      <c r="C107" s="3"/>
      <c r="D107" s="68"/>
      <c r="E107" s="68"/>
      <c r="F107" s="68"/>
      <c r="G107" s="69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22" t="s">
        <v>26</v>
      </c>
      <c r="B108" s="123"/>
      <c r="C108" s="123"/>
      <c r="D108" s="124"/>
      <c r="E108" s="124"/>
      <c r="F108" s="124">
        <f>F16+F31+F46+F61+F76+F91+F106</f>
        <v>152061539.13016644</v>
      </c>
      <c r="G108" s="124">
        <f>G16+G31+G46+G61+G76+G91+G106</f>
        <v>613212.34</v>
      </c>
      <c r="H108" s="122"/>
      <c r="I108" s="123"/>
      <c r="J108" s="125">
        <f>J16+J31+J46+J61+J76+J91+J106</f>
        <v>57036.372409816126</v>
      </c>
      <c r="K108" s="122"/>
      <c r="L108" s="123"/>
      <c r="M108" s="125">
        <f>M16+M31+M46+M61+M76+M91+M106</f>
        <v>171980.24791498404</v>
      </c>
      <c r="N108" s="122"/>
      <c r="O108" s="125">
        <f>O16+O31+O46+O61+O76+O91+O106</f>
        <v>458503.79163976567</v>
      </c>
      <c r="P108" s="122"/>
      <c r="Q108" s="125">
        <f>Q16+Q31+Q46+Q61+Q76+Q91+Q106</f>
        <v>0</v>
      </c>
      <c r="R108" s="125">
        <f>R16+R31+R46+R61+R76+R91+R106</f>
        <v>687520.4119645657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ht="15">
      <c r="F111" s="10"/>
    </row>
    <row r="114" spans="1:3" ht="15">
      <c r="A114" s="7"/>
      <c r="B114" s="7"/>
      <c r="C114" s="7"/>
    </row>
    <row r="115" spans="10:11" ht="15">
      <c r="J115" s="8"/>
      <c r="K115" s="2"/>
    </row>
    <row r="116" spans="10:11" ht="15">
      <c r="J116" s="8"/>
      <c r="K116" s="2"/>
    </row>
  </sheetData>
  <sheetProtection/>
  <printOptions/>
  <pageMargins left="0.45" right="0.45" top="0.75" bottom="0.75" header="0.3" footer="0.3"/>
  <pageSetup fitToHeight="2" fitToWidth="1" horizontalDpi="600" verticalDpi="600" orientation="landscape" scale="55" r:id="rId1"/>
  <headerFooter>
    <oddHeader>&amp;C&amp;A&amp;RWoodstock Hydro
EB-2011-0207
September 2011</oddHead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PageLayoutView="0" workbookViewId="0" topLeftCell="A85">
      <selection activeCell="X120" sqref="X120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8.57421875" style="0" bestFit="1" customWidth="1"/>
    <col min="4" max="4" width="10.421875" style="0" hidden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hidden="1" customWidth="1"/>
    <col min="9" max="9" width="12.7109375" style="0" hidden="1" customWidth="1"/>
    <col min="10" max="10" width="13.140625" style="0" hidden="1" customWidth="1"/>
    <col min="11" max="11" width="13.421875" style="0" hidden="1" customWidth="1"/>
    <col min="12" max="12" width="11.421875" style="0" hidden="1" customWidth="1"/>
    <col min="13" max="13" width="14.28125" style="0" hidden="1" customWidth="1"/>
    <col min="14" max="14" width="11.00390625" style="0" bestFit="1" customWidth="1"/>
    <col min="15" max="15" width="12.57421875" style="0" bestFit="1" customWidth="1"/>
    <col min="16" max="16" width="9.00390625" style="0" bestFit="1" customWidth="1"/>
    <col min="17" max="18" width="12.57421875" style="0" bestFit="1" customWidth="1"/>
  </cols>
  <sheetData>
    <row r="1" s="1" customFormat="1" ht="15.75" thickBot="1"/>
    <row r="2" spans="1:18" s="23" customFormat="1" ht="75">
      <c r="A2" s="37" t="s">
        <v>24</v>
      </c>
      <c r="B2" s="56"/>
      <c r="C2" s="38" t="s">
        <v>23</v>
      </c>
      <c r="D2" s="38" t="s">
        <v>58</v>
      </c>
      <c r="E2" s="38" t="s">
        <v>27</v>
      </c>
      <c r="F2" s="38" t="s">
        <v>89</v>
      </c>
      <c r="G2" s="39" t="s">
        <v>90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15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7" t="s">
        <v>0</v>
      </c>
      <c r="B3" s="57">
        <v>2005</v>
      </c>
      <c r="C3" s="40" t="s">
        <v>39</v>
      </c>
      <c r="D3" s="41"/>
      <c r="E3" s="41">
        <v>1</v>
      </c>
      <c r="F3" s="41">
        <f>'G-36 Monthly Volumes'!F4</f>
        <v>9721998.966942925</v>
      </c>
      <c r="G3" s="42"/>
      <c r="H3" s="12">
        <v>0</v>
      </c>
      <c r="I3" s="6">
        <v>0</v>
      </c>
      <c r="J3" s="13">
        <f aca="true" t="shared" si="0" ref="J3:J15">D3*E3*H3+(F3+G3)*I3</f>
        <v>0</v>
      </c>
      <c r="K3" s="12">
        <v>0</v>
      </c>
      <c r="L3" s="6">
        <v>0</v>
      </c>
      <c r="M3" s="13">
        <f aca="true" t="shared" si="1" ref="M3:M15">D3*E3*K3+(F3+G3)*L3</f>
        <v>0</v>
      </c>
      <c r="N3" s="19">
        <v>0.003565</v>
      </c>
      <c r="O3" s="13">
        <f aca="true" t="shared" si="2" ref="O3:O15">(F3+G3)*N3</f>
        <v>34658.92631715153</v>
      </c>
      <c r="P3" s="19">
        <v>0</v>
      </c>
      <c r="Q3" s="13">
        <f aca="true" t="shared" si="3" ref="Q3:Q15">(F3+G3)*P3</f>
        <v>0</v>
      </c>
      <c r="R3" s="13">
        <f>J3+M3+O3+Q3</f>
        <v>34658.92631715153</v>
      </c>
    </row>
    <row r="4" spans="1:18" ht="15">
      <c r="A4" s="27" t="s">
        <v>0</v>
      </c>
      <c r="B4" s="57">
        <v>2005</v>
      </c>
      <c r="C4" s="40" t="s">
        <v>40</v>
      </c>
      <c r="D4" s="41"/>
      <c r="E4" s="41">
        <v>1</v>
      </c>
      <c r="F4" s="41">
        <f>'G-36 Monthly Volumes'!F5</f>
        <v>10181795.189337686</v>
      </c>
      <c r="G4" s="42"/>
      <c r="H4" s="12">
        <v>0</v>
      </c>
      <c r="I4" s="6">
        <v>0</v>
      </c>
      <c r="J4" s="13">
        <f t="shared" si="0"/>
        <v>0</v>
      </c>
      <c r="K4" s="12">
        <v>0</v>
      </c>
      <c r="L4" s="6">
        <v>0</v>
      </c>
      <c r="M4" s="13">
        <f t="shared" si="1"/>
        <v>0</v>
      </c>
      <c r="N4" s="19">
        <v>0.003565</v>
      </c>
      <c r="O4" s="13">
        <f t="shared" si="2"/>
        <v>36298.09984998885</v>
      </c>
      <c r="P4" s="19">
        <v>0</v>
      </c>
      <c r="Q4" s="13">
        <f t="shared" si="3"/>
        <v>0</v>
      </c>
      <c r="R4" s="13">
        <f aca="true" t="shared" si="4" ref="R4:R15">J4+M4+O4+Q4</f>
        <v>36298.09984998885</v>
      </c>
    </row>
    <row r="5" spans="1:18" ht="15">
      <c r="A5" s="27" t="s">
        <v>0</v>
      </c>
      <c r="B5" s="57">
        <v>2005</v>
      </c>
      <c r="C5" s="40" t="s">
        <v>41</v>
      </c>
      <c r="D5" s="41"/>
      <c r="E5" s="41">
        <v>1</v>
      </c>
      <c r="F5" s="41">
        <f>'G-36 Monthly Volumes'!F6</f>
        <v>8620621.597979633</v>
      </c>
      <c r="G5" s="42"/>
      <c r="H5" s="12">
        <v>0</v>
      </c>
      <c r="I5" s="6">
        <v>0</v>
      </c>
      <c r="J5" s="13">
        <f t="shared" si="0"/>
        <v>0</v>
      </c>
      <c r="K5" s="12">
        <v>0</v>
      </c>
      <c r="L5" s="6">
        <v>0</v>
      </c>
      <c r="M5" s="13">
        <f t="shared" si="1"/>
        <v>0</v>
      </c>
      <c r="N5" s="19">
        <v>0.003565</v>
      </c>
      <c r="O5" s="13">
        <f t="shared" si="2"/>
        <v>30732.515996797392</v>
      </c>
      <c r="P5" s="19">
        <v>0</v>
      </c>
      <c r="Q5" s="13">
        <f t="shared" si="3"/>
        <v>0</v>
      </c>
      <c r="R5" s="13">
        <f t="shared" si="4"/>
        <v>30732.515996797392</v>
      </c>
    </row>
    <row r="6" spans="1:18" ht="15">
      <c r="A6" s="27" t="s">
        <v>0</v>
      </c>
      <c r="B6" s="57">
        <v>2005</v>
      </c>
      <c r="C6" s="40" t="s">
        <v>42</v>
      </c>
      <c r="D6" s="41"/>
      <c r="E6" s="41">
        <v>1</v>
      </c>
      <c r="F6" s="41">
        <f>'G-36 Monthly Volumes'!F7</f>
        <v>8927121.429983482</v>
      </c>
      <c r="G6" s="42"/>
      <c r="H6" s="12">
        <v>0</v>
      </c>
      <c r="I6" s="6">
        <v>0</v>
      </c>
      <c r="J6" s="13">
        <f t="shared" si="0"/>
        <v>0</v>
      </c>
      <c r="K6" s="12">
        <v>0</v>
      </c>
      <c r="L6" s="6">
        <v>0</v>
      </c>
      <c r="M6" s="13">
        <f t="shared" si="1"/>
        <v>0</v>
      </c>
      <c r="N6" s="19"/>
      <c r="O6" s="13">
        <f t="shared" si="2"/>
        <v>0</v>
      </c>
      <c r="P6" s="3">
        <v>0.0024</v>
      </c>
      <c r="Q6" s="13">
        <f t="shared" si="3"/>
        <v>21425.091431960354</v>
      </c>
      <c r="R6" s="13">
        <f t="shared" si="4"/>
        <v>21425.091431960354</v>
      </c>
    </row>
    <row r="7" spans="1:18" ht="15">
      <c r="A7" s="27" t="s">
        <v>0</v>
      </c>
      <c r="B7" s="57">
        <v>2005</v>
      </c>
      <c r="C7" s="40" t="s">
        <v>35</v>
      </c>
      <c r="D7" s="41"/>
      <c r="E7" s="41">
        <v>1</v>
      </c>
      <c r="F7" s="41">
        <f>'G-36 Monthly Volumes'!F8</f>
        <v>7267550.736226651</v>
      </c>
      <c r="G7" s="42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9"/>
      <c r="O7" s="13">
        <f t="shared" si="2"/>
        <v>0</v>
      </c>
      <c r="P7" s="3">
        <v>0.0024</v>
      </c>
      <c r="Q7" s="13">
        <f t="shared" si="3"/>
        <v>17442.12176694396</v>
      </c>
      <c r="R7" s="13">
        <f t="shared" si="4"/>
        <v>17442.12176694396</v>
      </c>
    </row>
    <row r="8" spans="1:18" ht="15">
      <c r="A8" s="27" t="s">
        <v>0</v>
      </c>
      <c r="B8" s="57">
        <v>2005</v>
      </c>
      <c r="C8" s="40" t="s">
        <v>43</v>
      </c>
      <c r="D8" s="41"/>
      <c r="E8" s="41">
        <v>1</v>
      </c>
      <c r="F8" s="41">
        <f>'G-36 Monthly Volumes'!F9</f>
        <v>7527523.248814206</v>
      </c>
      <c r="G8" s="42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/>
      <c r="O8" s="13">
        <f t="shared" si="2"/>
        <v>0</v>
      </c>
      <c r="P8" s="3">
        <v>0.0024</v>
      </c>
      <c r="Q8" s="13">
        <f t="shared" si="3"/>
        <v>18066.05579715409</v>
      </c>
      <c r="R8" s="13">
        <f t="shared" si="4"/>
        <v>18066.05579715409</v>
      </c>
    </row>
    <row r="9" spans="1:18" ht="15">
      <c r="A9" s="27" t="s">
        <v>0</v>
      </c>
      <c r="B9" s="57">
        <v>2005</v>
      </c>
      <c r="C9" s="40" t="s">
        <v>44</v>
      </c>
      <c r="D9" s="41"/>
      <c r="E9" s="41">
        <v>1</v>
      </c>
      <c r="F9" s="41">
        <f>'G-36 Monthly Volumes'!F10</f>
        <v>8526281.553687623</v>
      </c>
      <c r="G9" s="42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/>
      <c r="O9" s="13">
        <f t="shared" si="2"/>
        <v>0</v>
      </c>
      <c r="P9" s="3">
        <v>0.0024</v>
      </c>
      <c r="Q9" s="13">
        <f t="shared" si="3"/>
        <v>20463.075728850294</v>
      </c>
      <c r="R9" s="13">
        <f t="shared" si="4"/>
        <v>20463.075728850294</v>
      </c>
    </row>
    <row r="10" spans="1:18" ht="15">
      <c r="A10" s="27" t="s">
        <v>0</v>
      </c>
      <c r="B10" s="57">
        <v>2005</v>
      </c>
      <c r="C10" s="40" t="s">
        <v>45</v>
      </c>
      <c r="D10" s="41"/>
      <c r="E10" s="41">
        <v>1</v>
      </c>
      <c r="F10" s="41">
        <f>'G-36 Monthly Volumes'!F11</f>
        <v>10908968.598132815</v>
      </c>
      <c r="G10" s="42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/>
      <c r="O10" s="13">
        <f t="shared" si="2"/>
        <v>0</v>
      </c>
      <c r="P10" s="3">
        <v>0.0024</v>
      </c>
      <c r="Q10" s="13">
        <f t="shared" si="3"/>
        <v>26181.524635518756</v>
      </c>
      <c r="R10" s="13">
        <f t="shared" si="4"/>
        <v>26181.524635518756</v>
      </c>
    </row>
    <row r="11" spans="1:18" ht="15">
      <c r="A11" s="27" t="s">
        <v>0</v>
      </c>
      <c r="B11" s="57">
        <v>2005</v>
      </c>
      <c r="C11" s="40" t="s">
        <v>46</v>
      </c>
      <c r="D11" s="41"/>
      <c r="E11" s="41">
        <v>1</v>
      </c>
      <c r="F11" s="41">
        <f>'G-36 Monthly Volumes'!F12</f>
        <v>9941633.545955423</v>
      </c>
      <c r="G11" s="42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/>
      <c r="O11" s="13">
        <f t="shared" si="2"/>
        <v>0</v>
      </c>
      <c r="P11" s="3">
        <v>0.0024</v>
      </c>
      <c r="Q11" s="13">
        <f t="shared" si="3"/>
        <v>23859.920510293014</v>
      </c>
      <c r="R11" s="13">
        <f t="shared" si="4"/>
        <v>23859.920510293014</v>
      </c>
    </row>
    <row r="12" spans="1:18" ht="15">
      <c r="A12" s="27" t="s">
        <v>0</v>
      </c>
      <c r="B12" s="57">
        <v>2005</v>
      </c>
      <c r="C12" s="40" t="s">
        <v>47</v>
      </c>
      <c r="D12" s="41"/>
      <c r="E12" s="41">
        <v>1</v>
      </c>
      <c r="F12" s="41">
        <f>'G-36 Monthly Volumes'!F13</f>
        <v>8408384.62172909</v>
      </c>
      <c r="G12" s="42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/>
      <c r="O12" s="13">
        <f t="shared" si="2"/>
        <v>0</v>
      </c>
      <c r="P12" s="3">
        <v>0.0024</v>
      </c>
      <c r="Q12" s="13">
        <f t="shared" si="3"/>
        <v>20180.123092149817</v>
      </c>
      <c r="R12" s="13">
        <f t="shared" si="4"/>
        <v>20180.123092149817</v>
      </c>
    </row>
    <row r="13" spans="1:18" ht="15">
      <c r="A13" s="27" t="s">
        <v>0</v>
      </c>
      <c r="B13" s="57">
        <v>2005</v>
      </c>
      <c r="C13" s="40" t="s">
        <v>48</v>
      </c>
      <c r="D13" s="41"/>
      <c r="E13" s="41">
        <v>1</v>
      </c>
      <c r="F13" s="41">
        <f>'G-36 Monthly Volumes'!F14</f>
        <v>8236347.899787123</v>
      </c>
      <c r="G13" s="42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/>
      <c r="O13" s="13">
        <f t="shared" si="2"/>
        <v>0</v>
      </c>
      <c r="P13" s="3">
        <v>0.0024</v>
      </c>
      <c r="Q13" s="13">
        <f t="shared" si="3"/>
        <v>19767.234959489095</v>
      </c>
      <c r="R13" s="13">
        <f t="shared" si="4"/>
        <v>19767.234959489095</v>
      </c>
    </row>
    <row r="14" spans="1:18" ht="15">
      <c r="A14" s="27" t="s">
        <v>0</v>
      </c>
      <c r="B14" s="57">
        <v>2005</v>
      </c>
      <c r="C14" s="40" t="s">
        <v>49</v>
      </c>
      <c r="D14" s="41"/>
      <c r="E14" s="41">
        <v>1</v>
      </c>
      <c r="F14" s="41">
        <f>'G-36 Monthly Volumes'!F15</f>
        <v>7408788.221003642</v>
      </c>
      <c r="G14" s="42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/>
      <c r="O14" s="13">
        <f t="shared" si="2"/>
        <v>0</v>
      </c>
      <c r="P14" s="3">
        <v>0.0024</v>
      </c>
      <c r="Q14" s="13">
        <f t="shared" si="3"/>
        <v>17781.09173040874</v>
      </c>
      <c r="R14" s="13">
        <f t="shared" si="4"/>
        <v>17781.09173040874</v>
      </c>
    </row>
    <row r="15" spans="1:18" ht="15.75" thickBot="1">
      <c r="A15" s="27" t="s">
        <v>0</v>
      </c>
      <c r="B15" s="57">
        <v>2005</v>
      </c>
      <c r="C15" s="40" t="s">
        <v>38</v>
      </c>
      <c r="D15" s="41"/>
      <c r="E15" s="41">
        <v>1</v>
      </c>
      <c r="F15" s="41">
        <f>'G-36 Monthly Volumes'!F16</f>
        <v>4060279.9519999996</v>
      </c>
      <c r="G15" s="42"/>
      <c r="H15" s="12">
        <v>0</v>
      </c>
      <c r="I15" s="6">
        <v>0</v>
      </c>
      <c r="J15" s="13">
        <f t="shared" si="0"/>
        <v>0</v>
      </c>
      <c r="K15" s="12">
        <v>0</v>
      </c>
      <c r="L15" s="6">
        <v>0</v>
      </c>
      <c r="M15" s="13">
        <f t="shared" si="1"/>
        <v>0</v>
      </c>
      <c r="N15" s="19"/>
      <c r="O15" s="13">
        <f t="shared" si="2"/>
        <v>0</v>
      </c>
      <c r="P15" s="3">
        <v>0.0024</v>
      </c>
      <c r="Q15" s="13">
        <f t="shared" si="3"/>
        <v>9744.671884799998</v>
      </c>
      <c r="R15" s="13">
        <f t="shared" si="4"/>
        <v>9744.671884799998</v>
      </c>
    </row>
    <row r="16" spans="1:18" ht="15.75" thickBot="1">
      <c r="A16" s="59" t="s">
        <v>59</v>
      </c>
      <c r="B16" s="60"/>
      <c r="C16" s="61"/>
      <c r="D16" s="62">
        <f>SUM(D3:D15)</f>
        <v>0</v>
      </c>
      <c r="E16" s="62"/>
      <c r="F16" s="62">
        <f>SUM(F3:F15)</f>
        <v>109737295.5615803</v>
      </c>
      <c r="G16" s="63">
        <f>SUM(G3:G15)</f>
        <v>0</v>
      </c>
      <c r="H16" s="64"/>
      <c r="I16" s="65"/>
      <c r="J16" s="66">
        <f>SUM(J3:J15)</f>
        <v>0</v>
      </c>
      <c r="K16" s="64"/>
      <c r="L16" s="65"/>
      <c r="M16" s="66">
        <f>SUM(M3:M15)</f>
        <v>0</v>
      </c>
      <c r="N16" s="67"/>
      <c r="O16" s="66">
        <f>SUM(O3:O15)</f>
        <v>101689.54216393776</v>
      </c>
      <c r="P16" s="67"/>
      <c r="Q16" s="66">
        <f>SUM(Q3:Q15)</f>
        <v>194910.9115375681</v>
      </c>
      <c r="R16" s="66">
        <f>SUM(R3:R15)</f>
        <v>296600.45370150584</v>
      </c>
    </row>
    <row r="17" spans="1:18" ht="15">
      <c r="A17" s="27"/>
      <c r="B17" s="57"/>
      <c r="C17" s="40"/>
      <c r="D17" s="41"/>
      <c r="E17" s="41"/>
      <c r="F17" s="41"/>
      <c r="G17" s="42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7" t="s">
        <v>1</v>
      </c>
      <c r="B18" s="57">
        <v>2005</v>
      </c>
      <c r="C18" s="40" t="s">
        <v>39</v>
      </c>
      <c r="D18" s="41"/>
      <c r="E18" s="41">
        <v>1</v>
      </c>
      <c r="F18" s="41">
        <f>'G-36 Monthly Volumes'!F22</f>
        <v>4148879.5256411713</v>
      </c>
      <c r="G18" s="42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9">
        <v>0.001955</v>
      </c>
      <c r="O18" s="13">
        <f>(F18+G18)*N18</f>
        <v>8111.059472628491</v>
      </c>
      <c r="P18" s="19">
        <v>0</v>
      </c>
      <c r="Q18" s="13">
        <f>(F18+G18)*P18</f>
        <v>0</v>
      </c>
      <c r="R18" s="13">
        <f>J18+M18+O18+Q18</f>
        <v>8111.059472628491</v>
      </c>
    </row>
    <row r="19" spans="1:18" ht="15">
      <c r="A19" s="27" t="s">
        <v>1</v>
      </c>
      <c r="B19" s="57">
        <v>2005</v>
      </c>
      <c r="C19" s="40" t="s">
        <v>40</v>
      </c>
      <c r="D19" s="41"/>
      <c r="E19" s="41">
        <v>1</v>
      </c>
      <c r="F19" s="41">
        <f>'G-36 Monthly Volumes'!F23</f>
        <v>3389742.019712141</v>
      </c>
      <c r="G19" s="42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9">
        <v>0.001955</v>
      </c>
      <c r="O19" s="13">
        <f>(F19+G19)*N19</f>
        <v>6626.945648537236</v>
      </c>
      <c r="P19" s="19">
        <v>0</v>
      </c>
      <c r="Q19" s="13">
        <f>(F19+G19)*P19</f>
        <v>0</v>
      </c>
      <c r="R19" s="13">
        <f>J19+M19+O19+Q19</f>
        <v>6626.945648537236</v>
      </c>
    </row>
    <row r="20" spans="1:18" ht="15">
      <c r="A20" s="27" t="s">
        <v>1</v>
      </c>
      <c r="B20" s="57">
        <v>2005</v>
      </c>
      <c r="C20" s="40" t="s">
        <v>41</v>
      </c>
      <c r="D20" s="41"/>
      <c r="E20" s="41">
        <v>1</v>
      </c>
      <c r="F20" s="41">
        <f>'G-36 Monthly Volumes'!F24</f>
        <v>3525487.8226788016</v>
      </c>
      <c r="G20" s="42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9">
        <v>0.001955</v>
      </c>
      <c r="O20" s="13">
        <f>(F20+G20)*N20</f>
        <v>6892.328693337057</v>
      </c>
      <c r="P20" s="19">
        <v>0</v>
      </c>
      <c r="Q20" s="13">
        <f>(F20+G20)*P20</f>
        <v>0</v>
      </c>
      <c r="R20" s="13">
        <f>J20+M20+O20+Q20</f>
        <v>6892.328693337057</v>
      </c>
    </row>
    <row r="21" spans="1:18" ht="15">
      <c r="A21" s="27" t="s">
        <v>1</v>
      </c>
      <c r="B21" s="57">
        <v>2005</v>
      </c>
      <c r="C21" s="40" t="s">
        <v>42</v>
      </c>
      <c r="D21" s="41"/>
      <c r="E21" s="41">
        <v>1</v>
      </c>
      <c r="F21" s="41">
        <f>'G-36 Monthly Volumes'!F25</f>
        <v>3717152.7183582643</v>
      </c>
      <c r="G21" s="42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/>
      <c r="O21" s="13">
        <f>(F21+G21)*N21</f>
        <v>0</v>
      </c>
      <c r="P21" s="3">
        <v>0.0013</v>
      </c>
      <c r="Q21" s="13">
        <f>(F21+G21)*P21</f>
        <v>4832.298533865744</v>
      </c>
      <c r="R21" s="13">
        <f>J21+M21+O21+Q21</f>
        <v>4832.298533865744</v>
      </c>
    </row>
    <row r="22" spans="1:18" ht="15">
      <c r="A22" s="27" t="s">
        <v>1</v>
      </c>
      <c r="B22" s="57">
        <v>2005</v>
      </c>
      <c r="C22" s="40" t="s">
        <v>35</v>
      </c>
      <c r="D22" s="41"/>
      <c r="E22" s="41">
        <v>1</v>
      </c>
      <c r="F22" s="41">
        <f>'G-36 Monthly Volumes'!F26</f>
        <v>3075582.553444351</v>
      </c>
      <c r="G22" s="42"/>
      <c r="H22" s="12">
        <v>0</v>
      </c>
      <c r="I22" s="6">
        <v>0</v>
      </c>
      <c r="J22" s="13">
        <f aca="true" t="shared" si="5" ref="J22:J30">D22*E22*H22+(F22+G22)*I22</f>
        <v>0</v>
      </c>
      <c r="K22" s="12">
        <v>0</v>
      </c>
      <c r="L22" s="6">
        <v>0</v>
      </c>
      <c r="M22" s="13">
        <f aca="true" t="shared" si="6" ref="M22:M30">D22*E22*K22+(F22+G22)*L22</f>
        <v>0</v>
      </c>
      <c r="N22" s="19"/>
      <c r="O22" s="13">
        <f aca="true" t="shared" si="7" ref="O22:O30">(F22+G22)*N22</f>
        <v>0</v>
      </c>
      <c r="P22" s="3">
        <v>0.0013</v>
      </c>
      <c r="Q22" s="13">
        <f aca="true" t="shared" si="8" ref="Q22:Q30">(F22+G22)*P22</f>
        <v>3998.257319477656</v>
      </c>
      <c r="R22" s="13">
        <f aca="true" t="shared" si="9" ref="R22:R30">J22+M22+O22+Q22</f>
        <v>3998.257319477656</v>
      </c>
    </row>
    <row r="23" spans="1:18" ht="15">
      <c r="A23" s="27" t="s">
        <v>1</v>
      </c>
      <c r="B23" s="57">
        <v>2005</v>
      </c>
      <c r="C23" s="40" t="s">
        <v>43</v>
      </c>
      <c r="D23" s="41"/>
      <c r="E23" s="41">
        <v>1</v>
      </c>
      <c r="F23" s="41">
        <f>'G-36 Monthly Volumes'!F27</f>
        <v>3223495.4452905282</v>
      </c>
      <c r="G23" s="42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/>
      <c r="O23" s="13">
        <f t="shared" si="7"/>
        <v>0</v>
      </c>
      <c r="P23" s="3">
        <v>0.0013</v>
      </c>
      <c r="Q23" s="13">
        <f t="shared" si="8"/>
        <v>4190.544078877687</v>
      </c>
      <c r="R23" s="13">
        <f t="shared" si="9"/>
        <v>4190.544078877687</v>
      </c>
    </row>
    <row r="24" spans="1:18" ht="15">
      <c r="A24" s="27" t="s">
        <v>1</v>
      </c>
      <c r="B24" s="57">
        <v>2005</v>
      </c>
      <c r="C24" s="40" t="s">
        <v>44</v>
      </c>
      <c r="D24" s="41"/>
      <c r="E24" s="41">
        <v>1</v>
      </c>
      <c r="F24" s="41">
        <f>'G-36 Monthly Volumes'!F28</f>
        <v>4023588.7283705384</v>
      </c>
      <c r="G24" s="42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/>
      <c r="O24" s="13">
        <f t="shared" si="7"/>
        <v>0</v>
      </c>
      <c r="P24" s="3">
        <v>0.0013</v>
      </c>
      <c r="Q24" s="13">
        <f t="shared" si="8"/>
        <v>5230.665346881699</v>
      </c>
      <c r="R24" s="13">
        <f t="shared" si="9"/>
        <v>5230.665346881699</v>
      </c>
    </row>
    <row r="25" spans="1:18" ht="15">
      <c r="A25" s="27" t="s">
        <v>1</v>
      </c>
      <c r="B25" s="57">
        <v>2005</v>
      </c>
      <c r="C25" s="40" t="s">
        <v>45</v>
      </c>
      <c r="D25" s="41"/>
      <c r="E25" s="41">
        <v>1</v>
      </c>
      <c r="F25" s="41">
        <f>'G-36 Monthly Volumes'!F29</f>
        <v>3751103.78075194</v>
      </c>
      <c r="G25" s="42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/>
      <c r="O25" s="13">
        <f t="shared" si="7"/>
        <v>0</v>
      </c>
      <c r="P25" s="3">
        <v>0.0013</v>
      </c>
      <c r="Q25" s="13">
        <f t="shared" si="8"/>
        <v>4876.434914977522</v>
      </c>
      <c r="R25" s="13">
        <f t="shared" si="9"/>
        <v>4876.434914977522</v>
      </c>
    </row>
    <row r="26" spans="1:18" ht="15">
      <c r="A26" s="27" t="s">
        <v>1</v>
      </c>
      <c r="B26" s="57">
        <v>2005</v>
      </c>
      <c r="C26" s="40" t="s">
        <v>46</v>
      </c>
      <c r="D26" s="41"/>
      <c r="E26" s="41">
        <v>1</v>
      </c>
      <c r="F26" s="41">
        <f>'G-36 Monthly Volumes'!F30</f>
        <v>3795852.9518547175</v>
      </c>
      <c r="G26" s="42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/>
      <c r="O26" s="13">
        <f t="shared" si="7"/>
        <v>0</v>
      </c>
      <c r="P26" s="3">
        <v>0.0013</v>
      </c>
      <c r="Q26" s="13">
        <f t="shared" si="8"/>
        <v>4934.608837411132</v>
      </c>
      <c r="R26" s="13">
        <f t="shared" si="9"/>
        <v>4934.608837411132</v>
      </c>
    </row>
    <row r="27" spans="1:18" ht="15">
      <c r="A27" s="27" t="s">
        <v>1</v>
      </c>
      <c r="B27" s="57">
        <v>2005</v>
      </c>
      <c r="C27" s="40" t="s">
        <v>47</v>
      </c>
      <c r="D27" s="41"/>
      <c r="E27" s="41">
        <v>1</v>
      </c>
      <c r="F27" s="41">
        <f>'G-36 Monthly Volumes'!F31</f>
        <v>3378168.869898497</v>
      </c>
      <c r="G27" s="42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/>
      <c r="O27" s="13">
        <f t="shared" si="7"/>
        <v>0</v>
      </c>
      <c r="P27" s="3">
        <v>0.0013</v>
      </c>
      <c r="Q27" s="13">
        <f t="shared" si="8"/>
        <v>4391.619530868046</v>
      </c>
      <c r="R27" s="13">
        <f t="shared" si="9"/>
        <v>4391.619530868046</v>
      </c>
    </row>
    <row r="28" spans="1:18" ht="15">
      <c r="A28" s="27" t="s">
        <v>1</v>
      </c>
      <c r="B28" s="57">
        <v>2005</v>
      </c>
      <c r="C28" s="40" t="s">
        <v>48</v>
      </c>
      <c r="D28" s="41"/>
      <c r="E28" s="41">
        <v>1</v>
      </c>
      <c r="F28" s="41">
        <f>'G-36 Monthly Volumes'!F32</f>
        <v>3087839.212035993</v>
      </c>
      <c r="G28" s="42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/>
      <c r="O28" s="13">
        <f t="shared" si="7"/>
        <v>0</v>
      </c>
      <c r="P28" s="3">
        <v>0.0013</v>
      </c>
      <c r="Q28" s="13">
        <f t="shared" si="8"/>
        <v>4014.190975646791</v>
      </c>
      <c r="R28" s="13">
        <f t="shared" si="9"/>
        <v>4014.190975646791</v>
      </c>
    </row>
    <row r="29" spans="1:18" ht="15">
      <c r="A29" s="27" t="s">
        <v>1</v>
      </c>
      <c r="B29" s="57">
        <v>2005</v>
      </c>
      <c r="C29" s="40" t="s">
        <v>49</v>
      </c>
      <c r="D29" s="41"/>
      <c r="E29" s="41">
        <v>1</v>
      </c>
      <c r="F29" s="41">
        <f>'G-36 Monthly Volumes'!F33</f>
        <v>3149000.096288129</v>
      </c>
      <c r="G29" s="42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/>
      <c r="O29" s="13">
        <f t="shared" si="7"/>
        <v>0</v>
      </c>
      <c r="P29" s="3">
        <v>0.0013</v>
      </c>
      <c r="Q29" s="13">
        <f t="shared" si="8"/>
        <v>4093.700125174568</v>
      </c>
      <c r="R29" s="13">
        <f t="shared" si="9"/>
        <v>4093.700125174568</v>
      </c>
    </row>
    <row r="30" spans="1:18" ht="15.75" thickBot="1">
      <c r="A30" s="27" t="s">
        <v>1</v>
      </c>
      <c r="B30" s="57">
        <v>2005</v>
      </c>
      <c r="C30" s="40" t="s">
        <v>38</v>
      </c>
      <c r="D30" s="41"/>
      <c r="E30" s="41">
        <v>1</v>
      </c>
      <c r="F30" s="41">
        <f>'G-36 Monthly Volumes'!F34</f>
        <v>2224520.7223328985</v>
      </c>
      <c r="G30" s="42"/>
      <c r="H30" s="12">
        <v>0</v>
      </c>
      <c r="I30" s="6">
        <v>0</v>
      </c>
      <c r="J30" s="13">
        <f t="shared" si="5"/>
        <v>0</v>
      </c>
      <c r="K30" s="12">
        <v>0</v>
      </c>
      <c r="L30" s="6">
        <v>0</v>
      </c>
      <c r="M30" s="13">
        <f t="shared" si="6"/>
        <v>0</v>
      </c>
      <c r="N30" s="19"/>
      <c r="O30" s="13">
        <f t="shared" si="7"/>
        <v>0</v>
      </c>
      <c r="P30" s="3">
        <v>0.0013</v>
      </c>
      <c r="Q30" s="13">
        <f t="shared" si="8"/>
        <v>2891.876939032768</v>
      </c>
      <c r="R30" s="13">
        <f t="shared" si="9"/>
        <v>2891.876939032768</v>
      </c>
    </row>
    <row r="31" spans="1:18" ht="15.75" thickBot="1">
      <c r="A31" s="59" t="s">
        <v>60</v>
      </c>
      <c r="B31" s="60"/>
      <c r="C31" s="61"/>
      <c r="D31" s="62">
        <f>SUM(D18:D30)</f>
        <v>0</v>
      </c>
      <c r="E31" s="62"/>
      <c r="F31" s="62">
        <f>SUM(F18:F30)</f>
        <v>44490414.44665797</v>
      </c>
      <c r="G31" s="63">
        <f>SUM(G18:G30)</f>
        <v>0</v>
      </c>
      <c r="H31" s="64"/>
      <c r="I31" s="65"/>
      <c r="J31" s="66">
        <f>SUM(J18:J30)</f>
        <v>0</v>
      </c>
      <c r="K31" s="64"/>
      <c r="L31" s="65"/>
      <c r="M31" s="66">
        <f>SUM(M18:M30)</f>
        <v>0</v>
      </c>
      <c r="N31" s="67"/>
      <c r="O31" s="66">
        <f>SUM(O18:O30)</f>
        <v>21630.333814502785</v>
      </c>
      <c r="P31" s="67"/>
      <c r="Q31" s="66">
        <f>SUM(Q18:Q30)</f>
        <v>43454.19660221361</v>
      </c>
      <c r="R31" s="66">
        <f>SUM(R18:R30)</f>
        <v>65084.5304167164</v>
      </c>
    </row>
    <row r="32" spans="1:18" ht="15">
      <c r="A32" s="27"/>
      <c r="B32" s="57"/>
      <c r="C32" s="40"/>
      <c r="D32" s="41"/>
      <c r="E32" s="41"/>
      <c r="F32" s="41"/>
      <c r="G32" s="42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7" t="s">
        <v>8</v>
      </c>
      <c r="B33" s="57">
        <v>2005</v>
      </c>
      <c r="C33" s="40" t="s">
        <v>39</v>
      </c>
      <c r="D33" s="41"/>
      <c r="E33" s="41">
        <v>1</v>
      </c>
      <c r="F33" s="41">
        <f>'G-36 Monthly Volumes'!F40</f>
        <v>78692.5</v>
      </c>
      <c r="G33" s="42"/>
      <c r="H33" s="12">
        <v>0</v>
      </c>
      <c r="I33" s="6">
        <v>0</v>
      </c>
      <c r="J33" s="13">
        <f aca="true" t="shared" si="10" ref="J33:J45">D33*E33*H33+(F33+G33)*I33</f>
        <v>0</v>
      </c>
      <c r="K33" s="12">
        <v>0</v>
      </c>
      <c r="L33" s="6">
        <v>0</v>
      </c>
      <c r="M33" s="13">
        <f aca="true" t="shared" si="11" ref="M33:M45">D33*E33*K33+(F33+G33)*L33</f>
        <v>0</v>
      </c>
      <c r="N33" s="19">
        <v>0.001955</v>
      </c>
      <c r="O33" s="13">
        <f aca="true" t="shared" si="12" ref="O33:O45">(F33+G33)*N33</f>
        <v>153.8438375</v>
      </c>
      <c r="P33" s="19">
        <v>0</v>
      </c>
      <c r="Q33" s="13">
        <f>(F33+G33)*P33</f>
        <v>0</v>
      </c>
      <c r="R33" s="13">
        <f aca="true" t="shared" si="13" ref="R33:R45">J33+M33+O33+Q33</f>
        <v>153.8438375</v>
      </c>
    </row>
    <row r="34" spans="1:18" ht="15">
      <c r="A34" s="27" t="s">
        <v>8</v>
      </c>
      <c r="B34" s="57">
        <v>2005</v>
      </c>
      <c r="C34" s="40" t="s">
        <v>40</v>
      </c>
      <c r="D34" s="41"/>
      <c r="E34" s="41">
        <v>1</v>
      </c>
      <c r="F34" s="41">
        <f>'G-36 Monthly Volumes'!F41</f>
        <v>78692.5</v>
      </c>
      <c r="G34" s="42"/>
      <c r="H34" s="12">
        <v>0</v>
      </c>
      <c r="I34" s="6">
        <v>0</v>
      </c>
      <c r="J34" s="13">
        <f t="shared" si="10"/>
        <v>0</v>
      </c>
      <c r="K34" s="12">
        <v>0</v>
      </c>
      <c r="L34" s="6">
        <v>0</v>
      </c>
      <c r="M34" s="13">
        <f t="shared" si="11"/>
        <v>0</v>
      </c>
      <c r="N34" s="19">
        <v>0.001955</v>
      </c>
      <c r="O34" s="13">
        <f t="shared" si="12"/>
        <v>153.8438375</v>
      </c>
      <c r="P34" s="19">
        <v>0</v>
      </c>
      <c r="Q34" s="13">
        <f>(F34+G34)*P34</f>
        <v>0</v>
      </c>
      <c r="R34" s="13">
        <f t="shared" si="13"/>
        <v>153.8438375</v>
      </c>
    </row>
    <row r="35" spans="1:18" ht="15">
      <c r="A35" s="27" t="s">
        <v>8</v>
      </c>
      <c r="B35" s="57">
        <v>2005</v>
      </c>
      <c r="C35" s="40" t="s">
        <v>41</v>
      </c>
      <c r="D35" s="41"/>
      <c r="E35" s="41">
        <v>1</v>
      </c>
      <c r="F35" s="41">
        <f>'G-36 Monthly Volumes'!F42</f>
        <v>78692.5</v>
      </c>
      <c r="G35" s="42"/>
      <c r="H35" s="12">
        <v>0</v>
      </c>
      <c r="I35" s="6">
        <v>0</v>
      </c>
      <c r="J35" s="13">
        <f t="shared" si="10"/>
        <v>0</v>
      </c>
      <c r="K35" s="12">
        <v>0</v>
      </c>
      <c r="L35" s="6">
        <v>0</v>
      </c>
      <c r="M35" s="13">
        <f t="shared" si="11"/>
        <v>0</v>
      </c>
      <c r="N35" s="19">
        <v>0.001955</v>
      </c>
      <c r="O35" s="13">
        <f t="shared" si="12"/>
        <v>153.8438375</v>
      </c>
      <c r="P35" s="19">
        <v>0</v>
      </c>
      <c r="Q35" s="13">
        <f>(F35+G35)*P35</f>
        <v>0</v>
      </c>
      <c r="R35" s="13">
        <f t="shared" si="13"/>
        <v>153.8438375</v>
      </c>
    </row>
    <row r="36" spans="1:18" ht="15">
      <c r="A36" s="27" t="s">
        <v>8</v>
      </c>
      <c r="B36" s="57">
        <v>2005</v>
      </c>
      <c r="C36" s="40" t="s">
        <v>42</v>
      </c>
      <c r="D36" s="41"/>
      <c r="E36" s="41">
        <v>1</v>
      </c>
      <c r="F36" s="41">
        <f>'G-36 Monthly Volumes'!F43</f>
        <v>78692.5</v>
      </c>
      <c r="G36" s="42"/>
      <c r="H36" s="12">
        <v>0</v>
      </c>
      <c r="I36" s="6">
        <v>0</v>
      </c>
      <c r="J36" s="13">
        <f t="shared" si="10"/>
        <v>0</v>
      </c>
      <c r="K36" s="12">
        <v>0</v>
      </c>
      <c r="L36" s="6">
        <v>0</v>
      </c>
      <c r="M36" s="13">
        <f t="shared" si="11"/>
        <v>0</v>
      </c>
      <c r="N36" s="19"/>
      <c r="O36" s="13">
        <f t="shared" si="12"/>
        <v>0</v>
      </c>
      <c r="P36" s="3">
        <v>0.0013</v>
      </c>
      <c r="Q36" s="13">
        <f>(F36+G36)*P36</f>
        <v>102.30024999999999</v>
      </c>
      <c r="R36" s="13">
        <f t="shared" si="13"/>
        <v>102.30024999999999</v>
      </c>
    </row>
    <row r="37" spans="1:18" ht="15">
      <c r="A37" s="27" t="s">
        <v>8</v>
      </c>
      <c r="B37" s="57">
        <v>2005</v>
      </c>
      <c r="C37" s="40" t="s">
        <v>35</v>
      </c>
      <c r="D37" s="41"/>
      <c r="E37" s="41">
        <v>1</v>
      </c>
      <c r="F37" s="41">
        <f>'G-36 Monthly Volumes'!F44</f>
        <v>78692.5</v>
      </c>
      <c r="G37" s="42"/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9"/>
      <c r="O37" s="13">
        <f t="shared" si="12"/>
        <v>0</v>
      </c>
      <c r="P37" s="3">
        <v>0.0013</v>
      </c>
      <c r="Q37" s="13">
        <f aca="true" t="shared" si="14" ref="Q37:Q45">(F37+G37)*P37</f>
        <v>102.30024999999999</v>
      </c>
      <c r="R37" s="13">
        <f t="shared" si="13"/>
        <v>102.30024999999999</v>
      </c>
    </row>
    <row r="38" spans="1:18" ht="15">
      <c r="A38" s="27" t="s">
        <v>8</v>
      </c>
      <c r="B38" s="57">
        <v>2005</v>
      </c>
      <c r="C38" s="40" t="s">
        <v>43</v>
      </c>
      <c r="D38" s="41"/>
      <c r="E38" s="41">
        <v>1</v>
      </c>
      <c r="F38" s="41">
        <f>'G-36 Monthly Volumes'!F45</f>
        <v>78692.5</v>
      </c>
      <c r="G38" s="42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3">
        <v>0.0013</v>
      </c>
      <c r="Q38" s="13">
        <f t="shared" si="14"/>
        <v>102.30024999999999</v>
      </c>
      <c r="R38" s="13">
        <f t="shared" si="13"/>
        <v>102.30024999999999</v>
      </c>
    </row>
    <row r="39" spans="1:18" ht="15">
      <c r="A39" s="27" t="s">
        <v>8</v>
      </c>
      <c r="B39" s="57">
        <v>2005</v>
      </c>
      <c r="C39" s="40" t="s">
        <v>44</v>
      </c>
      <c r="D39" s="41"/>
      <c r="E39" s="41">
        <v>1</v>
      </c>
      <c r="F39" s="41">
        <f>'G-36 Monthly Volumes'!F46</f>
        <v>78692.5</v>
      </c>
      <c r="G39" s="42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3">
        <v>0.0013</v>
      </c>
      <c r="Q39" s="13">
        <f t="shared" si="14"/>
        <v>102.30024999999999</v>
      </c>
      <c r="R39" s="13">
        <f t="shared" si="13"/>
        <v>102.30024999999999</v>
      </c>
    </row>
    <row r="40" spans="1:18" ht="15">
      <c r="A40" s="27" t="s">
        <v>8</v>
      </c>
      <c r="B40" s="57">
        <v>2005</v>
      </c>
      <c r="C40" s="40" t="s">
        <v>45</v>
      </c>
      <c r="D40" s="41"/>
      <c r="E40" s="41">
        <v>1</v>
      </c>
      <c r="F40" s="41">
        <f>'G-36 Monthly Volumes'!F47</f>
        <v>78692.5</v>
      </c>
      <c r="G40" s="42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3">
        <v>0.0013</v>
      </c>
      <c r="Q40" s="13">
        <f t="shared" si="14"/>
        <v>102.30024999999999</v>
      </c>
      <c r="R40" s="13">
        <f t="shared" si="13"/>
        <v>102.30024999999999</v>
      </c>
    </row>
    <row r="41" spans="1:18" ht="15">
      <c r="A41" s="27" t="s">
        <v>8</v>
      </c>
      <c r="B41" s="57">
        <v>2005</v>
      </c>
      <c r="C41" s="40" t="s">
        <v>46</v>
      </c>
      <c r="D41" s="41"/>
      <c r="E41" s="41">
        <v>1</v>
      </c>
      <c r="F41" s="41">
        <f>'G-36 Monthly Volumes'!F48</f>
        <v>78692.5</v>
      </c>
      <c r="G41" s="42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3">
        <v>0.0013</v>
      </c>
      <c r="Q41" s="13">
        <f t="shared" si="14"/>
        <v>102.30024999999999</v>
      </c>
      <c r="R41" s="13">
        <f t="shared" si="13"/>
        <v>102.30024999999999</v>
      </c>
    </row>
    <row r="42" spans="1:18" ht="15">
      <c r="A42" s="27" t="s">
        <v>8</v>
      </c>
      <c r="B42" s="57">
        <v>2005</v>
      </c>
      <c r="C42" s="40" t="s">
        <v>47</v>
      </c>
      <c r="D42" s="41"/>
      <c r="E42" s="41">
        <v>1</v>
      </c>
      <c r="F42" s="41">
        <f>'G-36 Monthly Volumes'!F49</f>
        <v>78692.5</v>
      </c>
      <c r="G42" s="42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3">
        <v>0.0013</v>
      </c>
      <c r="Q42" s="13">
        <f t="shared" si="14"/>
        <v>102.30024999999999</v>
      </c>
      <c r="R42" s="13">
        <f t="shared" si="13"/>
        <v>102.30024999999999</v>
      </c>
    </row>
    <row r="43" spans="1:18" ht="15">
      <c r="A43" s="27" t="s">
        <v>8</v>
      </c>
      <c r="B43" s="57">
        <v>2005</v>
      </c>
      <c r="C43" s="40" t="s">
        <v>48</v>
      </c>
      <c r="D43" s="41"/>
      <c r="E43" s="41">
        <v>1</v>
      </c>
      <c r="F43" s="41">
        <f>'G-36 Monthly Volumes'!F50</f>
        <v>78692.5</v>
      </c>
      <c r="G43" s="42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3">
        <v>0.0013</v>
      </c>
      <c r="Q43" s="13">
        <f t="shared" si="14"/>
        <v>102.30024999999999</v>
      </c>
      <c r="R43" s="13">
        <f t="shared" si="13"/>
        <v>102.30024999999999</v>
      </c>
    </row>
    <row r="44" spans="1:18" ht="15">
      <c r="A44" s="27" t="s">
        <v>8</v>
      </c>
      <c r="B44" s="57">
        <v>2005</v>
      </c>
      <c r="C44" s="40" t="s">
        <v>49</v>
      </c>
      <c r="D44" s="41"/>
      <c r="E44" s="41">
        <v>1</v>
      </c>
      <c r="F44" s="41">
        <f>'G-36 Monthly Volumes'!F51</f>
        <v>78692.5</v>
      </c>
      <c r="G44" s="42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3">
        <v>0.0013</v>
      </c>
      <c r="Q44" s="13">
        <f t="shared" si="14"/>
        <v>102.30024999999999</v>
      </c>
      <c r="R44" s="13">
        <f t="shared" si="13"/>
        <v>102.30024999999999</v>
      </c>
    </row>
    <row r="45" spans="1:18" ht="15.75" thickBot="1">
      <c r="A45" s="27" t="s">
        <v>8</v>
      </c>
      <c r="B45" s="57">
        <v>2005</v>
      </c>
      <c r="C45" s="40" t="s">
        <v>38</v>
      </c>
      <c r="D45" s="41"/>
      <c r="E45" s="41">
        <v>1</v>
      </c>
      <c r="F45" s="41">
        <f>'G-36 Monthly Volumes'!E52</f>
        <v>0</v>
      </c>
      <c r="G45" s="42"/>
      <c r="H45" s="12">
        <v>0</v>
      </c>
      <c r="I45" s="6">
        <v>0</v>
      </c>
      <c r="J45" s="13">
        <f t="shared" si="10"/>
        <v>0</v>
      </c>
      <c r="K45" s="12">
        <v>0</v>
      </c>
      <c r="L45" s="6">
        <v>0</v>
      </c>
      <c r="M45" s="13">
        <f t="shared" si="11"/>
        <v>0</v>
      </c>
      <c r="N45" s="19"/>
      <c r="O45" s="13">
        <f t="shared" si="12"/>
        <v>0</v>
      </c>
      <c r="P45" s="3">
        <v>0.0013</v>
      </c>
      <c r="Q45" s="13">
        <f t="shared" si="14"/>
        <v>0</v>
      </c>
      <c r="R45" s="13">
        <f t="shared" si="13"/>
        <v>0</v>
      </c>
    </row>
    <row r="46" spans="1:18" ht="15.75" thickBot="1">
      <c r="A46" s="59" t="s">
        <v>61</v>
      </c>
      <c r="B46" s="60"/>
      <c r="C46" s="61"/>
      <c r="D46" s="62">
        <f>SUM(D33:D45)</f>
        <v>0</v>
      </c>
      <c r="E46" s="62"/>
      <c r="F46" s="62">
        <f>SUM(F33:F45)</f>
        <v>944310</v>
      </c>
      <c r="G46" s="63">
        <f>SUM(G33:G45)</f>
        <v>0</v>
      </c>
      <c r="H46" s="64"/>
      <c r="I46" s="65"/>
      <c r="J46" s="66">
        <f>SUM(J33:J45)</f>
        <v>0</v>
      </c>
      <c r="K46" s="64"/>
      <c r="L46" s="65"/>
      <c r="M46" s="66">
        <f>SUM(M33:M45)</f>
        <v>0</v>
      </c>
      <c r="N46" s="67"/>
      <c r="O46" s="66">
        <f>SUM(O33:O45)</f>
        <v>461.5315125</v>
      </c>
      <c r="P46" s="67"/>
      <c r="Q46" s="66">
        <f>SUM(Q33:Q45)</f>
        <v>920.7022499999999</v>
      </c>
      <c r="R46" s="66">
        <f>SUM(R33:R45)</f>
        <v>1382.2337625</v>
      </c>
    </row>
    <row r="47" spans="1:18" ht="15">
      <c r="A47" s="27"/>
      <c r="B47" s="57"/>
      <c r="C47" s="40"/>
      <c r="D47" s="41"/>
      <c r="E47" s="41"/>
      <c r="F47" s="43"/>
      <c r="G47" s="58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7" t="s">
        <v>2</v>
      </c>
      <c r="B48" s="57">
        <v>2005</v>
      </c>
      <c r="C48" s="40" t="s">
        <v>39</v>
      </c>
      <c r="D48" s="41"/>
      <c r="E48" s="41">
        <v>1</v>
      </c>
      <c r="F48" s="43"/>
      <c r="G48" s="44">
        <f>'G-36 Monthly Volumes'!O4</f>
        <v>44918.83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9">
        <v>0.241274</v>
      </c>
      <c r="O48" s="13">
        <f>(F48+G48)*N48</f>
        <v>10837.74578942</v>
      </c>
      <c r="P48" s="19">
        <v>0</v>
      </c>
      <c r="Q48" s="13">
        <f>(F48+G48)*P48</f>
        <v>0</v>
      </c>
      <c r="R48" s="13">
        <f>J48+M48+O48+Q48</f>
        <v>10837.74578942</v>
      </c>
    </row>
    <row r="49" spans="1:18" ht="15">
      <c r="A49" s="27" t="s">
        <v>2</v>
      </c>
      <c r="B49" s="57">
        <v>2005</v>
      </c>
      <c r="C49" s="40" t="s">
        <v>40</v>
      </c>
      <c r="D49" s="41"/>
      <c r="E49" s="41">
        <v>1</v>
      </c>
      <c r="F49" s="43"/>
      <c r="G49" s="44">
        <f>'G-36 Monthly Volumes'!O5</f>
        <v>45667.72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9">
        <v>0.241274</v>
      </c>
      <c r="O49" s="13">
        <f>(F49+G49)*N49</f>
        <v>11018.43347528</v>
      </c>
      <c r="P49" s="19">
        <v>0</v>
      </c>
      <c r="Q49" s="13">
        <f>(F49+G49)*P49</f>
        <v>0</v>
      </c>
      <c r="R49" s="13">
        <f>J49+M49+O49+Q49</f>
        <v>11018.43347528</v>
      </c>
    </row>
    <row r="50" spans="1:18" ht="15">
      <c r="A50" s="27" t="s">
        <v>2</v>
      </c>
      <c r="B50" s="57">
        <v>2005</v>
      </c>
      <c r="C50" s="40" t="s">
        <v>41</v>
      </c>
      <c r="D50" s="41"/>
      <c r="E50" s="41">
        <v>1</v>
      </c>
      <c r="F50" s="43"/>
      <c r="G50" s="44">
        <f>'G-36 Monthly Volumes'!O6</f>
        <v>44940.5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9">
        <v>0.241274</v>
      </c>
      <c r="O50" s="13">
        <f>(F50+G50)*N50</f>
        <v>10842.974197</v>
      </c>
      <c r="P50" s="19">
        <v>0</v>
      </c>
      <c r="Q50" s="13">
        <f>(F50+G50)*P50</f>
        <v>0</v>
      </c>
      <c r="R50" s="13">
        <f>J50+M50+O50+Q50</f>
        <v>10842.974197</v>
      </c>
    </row>
    <row r="51" spans="1:18" ht="15">
      <c r="A51" s="27" t="s">
        <v>2</v>
      </c>
      <c r="B51" s="57">
        <v>2005</v>
      </c>
      <c r="C51" s="40" t="s">
        <v>42</v>
      </c>
      <c r="D51" s="41"/>
      <c r="E51" s="41">
        <v>1</v>
      </c>
      <c r="F51" s="43"/>
      <c r="G51" s="44">
        <f>'G-36 Monthly Volumes'!O7</f>
        <v>45836.65000000001</v>
      </c>
      <c r="H51" s="12">
        <v>0</v>
      </c>
      <c r="I51" s="6">
        <v>0</v>
      </c>
      <c r="J51" s="13">
        <f>D51*E51*H51+(F51+G51)*I51</f>
        <v>0</v>
      </c>
      <c r="K51" s="12">
        <v>0</v>
      </c>
      <c r="L51" s="6">
        <v>0</v>
      </c>
      <c r="M51" s="13">
        <f>D51*E51*K51+(F51+G51)*L51</f>
        <v>0</v>
      </c>
      <c r="N51" s="19"/>
      <c r="O51" s="13">
        <f>(F51+G51)*N51</f>
        <v>0</v>
      </c>
      <c r="P51" s="3">
        <v>0.1666</v>
      </c>
      <c r="Q51" s="13">
        <f>(F51+G51)*P51</f>
        <v>7636.385890000001</v>
      </c>
      <c r="R51" s="13">
        <f>J51+M51+O51+Q51</f>
        <v>7636.385890000001</v>
      </c>
    </row>
    <row r="52" spans="1:18" ht="15">
      <c r="A52" s="27" t="s">
        <v>2</v>
      </c>
      <c r="B52" s="57">
        <v>2005</v>
      </c>
      <c r="C52" s="40" t="s">
        <v>35</v>
      </c>
      <c r="D52" s="41"/>
      <c r="E52" s="41">
        <v>1</v>
      </c>
      <c r="F52" s="43"/>
      <c r="G52" s="44">
        <f>'G-36 Monthly Volumes'!O8</f>
        <v>45423.97</v>
      </c>
      <c r="H52" s="12">
        <v>0</v>
      </c>
      <c r="I52" s="6">
        <v>0</v>
      </c>
      <c r="J52" s="13">
        <f aca="true" t="shared" si="15" ref="J52:J60">D52*E52*H52+(F52+G52)*I52</f>
        <v>0</v>
      </c>
      <c r="K52" s="12">
        <v>0</v>
      </c>
      <c r="L52" s="6">
        <v>0</v>
      </c>
      <c r="M52" s="13">
        <f aca="true" t="shared" si="16" ref="M52:M60">D52*E52*K52+(F52+G52)*L52</f>
        <v>0</v>
      </c>
      <c r="N52" s="19"/>
      <c r="O52" s="13">
        <f aca="true" t="shared" si="17" ref="O52:O60">(F52+G52)*N52</f>
        <v>0</v>
      </c>
      <c r="P52" s="3">
        <v>0.1666</v>
      </c>
      <c r="Q52" s="13">
        <f aca="true" t="shared" si="18" ref="Q52:Q60">(F52+G52)*P52</f>
        <v>7567.633402</v>
      </c>
      <c r="R52" s="13">
        <f aca="true" t="shared" si="19" ref="R52:R60">J52+M52+O52+Q52</f>
        <v>7567.633402</v>
      </c>
    </row>
    <row r="53" spans="1:18" ht="15">
      <c r="A53" s="27" t="s">
        <v>2</v>
      </c>
      <c r="B53" s="57">
        <v>2005</v>
      </c>
      <c r="C53" s="40" t="s">
        <v>43</v>
      </c>
      <c r="D53" s="41"/>
      <c r="E53" s="41">
        <v>1</v>
      </c>
      <c r="F53" s="43"/>
      <c r="G53" s="44">
        <f>'G-36 Monthly Volumes'!O9</f>
        <v>46841.61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9"/>
      <c r="O53" s="13">
        <f t="shared" si="17"/>
        <v>0</v>
      </c>
      <c r="P53" s="3">
        <v>0.1666</v>
      </c>
      <c r="Q53" s="13">
        <f t="shared" si="18"/>
        <v>7803.812226</v>
      </c>
      <c r="R53" s="13">
        <f t="shared" si="19"/>
        <v>7803.812226</v>
      </c>
    </row>
    <row r="54" spans="1:18" ht="15">
      <c r="A54" s="27" t="s">
        <v>2</v>
      </c>
      <c r="B54" s="57">
        <v>2005</v>
      </c>
      <c r="C54" s="40" t="s">
        <v>44</v>
      </c>
      <c r="D54" s="41"/>
      <c r="E54" s="41">
        <v>1</v>
      </c>
      <c r="F54" s="43"/>
      <c r="G54" s="44">
        <f>'G-36 Monthly Volumes'!O10</f>
        <v>50208.16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9"/>
      <c r="O54" s="13">
        <f t="shared" si="17"/>
        <v>0</v>
      </c>
      <c r="P54" s="3">
        <v>0.1666</v>
      </c>
      <c r="Q54" s="13">
        <f t="shared" si="18"/>
        <v>8364.679456</v>
      </c>
      <c r="R54" s="13">
        <f t="shared" si="19"/>
        <v>8364.679456</v>
      </c>
    </row>
    <row r="55" spans="1:18" ht="15">
      <c r="A55" s="27" t="s">
        <v>2</v>
      </c>
      <c r="B55" s="57">
        <v>2005</v>
      </c>
      <c r="C55" s="40" t="s">
        <v>45</v>
      </c>
      <c r="D55" s="41"/>
      <c r="E55" s="41">
        <v>1</v>
      </c>
      <c r="F55" s="43"/>
      <c r="G55" s="44">
        <f>'G-36 Monthly Volumes'!O11</f>
        <v>48168.1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9"/>
      <c r="O55" s="13">
        <f t="shared" si="17"/>
        <v>0</v>
      </c>
      <c r="P55" s="3">
        <v>0.1666</v>
      </c>
      <c r="Q55" s="13">
        <f t="shared" si="18"/>
        <v>8024.80546</v>
      </c>
      <c r="R55" s="13">
        <f t="shared" si="19"/>
        <v>8024.80546</v>
      </c>
    </row>
    <row r="56" spans="1:18" ht="15">
      <c r="A56" s="27" t="s">
        <v>2</v>
      </c>
      <c r="B56" s="57">
        <v>2005</v>
      </c>
      <c r="C56" s="40" t="s">
        <v>46</v>
      </c>
      <c r="D56" s="41"/>
      <c r="E56" s="41">
        <v>1</v>
      </c>
      <c r="F56" s="43"/>
      <c r="G56" s="44">
        <f>'G-36 Monthly Volumes'!O12</f>
        <v>49120.53999999999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9"/>
      <c r="O56" s="13">
        <f t="shared" si="17"/>
        <v>0</v>
      </c>
      <c r="P56" s="3">
        <v>0.1666</v>
      </c>
      <c r="Q56" s="13">
        <f t="shared" si="18"/>
        <v>8183.481963999999</v>
      </c>
      <c r="R56" s="13">
        <f t="shared" si="19"/>
        <v>8183.481963999999</v>
      </c>
    </row>
    <row r="57" spans="1:18" ht="15">
      <c r="A57" s="27" t="s">
        <v>2</v>
      </c>
      <c r="B57" s="57">
        <v>2005</v>
      </c>
      <c r="C57" s="40" t="s">
        <v>47</v>
      </c>
      <c r="D57" s="41"/>
      <c r="E57" s="41">
        <v>1</v>
      </c>
      <c r="F57" s="43"/>
      <c r="G57" s="44">
        <f>'G-36 Monthly Volumes'!O13</f>
        <v>52515.75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9"/>
      <c r="O57" s="13">
        <f t="shared" si="17"/>
        <v>0</v>
      </c>
      <c r="P57" s="3">
        <v>0.1666</v>
      </c>
      <c r="Q57" s="13">
        <f t="shared" si="18"/>
        <v>8749.12395</v>
      </c>
      <c r="R57" s="13">
        <f t="shared" si="19"/>
        <v>8749.12395</v>
      </c>
    </row>
    <row r="58" spans="1:18" ht="15">
      <c r="A58" s="27" t="s">
        <v>2</v>
      </c>
      <c r="B58" s="57">
        <v>2005</v>
      </c>
      <c r="C58" s="40" t="s">
        <v>48</v>
      </c>
      <c r="D58" s="41"/>
      <c r="E58" s="41">
        <v>1</v>
      </c>
      <c r="F58" s="43"/>
      <c r="G58" s="44">
        <f>'G-36 Monthly Volumes'!O14</f>
        <v>51056.119999999995</v>
      </c>
      <c r="H58" s="12">
        <v>0</v>
      </c>
      <c r="I58" s="6">
        <v>0</v>
      </c>
      <c r="J58" s="13">
        <f t="shared" si="15"/>
        <v>0</v>
      </c>
      <c r="K58" s="12">
        <v>0</v>
      </c>
      <c r="L58" s="6">
        <v>0</v>
      </c>
      <c r="M58" s="13">
        <f t="shared" si="16"/>
        <v>0</v>
      </c>
      <c r="N58" s="19"/>
      <c r="O58" s="13">
        <f t="shared" si="17"/>
        <v>0</v>
      </c>
      <c r="P58" s="3">
        <v>0.1666</v>
      </c>
      <c r="Q58" s="13">
        <f t="shared" si="18"/>
        <v>8505.949591999999</v>
      </c>
      <c r="R58" s="13">
        <f t="shared" si="19"/>
        <v>8505.949591999999</v>
      </c>
    </row>
    <row r="59" spans="1:18" ht="15">
      <c r="A59" s="27" t="s">
        <v>2</v>
      </c>
      <c r="B59" s="57">
        <v>2005</v>
      </c>
      <c r="C59" s="40" t="s">
        <v>49</v>
      </c>
      <c r="D59" s="41"/>
      <c r="E59" s="41">
        <v>1</v>
      </c>
      <c r="F59" s="43"/>
      <c r="G59" s="44">
        <f>'G-36 Monthly Volumes'!O15</f>
        <v>50594.88</v>
      </c>
      <c r="H59" s="12">
        <v>0</v>
      </c>
      <c r="I59" s="6">
        <v>0</v>
      </c>
      <c r="J59" s="13">
        <f t="shared" si="15"/>
        <v>0</v>
      </c>
      <c r="K59" s="12">
        <v>0</v>
      </c>
      <c r="L59" s="6">
        <v>0</v>
      </c>
      <c r="M59" s="13">
        <f t="shared" si="16"/>
        <v>0</v>
      </c>
      <c r="N59" s="19"/>
      <c r="O59" s="13">
        <f t="shared" si="17"/>
        <v>0</v>
      </c>
      <c r="P59" s="3">
        <v>0.1666</v>
      </c>
      <c r="Q59" s="13">
        <f t="shared" si="18"/>
        <v>8429.107007999999</v>
      </c>
      <c r="R59" s="13">
        <f t="shared" si="19"/>
        <v>8429.107007999999</v>
      </c>
    </row>
    <row r="60" spans="1:18" ht="16.5" customHeight="1" thickBot="1">
      <c r="A60" s="27" t="s">
        <v>2</v>
      </c>
      <c r="B60" s="57">
        <v>2005</v>
      </c>
      <c r="C60" s="40" t="s">
        <v>38</v>
      </c>
      <c r="D60" s="41"/>
      <c r="E60" s="41">
        <v>1</v>
      </c>
      <c r="F60" s="43"/>
      <c r="G60" s="44">
        <f>'G-36 Monthly Volumes'!O16</f>
        <v>5222.059999999998</v>
      </c>
      <c r="H60" s="12">
        <v>0</v>
      </c>
      <c r="I60" s="6">
        <v>0</v>
      </c>
      <c r="J60" s="13">
        <f t="shared" si="15"/>
        <v>0</v>
      </c>
      <c r="K60" s="12">
        <v>0</v>
      </c>
      <c r="L60" s="6">
        <v>0</v>
      </c>
      <c r="M60" s="13">
        <f t="shared" si="16"/>
        <v>0</v>
      </c>
      <c r="N60" s="19"/>
      <c r="O60" s="13">
        <f t="shared" si="17"/>
        <v>0</v>
      </c>
      <c r="P60" s="3">
        <v>0.1666</v>
      </c>
      <c r="Q60" s="13">
        <f t="shared" si="18"/>
        <v>869.9951959999996</v>
      </c>
      <c r="R60" s="13">
        <f t="shared" si="19"/>
        <v>869.9951959999996</v>
      </c>
    </row>
    <row r="61" spans="1:18" ht="15.75" thickBot="1">
      <c r="A61" s="59" t="s">
        <v>62</v>
      </c>
      <c r="B61" s="60"/>
      <c r="C61" s="61"/>
      <c r="D61" s="62">
        <f>SUM(D48:D60)</f>
        <v>0</v>
      </c>
      <c r="E61" s="62"/>
      <c r="F61" s="62">
        <f>SUM(F48:F60)</f>
        <v>0</v>
      </c>
      <c r="G61" s="63">
        <f>SUM(G48:G60)</f>
        <v>580514.8899999999</v>
      </c>
      <c r="H61" s="64"/>
      <c r="I61" s="65"/>
      <c r="J61" s="66">
        <f>SUM(J48:J60)</f>
        <v>0</v>
      </c>
      <c r="K61" s="64"/>
      <c r="L61" s="65"/>
      <c r="M61" s="66">
        <f>SUM(M48:M60)</f>
        <v>0</v>
      </c>
      <c r="N61" s="67"/>
      <c r="O61" s="66">
        <f>SUM(O48:O60)</f>
        <v>32699.1534617</v>
      </c>
      <c r="P61" s="67"/>
      <c r="Q61" s="66">
        <f>SUM(Q48:Q60)</f>
        <v>74134.97414399999</v>
      </c>
      <c r="R61" s="66">
        <f>SUM(R48:R60)</f>
        <v>106834.12760569999</v>
      </c>
    </row>
    <row r="62" spans="1:18" ht="15">
      <c r="A62" s="27"/>
      <c r="B62" s="57"/>
      <c r="C62" s="40"/>
      <c r="D62" s="41"/>
      <c r="E62" s="41"/>
      <c r="F62" s="43"/>
      <c r="G62" s="44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7" t="s">
        <v>3</v>
      </c>
      <c r="B63" s="57">
        <v>2005</v>
      </c>
      <c r="C63" s="40" t="s">
        <v>39</v>
      </c>
      <c r="D63" s="41"/>
      <c r="E63" s="41">
        <v>1</v>
      </c>
      <c r="F63" s="43"/>
      <c r="G63" s="44">
        <f>'G-36 Monthly Volumes'!O22</f>
        <v>4916.54</v>
      </c>
      <c r="H63" s="12">
        <v>0</v>
      </c>
      <c r="I63" s="6">
        <v>0</v>
      </c>
      <c r="J63" s="13">
        <f aca="true" t="shared" si="20" ref="J63:J75">D63*E63*H63+(F63+G63)*I63</f>
        <v>0</v>
      </c>
      <c r="K63" s="12">
        <v>0</v>
      </c>
      <c r="L63" s="6">
        <v>0</v>
      </c>
      <c r="M63" s="13">
        <f aca="true" t="shared" si="21" ref="M63:M75">D63*E63*K63+(F63+G63)*L63</f>
        <v>0</v>
      </c>
      <c r="N63" s="19">
        <v>0.411884</v>
      </c>
      <c r="O63" s="13">
        <f aca="true" t="shared" si="22" ref="O63:O75">(F63+G63)*N63</f>
        <v>2025.0441613599999</v>
      </c>
      <c r="P63" s="19">
        <v>0</v>
      </c>
      <c r="Q63" s="13">
        <f aca="true" t="shared" si="23" ref="Q63:Q75">(F63+G63)*P63</f>
        <v>0</v>
      </c>
      <c r="R63" s="13">
        <f aca="true" t="shared" si="24" ref="R63:R75">J63+M63+O63+Q63</f>
        <v>2025.0441613599999</v>
      </c>
    </row>
    <row r="64" spans="1:18" ht="15">
      <c r="A64" s="27" t="s">
        <v>3</v>
      </c>
      <c r="B64" s="57">
        <v>2005</v>
      </c>
      <c r="C64" s="40" t="s">
        <v>40</v>
      </c>
      <c r="D64" s="41"/>
      <c r="E64" s="41">
        <v>1</v>
      </c>
      <c r="F64" s="43"/>
      <c r="G64" s="44">
        <f>'G-36 Monthly Volumes'!O23</f>
        <v>4999.58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9">
        <v>0.411884</v>
      </c>
      <c r="O64" s="13">
        <f t="shared" si="22"/>
        <v>2059.24700872</v>
      </c>
      <c r="P64" s="19">
        <v>0</v>
      </c>
      <c r="Q64" s="13">
        <f t="shared" si="23"/>
        <v>0</v>
      </c>
      <c r="R64" s="13">
        <f t="shared" si="24"/>
        <v>2059.24700872</v>
      </c>
    </row>
    <row r="65" spans="1:18" ht="15">
      <c r="A65" s="27" t="s">
        <v>3</v>
      </c>
      <c r="B65" s="57">
        <v>2005</v>
      </c>
      <c r="C65" s="40" t="s">
        <v>41</v>
      </c>
      <c r="D65" s="41"/>
      <c r="E65" s="41">
        <v>1</v>
      </c>
      <c r="F65" s="43"/>
      <c r="G65" s="44">
        <f>'G-36 Monthly Volumes'!O24</f>
        <v>5062.24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9">
        <v>0.411884</v>
      </c>
      <c r="O65" s="13">
        <f t="shared" si="22"/>
        <v>2085.0556601599997</v>
      </c>
      <c r="P65" s="19">
        <v>0</v>
      </c>
      <c r="Q65" s="13">
        <f t="shared" si="23"/>
        <v>0</v>
      </c>
      <c r="R65" s="13">
        <f t="shared" si="24"/>
        <v>2085.0556601599997</v>
      </c>
    </row>
    <row r="66" spans="1:18" ht="15">
      <c r="A66" s="27" t="s">
        <v>3</v>
      </c>
      <c r="B66" s="57">
        <v>2005</v>
      </c>
      <c r="C66" s="40" t="s">
        <v>42</v>
      </c>
      <c r="D66" s="41"/>
      <c r="E66" s="41">
        <v>1</v>
      </c>
      <c r="F66" s="43"/>
      <c r="G66" s="44">
        <f>'G-36 Monthly Volumes'!O25</f>
        <v>5362.47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9"/>
      <c r="O66" s="13">
        <f t="shared" si="22"/>
        <v>0</v>
      </c>
      <c r="P66" s="5">
        <v>0.2698</v>
      </c>
      <c r="Q66" s="13">
        <f t="shared" si="23"/>
        <v>1446.794406</v>
      </c>
      <c r="R66" s="13">
        <f t="shared" si="24"/>
        <v>1446.794406</v>
      </c>
    </row>
    <row r="67" spans="1:18" ht="15">
      <c r="A67" s="27" t="s">
        <v>3</v>
      </c>
      <c r="B67" s="57">
        <v>2005</v>
      </c>
      <c r="C67" s="40" t="s">
        <v>35</v>
      </c>
      <c r="D67" s="41"/>
      <c r="E67" s="41">
        <v>1</v>
      </c>
      <c r="F67" s="43"/>
      <c r="G67" s="44">
        <f>'G-36 Monthly Volumes'!O26</f>
        <v>5350.28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9"/>
      <c r="O67" s="13">
        <f t="shared" si="22"/>
        <v>0</v>
      </c>
      <c r="P67" s="5">
        <v>0.2698</v>
      </c>
      <c r="Q67" s="13">
        <f t="shared" si="23"/>
        <v>1443.5055439999999</v>
      </c>
      <c r="R67" s="13">
        <f t="shared" si="24"/>
        <v>1443.5055439999999</v>
      </c>
    </row>
    <row r="68" spans="1:18" ht="15">
      <c r="A68" s="27" t="s">
        <v>3</v>
      </c>
      <c r="B68" s="57">
        <v>2005</v>
      </c>
      <c r="C68" s="40" t="s">
        <v>43</v>
      </c>
      <c r="D68" s="41"/>
      <c r="E68" s="41">
        <v>1</v>
      </c>
      <c r="F68" s="43"/>
      <c r="G68" s="44">
        <f>'G-36 Monthly Volumes'!O27</f>
        <v>5413.15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/>
      <c r="O68" s="13">
        <f t="shared" si="22"/>
        <v>0</v>
      </c>
      <c r="P68" s="5">
        <v>0.2698</v>
      </c>
      <c r="Q68" s="13">
        <f t="shared" si="23"/>
        <v>1460.4678699999997</v>
      </c>
      <c r="R68" s="13">
        <f t="shared" si="24"/>
        <v>1460.4678699999997</v>
      </c>
    </row>
    <row r="69" spans="1:18" ht="15">
      <c r="A69" s="27" t="s">
        <v>3</v>
      </c>
      <c r="B69" s="57">
        <v>2005</v>
      </c>
      <c r="C69" s="40" t="s">
        <v>44</v>
      </c>
      <c r="D69" s="41"/>
      <c r="E69" s="41">
        <v>1</v>
      </c>
      <c r="F69" s="43"/>
      <c r="G69" s="44">
        <f>'G-36 Monthly Volumes'!O28</f>
        <v>5260.14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9"/>
      <c r="O69" s="13">
        <f t="shared" si="22"/>
        <v>0</v>
      </c>
      <c r="P69" s="5">
        <v>0.2698</v>
      </c>
      <c r="Q69" s="13">
        <f t="shared" si="23"/>
        <v>1419.185772</v>
      </c>
      <c r="R69" s="13">
        <f t="shared" si="24"/>
        <v>1419.185772</v>
      </c>
    </row>
    <row r="70" spans="1:18" ht="15">
      <c r="A70" s="27" t="s">
        <v>3</v>
      </c>
      <c r="B70" s="57">
        <v>2005</v>
      </c>
      <c r="C70" s="40" t="s">
        <v>45</v>
      </c>
      <c r="D70" s="41"/>
      <c r="E70" s="41">
        <v>1</v>
      </c>
      <c r="F70" s="43"/>
      <c r="G70" s="44">
        <f>'G-36 Monthly Volumes'!O29</f>
        <v>4982.69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9"/>
      <c r="O70" s="13">
        <f t="shared" si="22"/>
        <v>0</v>
      </c>
      <c r="P70" s="5">
        <v>0.2698</v>
      </c>
      <c r="Q70" s="13">
        <f t="shared" si="23"/>
        <v>1344.3297619999998</v>
      </c>
      <c r="R70" s="13">
        <f t="shared" si="24"/>
        <v>1344.3297619999998</v>
      </c>
    </row>
    <row r="71" spans="1:18" ht="15">
      <c r="A71" s="27" t="s">
        <v>3</v>
      </c>
      <c r="B71" s="57">
        <v>2005</v>
      </c>
      <c r="C71" s="40" t="s">
        <v>46</v>
      </c>
      <c r="D71" s="41"/>
      <c r="E71" s="41">
        <v>1</v>
      </c>
      <c r="F71" s="43"/>
      <c r="G71" s="44">
        <f>'G-36 Monthly Volumes'!O30</f>
        <v>5146.6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9"/>
      <c r="O71" s="13">
        <f t="shared" si="22"/>
        <v>0</v>
      </c>
      <c r="P71" s="5">
        <v>0.2698</v>
      </c>
      <c r="Q71" s="13">
        <f t="shared" si="23"/>
        <v>1388.55268</v>
      </c>
      <c r="R71" s="13">
        <f t="shared" si="24"/>
        <v>1388.55268</v>
      </c>
    </row>
    <row r="72" spans="1:18" ht="15">
      <c r="A72" s="27" t="s">
        <v>3</v>
      </c>
      <c r="B72" s="57">
        <v>2005</v>
      </c>
      <c r="C72" s="40" t="s">
        <v>47</v>
      </c>
      <c r="D72" s="41"/>
      <c r="E72" s="41">
        <v>1</v>
      </c>
      <c r="F72" s="43"/>
      <c r="G72" s="44">
        <f>'G-36 Monthly Volumes'!O31</f>
        <v>5548.51</v>
      </c>
      <c r="H72" s="12">
        <v>0</v>
      </c>
      <c r="I72" s="6">
        <v>0</v>
      </c>
      <c r="J72" s="13">
        <f t="shared" si="20"/>
        <v>0</v>
      </c>
      <c r="K72" s="12">
        <v>0</v>
      </c>
      <c r="L72" s="6">
        <v>0</v>
      </c>
      <c r="M72" s="13">
        <f t="shared" si="21"/>
        <v>0</v>
      </c>
      <c r="N72" s="19"/>
      <c r="O72" s="13">
        <f t="shared" si="22"/>
        <v>0</v>
      </c>
      <c r="P72" s="5">
        <v>0.2698</v>
      </c>
      <c r="Q72" s="13">
        <f t="shared" si="23"/>
        <v>1496.987998</v>
      </c>
      <c r="R72" s="13">
        <f t="shared" si="24"/>
        <v>1496.987998</v>
      </c>
    </row>
    <row r="73" spans="1:18" ht="15">
      <c r="A73" s="27" t="s">
        <v>3</v>
      </c>
      <c r="B73" s="57">
        <v>2005</v>
      </c>
      <c r="C73" s="40" t="s">
        <v>48</v>
      </c>
      <c r="D73" s="41"/>
      <c r="E73" s="41">
        <v>1</v>
      </c>
      <c r="F73" s="43"/>
      <c r="G73" s="44">
        <f>'G-36 Monthly Volumes'!O32</f>
        <v>5198.24</v>
      </c>
      <c r="H73" s="12">
        <v>0</v>
      </c>
      <c r="I73" s="6">
        <v>0</v>
      </c>
      <c r="J73" s="13">
        <f t="shared" si="20"/>
        <v>0</v>
      </c>
      <c r="K73" s="12">
        <v>0</v>
      </c>
      <c r="L73" s="6">
        <v>0</v>
      </c>
      <c r="M73" s="13">
        <f t="shared" si="21"/>
        <v>0</v>
      </c>
      <c r="N73" s="19"/>
      <c r="O73" s="13">
        <f t="shared" si="22"/>
        <v>0</v>
      </c>
      <c r="P73" s="5">
        <v>0.2698</v>
      </c>
      <c r="Q73" s="13">
        <f t="shared" si="23"/>
        <v>1402.485152</v>
      </c>
      <c r="R73" s="13">
        <f t="shared" si="24"/>
        <v>1402.485152</v>
      </c>
    </row>
    <row r="74" spans="1:18" ht="15">
      <c r="A74" s="27" t="s">
        <v>3</v>
      </c>
      <c r="B74" s="57">
        <v>2005</v>
      </c>
      <c r="C74" s="40" t="s">
        <v>49</v>
      </c>
      <c r="D74" s="41"/>
      <c r="E74" s="41">
        <v>1</v>
      </c>
      <c r="F74" s="43"/>
      <c r="G74" s="44">
        <f>'G-36 Monthly Volumes'!O33</f>
        <v>5463.5</v>
      </c>
      <c r="H74" s="12">
        <v>0</v>
      </c>
      <c r="I74" s="6">
        <v>0</v>
      </c>
      <c r="J74" s="13">
        <f t="shared" si="20"/>
        <v>0</v>
      </c>
      <c r="K74" s="12">
        <v>0</v>
      </c>
      <c r="L74" s="6">
        <v>0</v>
      </c>
      <c r="M74" s="13">
        <f t="shared" si="21"/>
        <v>0</v>
      </c>
      <c r="N74" s="19"/>
      <c r="O74" s="13">
        <f t="shared" si="22"/>
        <v>0</v>
      </c>
      <c r="P74" s="5">
        <v>0.2698</v>
      </c>
      <c r="Q74" s="13">
        <f t="shared" si="23"/>
        <v>1474.0522999999998</v>
      </c>
      <c r="R74" s="13">
        <f t="shared" si="24"/>
        <v>1474.0522999999998</v>
      </c>
    </row>
    <row r="75" spans="1:18" ht="15.75" thickBot="1">
      <c r="A75" s="27" t="s">
        <v>3</v>
      </c>
      <c r="B75" s="57">
        <v>2005</v>
      </c>
      <c r="C75" s="40" t="s">
        <v>38</v>
      </c>
      <c r="D75" s="41"/>
      <c r="E75" s="41">
        <v>1</v>
      </c>
      <c r="F75" s="43"/>
      <c r="G75" s="44">
        <f>'G-36 Monthly Volumes'!O34</f>
        <v>269.1899999999996</v>
      </c>
      <c r="H75" s="12">
        <v>0</v>
      </c>
      <c r="I75" s="6">
        <v>0</v>
      </c>
      <c r="J75" s="13">
        <f t="shared" si="20"/>
        <v>0</v>
      </c>
      <c r="K75" s="12">
        <v>0</v>
      </c>
      <c r="L75" s="6">
        <v>0</v>
      </c>
      <c r="M75" s="13">
        <f t="shared" si="21"/>
        <v>0</v>
      </c>
      <c r="N75" s="19"/>
      <c r="O75" s="13">
        <f t="shared" si="22"/>
        <v>0</v>
      </c>
      <c r="P75" s="5">
        <v>0.2698</v>
      </c>
      <c r="Q75" s="13">
        <f t="shared" si="23"/>
        <v>72.6274619999999</v>
      </c>
      <c r="R75" s="13">
        <f t="shared" si="24"/>
        <v>72.6274619999999</v>
      </c>
    </row>
    <row r="76" spans="1:18" ht="15.75" thickBot="1">
      <c r="A76" s="59" t="s">
        <v>63</v>
      </c>
      <c r="B76" s="60"/>
      <c r="C76" s="61"/>
      <c r="D76" s="62">
        <f>SUM(D63:D75)</f>
        <v>0</v>
      </c>
      <c r="E76" s="62"/>
      <c r="F76" s="62">
        <f>SUM(F63:F75)</f>
        <v>0</v>
      </c>
      <c r="G76" s="63">
        <f>SUM(G63:G75)</f>
        <v>62973.13</v>
      </c>
      <c r="H76" s="64"/>
      <c r="I76" s="65"/>
      <c r="J76" s="66">
        <f>SUM(J63:J75)</f>
        <v>0</v>
      </c>
      <c r="K76" s="64"/>
      <c r="L76" s="65"/>
      <c r="M76" s="66">
        <f>SUM(M63:M75)</f>
        <v>0</v>
      </c>
      <c r="N76" s="67"/>
      <c r="O76" s="66">
        <f>SUM(O63:O75)</f>
        <v>6169.34683024</v>
      </c>
      <c r="P76" s="67"/>
      <c r="Q76" s="66">
        <f>SUM(Q63:Q75)</f>
        <v>12948.988946</v>
      </c>
      <c r="R76" s="66">
        <f>SUM(R63:R75)</f>
        <v>19118.33577624</v>
      </c>
    </row>
    <row r="77" spans="1:18" ht="15">
      <c r="A77" s="27"/>
      <c r="B77" s="57"/>
      <c r="C77" s="40"/>
      <c r="D77" s="41"/>
      <c r="E77" s="41"/>
      <c r="F77" s="43"/>
      <c r="G77" s="44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7" t="s">
        <v>4</v>
      </c>
      <c r="B78" s="57">
        <v>2005</v>
      </c>
      <c r="C78" s="40" t="s">
        <v>39</v>
      </c>
      <c r="D78" s="41"/>
      <c r="E78" s="41">
        <v>1</v>
      </c>
      <c r="F78" s="43"/>
      <c r="G78" s="44">
        <f>'G-36 Monthly Volumes'!O58</f>
        <v>0</v>
      </c>
      <c r="H78" s="12">
        <v>0</v>
      </c>
      <c r="I78" s="6">
        <v>0</v>
      </c>
      <c r="J78" s="13">
        <f aca="true" t="shared" si="25" ref="J78:J90">D78*E78*H78+(F78+G78)*I78</f>
        <v>0</v>
      </c>
      <c r="K78" s="12">
        <v>0</v>
      </c>
      <c r="L78" s="6">
        <v>0</v>
      </c>
      <c r="M78" s="13">
        <f aca="true" t="shared" si="26" ref="M78:M90">D78*E78*K78+(F78+G78)*L78</f>
        <v>0</v>
      </c>
      <c r="N78" s="19">
        <v>1.457856</v>
      </c>
      <c r="O78" s="13">
        <f aca="true" t="shared" si="27" ref="O78:O90">(F78+G78)*N78</f>
        <v>0</v>
      </c>
      <c r="P78" s="19">
        <v>0</v>
      </c>
      <c r="Q78" s="13">
        <f aca="true" t="shared" si="28" ref="Q78:Q90">(F78+G78)*P78</f>
        <v>0</v>
      </c>
      <c r="R78" s="13">
        <f aca="true" t="shared" si="29" ref="R78:R90">J78+M78+O78+Q78</f>
        <v>0</v>
      </c>
    </row>
    <row r="79" spans="1:18" ht="15">
      <c r="A79" s="27" t="s">
        <v>4</v>
      </c>
      <c r="B79" s="57">
        <v>2005</v>
      </c>
      <c r="C79" s="40" t="s">
        <v>40</v>
      </c>
      <c r="D79" s="41"/>
      <c r="E79" s="41">
        <v>1</v>
      </c>
      <c r="F79" s="43"/>
      <c r="G79" s="44">
        <f>'G-36 Monthly Volumes'!O59</f>
        <v>0</v>
      </c>
      <c r="H79" s="12">
        <v>0</v>
      </c>
      <c r="I79" s="6">
        <v>0</v>
      </c>
      <c r="J79" s="13">
        <f t="shared" si="25"/>
        <v>0</v>
      </c>
      <c r="K79" s="12">
        <v>0</v>
      </c>
      <c r="L79" s="6">
        <v>0</v>
      </c>
      <c r="M79" s="13">
        <f t="shared" si="26"/>
        <v>0</v>
      </c>
      <c r="N79" s="19">
        <v>1.457856</v>
      </c>
      <c r="O79" s="13">
        <f t="shared" si="27"/>
        <v>0</v>
      </c>
      <c r="P79" s="19">
        <v>0</v>
      </c>
      <c r="Q79" s="13">
        <f t="shared" si="28"/>
        <v>0</v>
      </c>
      <c r="R79" s="13">
        <f t="shared" si="29"/>
        <v>0</v>
      </c>
    </row>
    <row r="80" spans="1:18" ht="15">
      <c r="A80" s="27" t="s">
        <v>4</v>
      </c>
      <c r="B80" s="57">
        <v>2005</v>
      </c>
      <c r="C80" s="40" t="s">
        <v>41</v>
      </c>
      <c r="D80" s="41"/>
      <c r="E80" s="41">
        <v>1</v>
      </c>
      <c r="F80" s="43"/>
      <c r="G80" s="44">
        <f>'G-36 Monthly Volumes'!O60</f>
        <v>0</v>
      </c>
      <c r="H80" s="12">
        <v>0</v>
      </c>
      <c r="I80" s="6">
        <v>0</v>
      </c>
      <c r="J80" s="13">
        <f t="shared" si="25"/>
        <v>0</v>
      </c>
      <c r="K80" s="12">
        <v>0</v>
      </c>
      <c r="L80" s="6">
        <v>0</v>
      </c>
      <c r="M80" s="13">
        <f t="shared" si="26"/>
        <v>0</v>
      </c>
      <c r="N80" s="19">
        <v>1.457856</v>
      </c>
      <c r="O80" s="13">
        <f t="shared" si="27"/>
        <v>0</v>
      </c>
      <c r="P80" s="19">
        <v>0</v>
      </c>
      <c r="Q80" s="13">
        <f t="shared" si="28"/>
        <v>0</v>
      </c>
      <c r="R80" s="13">
        <f t="shared" si="29"/>
        <v>0</v>
      </c>
    </row>
    <row r="81" spans="1:18" ht="15">
      <c r="A81" s="27" t="s">
        <v>4</v>
      </c>
      <c r="B81" s="57">
        <v>2005</v>
      </c>
      <c r="C81" s="40" t="s">
        <v>42</v>
      </c>
      <c r="D81" s="41"/>
      <c r="E81" s="41">
        <v>1</v>
      </c>
      <c r="F81" s="43"/>
      <c r="G81" s="44">
        <f>'G-36 Monthly Volumes'!O61</f>
        <v>0</v>
      </c>
      <c r="H81" s="12">
        <v>0</v>
      </c>
      <c r="I81" s="6">
        <v>0</v>
      </c>
      <c r="J81" s="13">
        <f t="shared" si="25"/>
        <v>0</v>
      </c>
      <c r="K81" s="12">
        <v>0</v>
      </c>
      <c r="L81" s="6">
        <v>0</v>
      </c>
      <c r="M81" s="13">
        <f t="shared" si="26"/>
        <v>0</v>
      </c>
      <c r="N81" s="19"/>
      <c r="O81" s="13">
        <f t="shared" si="27"/>
        <v>0</v>
      </c>
      <c r="P81" s="5">
        <v>0.8867</v>
      </c>
      <c r="Q81" s="13">
        <f t="shared" si="28"/>
        <v>0</v>
      </c>
      <c r="R81" s="13">
        <f t="shared" si="29"/>
        <v>0</v>
      </c>
    </row>
    <row r="82" spans="1:18" ht="15">
      <c r="A82" s="27" t="s">
        <v>4</v>
      </c>
      <c r="B82" s="57">
        <v>2005</v>
      </c>
      <c r="C82" s="40" t="s">
        <v>35</v>
      </c>
      <c r="D82" s="41"/>
      <c r="E82" s="41">
        <v>1</v>
      </c>
      <c r="F82" s="43"/>
      <c r="G82" s="44">
        <f>'G-36 Monthly Volumes'!O62</f>
        <v>0</v>
      </c>
      <c r="H82" s="12">
        <v>0</v>
      </c>
      <c r="I82" s="6">
        <v>0</v>
      </c>
      <c r="J82" s="13">
        <f t="shared" si="25"/>
        <v>0</v>
      </c>
      <c r="K82" s="12">
        <v>0</v>
      </c>
      <c r="L82" s="6">
        <v>0</v>
      </c>
      <c r="M82" s="13">
        <f t="shared" si="26"/>
        <v>0</v>
      </c>
      <c r="N82" s="19"/>
      <c r="O82" s="13">
        <f t="shared" si="27"/>
        <v>0</v>
      </c>
      <c r="P82" s="5">
        <v>0.8867</v>
      </c>
      <c r="Q82" s="13">
        <f t="shared" si="28"/>
        <v>0</v>
      </c>
      <c r="R82" s="13">
        <f t="shared" si="29"/>
        <v>0</v>
      </c>
    </row>
    <row r="83" spans="1:18" ht="15">
      <c r="A83" s="27" t="s">
        <v>4</v>
      </c>
      <c r="B83" s="57">
        <v>2005</v>
      </c>
      <c r="C83" s="40" t="s">
        <v>43</v>
      </c>
      <c r="D83" s="41"/>
      <c r="E83" s="41">
        <v>1</v>
      </c>
      <c r="F83" s="43"/>
      <c r="G83" s="44">
        <f>'G-36 Monthly Volumes'!O63</f>
        <v>0</v>
      </c>
      <c r="H83" s="12">
        <v>0</v>
      </c>
      <c r="I83" s="6">
        <v>0</v>
      </c>
      <c r="J83" s="13">
        <f t="shared" si="25"/>
        <v>0</v>
      </c>
      <c r="K83" s="12">
        <v>0</v>
      </c>
      <c r="L83" s="6">
        <v>0</v>
      </c>
      <c r="M83" s="13">
        <f t="shared" si="26"/>
        <v>0</v>
      </c>
      <c r="N83" s="19"/>
      <c r="O83" s="13">
        <f t="shared" si="27"/>
        <v>0</v>
      </c>
      <c r="P83" s="5">
        <v>0.8867</v>
      </c>
      <c r="Q83" s="13">
        <f t="shared" si="28"/>
        <v>0</v>
      </c>
      <c r="R83" s="13">
        <f t="shared" si="29"/>
        <v>0</v>
      </c>
    </row>
    <row r="84" spans="1:18" ht="15">
      <c r="A84" s="27" t="s">
        <v>4</v>
      </c>
      <c r="B84" s="57">
        <v>2005</v>
      </c>
      <c r="C84" s="40" t="s">
        <v>44</v>
      </c>
      <c r="D84" s="41"/>
      <c r="E84" s="41">
        <v>1</v>
      </c>
      <c r="F84" s="43"/>
      <c r="G84" s="44">
        <f>'G-36 Monthly Volumes'!O64</f>
        <v>0</v>
      </c>
      <c r="H84" s="12">
        <v>0</v>
      </c>
      <c r="I84" s="6">
        <v>0</v>
      </c>
      <c r="J84" s="13">
        <f t="shared" si="25"/>
        <v>0</v>
      </c>
      <c r="K84" s="12">
        <v>0</v>
      </c>
      <c r="L84" s="6">
        <v>0</v>
      </c>
      <c r="M84" s="13">
        <f t="shared" si="26"/>
        <v>0</v>
      </c>
      <c r="N84" s="19"/>
      <c r="O84" s="13">
        <f t="shared" si="27"/>
        <v>0</v>
      </c>
      <c r="P84" s="5">
        <v>0.8867</v>
      </c>
      <c r="Q84" s="13">
        <f t="shared" si="28"/>
        <v>0</v>
      </c>
      <c r="R84" s="13">
        <f t="shared" si="29"/>
        <v>0</v>
      </c>
    </row>
    <row r="85" spans="1:18" ht="15">
      <c r="A85" s="27" t="s">
        <v>4</v>
      </c>
      <c r="B85" s="57">
        <v>2005</v>
      </c>
      <c r="C85" s="40" t="s">
        <v>45</v>
      </c>
      <c r="D85" s="41"/>
      <c r="E85" s="41">
        <v>1</v>
      </c>
      <c r="F85" s="43"/>
      <c r="G85" s="44">
        <f>'G-36 Monthly Volumes'!O65</f>
        <v>0</v>
      </c>
      <c r="H85" s="12">
        <v>0</v>
      </c>
      <c r="I85" s="6">
        <v>0</v>
      </c>
      <c r="J85" s="13">
        <f t="shared" si="25"/>
        <v>0</v>
      </c>
      <c r="K85" s="12">
        <v>0</v>
      </c>
      <c r="L85" s="6">
        <v>0</v>
      </c>
      <c r="M85" s="13">
        <f t="shared" si="26"/>
        <v>0</v>
      </c>
      <c r="N85" s="19"/>
      <c r="O85" s="13">
        <f t="shared" si="27"/>
        <v>0</v>
      </c>
      <c r="P85" s="5">
        <v>0.8867</v>
      </c>
      <c r="Q85" s="13">
        <f t="shared" si="28"/>
        <v>0</v>
      </c>
      <c r="R85" s="13">
        <f t="shared" si="29"/>
        <v>0</v>
      </c>
    </row>
    <row r="86" spans="1:18" ht="15">
      <c r="A86" s="27" t="s">
        <v>4</v>
      </c>
      <c r="B86" s="57">
        <v>2005</v>
      </c>
      <c r="C86" s="40" t="s">
        <v>46</v>
      </c>
      <c r="D86" s="41"/>
      <c r="E86" s="41">
        <v>1</v>
      </c>
      <c r="F86" s="43"/>
      <c r="G86" s="44">
        <f>'G-36 Monthly Volumes'!O66</f>
        <v>0</v>
      </c>
      <c r="H86" s="12">
        <v>0</v>
      </c>
      <c r="I86" s="6">
        <v>0</v>
      </c>
      <c r="J86" s="13">
        <f t="shared" si="25"/>
        <v>0</v>
      </c>
      <c r="K86" s="12">
        <v>0</v>
      </c>
      <c r="L86" s="6">
        <v>0</v>
      </c>
      <c r="M86" s="13">
        <f t="shared" si="26"/>
        <v>0</v>
      </c>
      <c r="N86" s="19"/>
      <c r="O86" s="13">
        <f t="shared" si="27"/>
        <v>0</v>
      </c>
      <c r="P86" s="5">
        <v>0.8867</v>
      </c>
      <c r="Q86" s="13">
        <f t="shared" si="28"/>
        <v>0</v>
      </c>
      <c r="R86" s="13">
        <f t="shared" si="29"/>
        <v>0</v>
      </c>
    </row>
    <row r="87" spans="1:18" ht="15">
      <c r="A87" s="27" t="s">
        <v>4</v>
      </c>
      <c r="B87" s="57">
        <v>2005</v>
      </c>
      <c r="C87" s="40" t="s">
        <v>47</v>
      </c>
      <c r="D87" s="41"/>
      <c r="E87" s="41">
        <v>1</v>
      </c>
      <c r="F87" s="43"/>
      <c r="G87" s="44">
        <f>'G-36 Monthly Volumes'!O67</f>
        <v>0</v>
      </c>
      <c r="H87" s="12">
        <v>0</v>
      </c>
      <c r="I87" s="6">
        <v>0</v>
      </c>
      <c r="J87" s="13">
        <f t="shared" si="25"/>
        <v>0</v>
      </c>
      <c r="K87" s="12">
        <v>0</v>
      </c>
      <c r="L87" s="6">
        <v>0</v>
      </c>
      <c r="M87" s="13">
        <f t="shared" si="26"/>
        <v>0</v>
      </c>
      <c r="N87" s="19"/>
      <c r="O87" s="13">
        <f t="shared" si="27"/>
        <v>0</v>
      </c>
      <c r="P87" s="5">
        <v>0.8867</v>
      </c>
      <c r="Q87" s="13">
        <f t="shared" si="28"/>
        <v>0</v>
      </c>
      <c r="R87" s="13">
        <f t="shared" si="29"/>
        <v>0</v>
      </c>
    </row>
    <row r="88" spans="1:18" ht="15">
      <c r="A88" s="27" t="s">
        <v>4</v>
      </c>
      <c r="B88" s="57">
        <v>2005</v>
      </c>
      <c r="C88" s="40" t="s">
        <v>48</v>
      </c>
      <c r="D88" s="41"/>
      <c r="E88" s="41">
        <v>1</v>
      </c>
      <c r="F88" s="43"/>
      <c r="G88" s="44">
        <f>'G-36 Monthly Volumes'!O68</f>
        <v>0</v>
      </c>
      <c r="H88" s="12">
        <v>0</v>
      </c>
      <c r="I88" s="6">
        <v>0</v>
      </c>
      <c r="J88" s="13">
        <f t="shared" si="25"/>
        <v>0</v>
      </c>
      <c r="K88" s="12">
        <v>0</v>
      </c>
      <c r="L88" s="6">
        <v>0</v>
      </c>
      <c r="M88" s="13">
        <f t="shared" si="26"/>
        <v>0</v>
      </c>
      <c r="N88" s="19"/>
      <c r="O88" s="13">
        <f t="shared" si="27"/>
        <v>0</v>
      </c>
      <c r="P88" s="5">
        <v>0.8867</v>
      </c>
      <c r="Q88" s="13">
        <f t="shared" si="28"/>
        <v>0</v>
      </c>
      <c r="R88" s="13">
        <f t="shared" si="29"/>
        <v>0</v>
      </c>
    </row>
    <row r="89" spans="1:18" ht="15">
      <c r="A89" s="27" t="s">
        <v>4</v>
      </c>
      <c r="B89" s="57">
        <v>2005</v>
      </c>
      <c r="C89" s="40" t="s">
        <v>49</v>
      </c>
      <c r="D89" s="41"/>
      <c r="E89" s="41">
        <v>1</v>
      </c>
      <c r="F89" s="43"/>
      <c r="G89" s="44">
        <f>'G-36 Monthly Volumes'!O69</f>
        <v>0</v>
      </c>
      <c r="H89" s="12">
        <v>0</v>
      </c>
      <c r="I89" s="6">
        <v>0</v>
      </c>
      <c r="J89" s="13">
        <f t="shared" si="25"/>
        <v>0</v>
      </c>
      <c r="K89" s="12">
        <v>0</v>
      </c>
      <c r="L89" s="6">
        <v>0</v>
      </c>
      <c r="M89" s="13">
        <f t="shared" si="26"/>
        <v>0</v>
      </c>
      <c r="N89" s="19"/>
      <c r="O89" s="13">
        <f t="shared" si="27"/>
        <v>0</v>
      </c>
      <c r="P89" s="5">
        <v>0.8867</v>
      </c>
      <c r="Q89" s="13">
        <f t="shared" si="28"/>
        <v>0</v>
      </c>
      <c r="R89" s="13">
        <f t="shared" si="29"/>
        <v>0</v>
      </c>
    </row>
    <row r="90" spans="1:18" ht="15.75" thickBot="1">
      <c r="A90" s="27" t="s">
        <v>4</v>
      </c>
      <c r="B90" s="57">
        <v>2005</v>
      </c>
      <c r="C90" s="40" t="s">
        <v>38</v>
      </c>
      <c r="D90" s="41"/>
      <c r="E90" s="41">
        <v>1</v>
      </c>
      <c r="F90" s="43"/>
      <c r="G90" s="44">
        <f>'G-36 Monthly Volumes'!O70</f>
        <v>0</v>
      </c>
      <c r="H90" s="12">
        <v>0</v>
      </c>
      <c r="I90" s="6">
        <v>0</v>
      </c>
      <c r="J90" s="13">
        <f t="shared" si="25"/>
        <v>0</v>
      </c>
      <c r="K90" s="12">
        <v>0</v>
      </c>
      <c r="L90" s="6">
        <v>0</v>
      </c>
      <c r="M90" s="13">
        <f t="shared" si="26"/>
        <v>0</v>
      </c>
      <c r="N90" s="19"/>
      <c r="O90" s="13">
        <f t="shared" si="27"/>
        <v>0</v>
      </c>
      <c r="P90" s="5">
        <v>0.8867</v>
      </c>
      <c r="Q90" s="13">
        <f t="shared" si="28"/>
        <v>0</v>
      </c>
      <c r="R90" s="13">
        <f t="shared" si="29"/>
        <v>0</v>
      </c>
    </row>
    <row r="91" spans="1:18" ht="15.75" thickBot="1">
      <c r="A91" s="59" t="s">
        <v>64</v>
      </c>
      <c r="B91" s="60"/>
      <c r="C91" s="61"/>
      <c r="D91" s="62">
        <f>SUM(D78:D90)</f>
        <v>0</v>
      </c>
      <c r="E91" s="62"/>
      <c r="F91" s="62">
        <f>SUM(F78:F90)</f>
        <v>0</v>
      </c>
      <c r="G91" s="63">
        <f>SUM(G78:G90)</f>
        <v>0</v>
      </c>
      <c r="H91" s="64"/>
      <c r="I91" s="65"/>
      <c r="J91" s="66">
        <f>SUM(J78:J90)</f>
        <v>0</v>
      </c>
      <c r="K91" s="64"/>
      <c r="L91" s="65"/>
      <c r="M91" s="66">
        <f>SUM(M78:M90)</f>
        <v>0</v>
      </c>
      <c r="N91" s="67"/>
      <c r="O91" s="66">
        <f>SUM(O78:O90)</f>
        <v>0</v>
      </c>
      <c r="P91" s="67"/>
      <c r="Q91" s="66">
        <f>SUM(Q78:Q90)</f>
        <v>0</v>
      </c>
      <c r="R91" s="66">
        <f>SUM(R78:R90)</f>
        <v>0</v>
      </c>
    </row>
    <row r="92" spans="1:18" ht="15">
      <c r="A92" s="27"/>
      <c r="B92" s="57"/>
      <c r="C92" s="40"/>
      <c r="D92" s="41"/>
      <c r="E92" s="41"/>
      <c r="F92" s="43"/>
      <c r="G92" s="44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7" t="s">
        <v>5</v>
      </c>
      <c r="B93" s="57">
        <v>2005</v>
      </c>
      <c r="C93" s="40" t="s">
        <v>39</v>
      </c>
      <c r="D93" s="41">
        <f>'G-35 Customer Count'!I29</f>
        <v>3734</v>
      </c>
      <c r="E93" s="41">
        <v>1</v>
      </c>
      <c r="F93" s="43"/>
      <c r="G93" s="44">
        <f>'G-36 Monthly Volumes'!O40</f>
        <v>561.12</v>
      </c>
      <c r="H93" s="12">
        <v>0</v>
      </c>
      <c r="I93" s="6">
        <v>0</v>
      </c>
      <c r="J93" s="13">
        <f aca="true" t="shared" si="30" ref="J93:J105">D93*E93*H93+(F93+G93)*I93</f>
        <v>0</v>
      </c>
      <c r="K93" s="12">
        <v>0</v>
      </c>
      <c r="L93" s="6">
        <v>0</v>
      </c>
      <c r="M93" s="13">
        <f aca="true" t="shared" si="31" ref="M93:M105">D93*E93*K93+(F93+G93)*L93</f>
        <v>0</v>
      </c>
      <c r="N93" s="19">
        <v>0.974486</v>
      </c>
      <c r="O93" s="13">
        <f aca="true" t="shared" si="32" ref="O93:O105">(F93+G93)*N93</f>
        <v>546.80358432</v>
      </c>
      <c r="P93" s="19">
        <v>0</v>
      </c>
      <c r="Q93" s="13">
        <f aca="true" t="shared" si="33" ref="Q93:Q105">(F93+G93)*P93</f>
        <v>0</v>
      </c>
      <c r="R93" s="13">
        <f aca="true" t="shared" si="34" ref="R93:R105">J93+M93+O93+Q93</f>
        <v>546.80358432</v>
      </c>
    </row>
    <row r="94" spans="1:18" ht="15">
      <c r="A94" s="27" t="s">
        <v>5</v>
      </c>
      <c r="B94" s="57">
        <v>2005</v>
      </c>
      <c r="C94" s="40" t="s">
        <v>40</v>
      </c>
      <c r="D94" s="41">
        <f>'G-35 Customer Count'!I30</f>
        <v>3734</v>
      </c>
      <c r="E94" s="41">
        <v>1</v>
      </c>
      <c r="F94" s="43"/>
      <c r="G94" s="44">
        <f>'G-36 Monthly Volumes'!O41</f>
        <v>561.12</v>
      </c>
      <c r="H94" s="12">
        <v>0</v>
      </c>
      <c r="I94" s="6">
        <v>0</v>
      </c>
      <c r="J94" s="13">
        <f t="shared" si="30"/>
        <v>0</v>
      </c>
      <c r="K94" s="12">
        <v>0</v>
      </c>
      <c r="L94" s="6">
        <v>0</v>
      </c>
      <c r="M94" s="13">
        <f t="shared" si="31"/>
        <v>0</v>
      </c>
      <c r="N94" s="19">
        <v>0.974486</v>
      </c>
      <c r="O94" s="13">
        <f t="shared" si="32"/>
        <v>546.80358432</v>
      </c>
      <c r="P94" s="19">
        <v>0</v>
      </c>
      <c r="Q94" s="13">
        <f t="shared" si="33"/>
        <v>0</v>
      </c>
      <c r="R94" s="13">
        <f t="shared" si="34"/>
        <v>546.80358432</v>
      </c>
    </row>
    <row r="95" spans="1:18" ht="15">
      <c r="A95" s="27" t="s">
        <v>5</v>
      </c>
      <c r="B95" s="57">
        <v>2005</v>
      </c>
      <c r="C95" s="40" t="s">
        <v>41</v>
      </c>
      <c r="D95" s="41">
        <f>'G-35 Customer Count'!I31</f>
        <v>3744</v>
      </c>
      <c r="E95" s="41">
        <v>1</v>
      </c>
      <c r="F95" s="43"/>
      <c r="G95" s="44">
        <f>'G-36 Monthly Volumes'!O42</f>
        <v>547.05</v>
      </c>
      <c r="H95" s="12">
        <v>0</v>
      </c>
      <c r="I95" s="6">
        <v>0</v>
      </c>
      <c r="J95" s="13">
        <f t="shared" si="30"/>
        <v>0</v>
      </c>
      <c r="K95" s="12">
        <v>0</v>
      </c>
      <c r="L95" s="6">
        <v>0</v>
      </c>
      <c r="M95" s="13">
        <f t="shared" si="31"/>
        <v>0</v>
      </c>
      <c r="N95" s="19">
        <v>0.974486</v>
      </c>
      <c r="O95" s="13">
        <f t="shared" si="32"/>
        <v>533.0925662999999</v>
      </c>
      <c r="P95" s="19">
        <v>0</v>
      </c>
      <c r="Q95" s="13">
        <f t="shared" si="33"/>
        <v>0</v>
      </c>
      <c r="R95" s="13">
        <f t="shared" si="34"/>
        <v>533.0925662999999</v>
      </c>
    </row>
    <row r="96" spans="1:18" ht="15">
      <c r="A96" s="27" t="s">
        <v>5</v>
      </c>
      <c r="B96" s="57">
        <v>2005</v>
      </c>
      <c r="C96" s="40" t="s">
        <v>42</v>
      </c>
      <c r="D96" s="41"/>
      <c r="E96" s="41">
        <v>1</v>
      </c>
      <c r="F96" s="43"/>
      <c r="G96" s="44">
        <f>'G-36 Monthly Volumes'!O43</f>
        <v>547.05</v>
      </c>
      <c r="H96" s="12">
        <v>0</v>
      </c>
      <c r="I96" s="6">
        <v>0</v>
      </c>
      <c r="J96" s="13">
        <f t="shared" si="30"/>
        <v>0</v>
      </c>
      <c r="K96" s="12">
        <v>0</v>
      </c>
      <c r="L96" s="6">
        <v>0</v>
      </c>
      <c r="M96" s="13">
        <f t="shared" si="31"/>
        <v>0</v>
      </c>
      <c r="N96" s="19"/>
      <c r="O96" s="13">
        <f t="shared" si="32"/>
        <v>0</v>
      </c>
      <c r="P96" s="5">
        <v>0.6247</v>
      </c>
      <c r="Q96" s="13">
        <f t="shared" si="33"/>
        <v>341.74213499999996</v>
      </c>
      <c r="R96" s="13">
        <f t="shared" si="34"/>
        <v>341.74213499999996</v>
      </c>
    </row>
    <row r="97" spans="1:18" ht="15">
      <c r="A97" s="27" t="s">
        <v>5</v>
      </c>
      <c r="B97" s="57">
        <v>2005</v>
      </c>
      <c r="C97" s="40" t="s">
        <v>35</v>
      </c>
      <c r="D97" s="41"/>
      <c r="E97" s="41">
        <v>1</v>
      </c>
      <c r="F97" s="43"/>
      <c r="G97" s="44">
        <f>'G-36 Monthly Volumes'!O44</f>
        <v>547.05</v>
      </c>
      <c r="H97" s="12">
        <v>0</v>
      </c>
      <c r="I97" s="6">
        <v>0</v>
      </c>
      <c r="J97" s="13">
        <f t="shared" si="30"/>
        <v>0</v>
      </c>
      <c r="K97" s="12">
        <v>0</v>
      </c>
      <c r="L97" s="6">
        <v>0</v>
      </c>
      <c r="M97" s="13">
        <f t="shared" si="31"/>
        <v>0</v>
      </c>
      <c r="N97" s="19"/>
      <c r="O97" s="13">
        <f t="shared" si="32"/>
        <v>0</v>
      </c>
      <c r="P97" s="5">
        <v>0.6247</v>
      </c>
      <c r="Q97" s="13">
        <f t="shared" si="33"/>
        <v>341.74213499999996</v>
      </c>
      <c r="R97" s="13">
        <f t="shared" si="34"/>
        <v>341.74213499999996</v>
      </c>
    </row>
    <row r="98" spans="1:18" ht="15">
      <c r="A98" s="27" t="s">
        <v>5</v>
      </c>
      <c r="B98" s="57">
        <v>2005</v>
      </c>
      <c r="C98" s="40" t="s">
        <v>43</v>
      </c>
      <c r="D98" s="41"/>
      <c r="E98" s="41">
        <v>1</v>
      </c>
      <c r="F98" s="43"/>
      <c r="G98" s="44">
        <f>'G-36 Monthly Volumes'!O45</f>
        <v>552.65</v>
      </c>
      <c r="H98" s="12">
        <v>0</v>
      </c>
      <c r="I98" s="6">
        <v>0</v>
      </c>
      <c r="J98" s="13">
        <f t="shared" si="30"/>
        <v>0</v>
      </c>
      <c r="K98" s="12">
        <v>0</v>
      </c>
      <c r="L98" s="6">
        <v>0</v>
      </c>
      <c r="M98" s="13">
        <f t="shared" si="31"/>
        <v>0</v>
      </c>
      <c r="N98" s="19"/>
      <c r="O98" s="13">
        <f t="shared" si="32"/>
        <v>0</v>
      </c>
      <c r="P98" s="5">
        <v>0.6247</v>
      </c>
      <c r="Q98" s="13">
        <f t="shared" si="33"/>
        <v>345.240455</v>
      </c>
      <c r="R98" s="13">
        <f t="shared" si="34"/>
        <v>345.240455</v>
      </c>
    </row>
    <row r="99" spans="1:18" ht="15">
      <c r="A99" s="27" t="s">
        <v>5</v>
      </c>
      <c r="B99" s="57">
        <v>2005</v>
      </c>
      <c r="C99" s="40" t="s">
        <v>44</v>
      </c>
      <c r="D99" s="41"/>
      <c r="E99" s="41">
        <v>1</v>
      </c>
      <c r="F99" s="43"/>
      <c r="G99" s="44">
        <f>'G-36 Monthly Volumes'!O46</f>
        <v>561.29</v>
      </c>
      <c r="H99" s="12">
        <v>0</v>
      </c>
      <c r="I99" s="6">
        <v>0</v>
      </c>
      <c r="J99" s="13">
        <f t="shared" si="30"/>
        <v>0</v>
      </c>
      <c r="K99" s="12">
        <v>0</v>
      </c>
      <c r="L99" s="6">
        <v>0</v>
      </c>
      <c r="M99" s="13">
        <f t="shared" si="31"/>
        <v>0</v>
      </c>
      <c r="N99" s="19"/>
      <c r="O99" s="13">
        <f t="shared" si="32"/>
        <v>0</v>
      </c>
      <c r="P99" s="5">
        <v>0.6247</v>
      </c>
      <c r="Q99" s="13">
        <f t="shared" si="33"/>
        <v>350.637863</v>
      </c>
      <c r="R99" s="13">
        <f t="shared" si="34"/>
        <v>350.637863</v>
      </c>
    </row>
    <row r="100" spans="1:18" ht="15">
      <c r="A100" s="27" t="s">
        <v>5</v>
      </c>
      <c r="B100" s="57">
        <v>2005</v>
      </c>
      <c r="C100" s="40" t="s">
        <v>45</v>
      </c>
      <c r="D100" s="41"/>
      <c r="E100" s="41">
        <v>1</v>
      </c>
      <c r="F100" s="43"/>
      <c r="G100" s="44">
        <f>'G-36 Monthly Volumes'!O47</f>
        <v>561.95</v>
      </c>
      <c r="H100" s="12">
        <v>0</v>
      </c>
      <c r="I100" s="6">
        <v>0</v>
      </c>
      <c r="J100" s="13">
        <f t="shared" si="30"/>
        <v>0</v>
      </c>
      <c r="K100" s="12">
        <v>0</v>
      </c>
      <c r="L100" s="6">
        <v>0</v>
      </c>
      <c r="M100" s="13">
        <f t="shared" si="31"/>
        <v>0</v>
      </c>
      <c r="N100" s="19"/>
      <c r="O100" s="13">
        <f t="shared" si="32"/>
        <v>0</v>
      </c>
      <c r="P100" s="5">
        <v>0.6247</v>
      </c>
      <c r="Q100" s="13">
        <f t="shared" si="33"/>
        <v>351.05016500000005</v>
      </c>
      <c r="R100" s="13">
        <f t="shared" si="34"/>
        <v>351.05016500000005</v>
      </c>
    </row>
    <row r="101" spans="1:18" ht="15">
      <c r="A101" s="27" t="s">
        <v>5</v>
      </c>
      <c r="B101" s="57">
        <v>2005</v>
      </c>
      <c r="C101" s="40" t="s">
        <v>46</v>
      </c>
      <c r="D101" s="41"/>
      <c r="E101" s="41">
        <v>1</v>
      </c>
      <c r="F101" s="43"/>
      <c r="G101" s="44">
        <f>'G-36 Monthly Volumes'!O48</f>
        <v>561.95</v>
      </c>
      <c r="H101" s="12">
        <v>0</v>
      </c>
      <c r="I101" s="6">
        <v>0</v>
      </c>
      <c r="J101" s="13">
        <f t="shared" si="30"/>
        <v>0</v>
      </c>
      <c r="K101" s="12">
        <v>0</v>
      </c>
      <c r="L101" s="6">
        <v>0</v>
      </c>
      <c r="M101" s="13">
        <f t="shared" si="31"/>
        <v>0</v>
      </c>
      <c r="N101" s="19"/>
      <c r="O101" s="13">
        <f t="shared" si="32"/>
        <v>0</v>
      </c>
      <c r="P101" s="5">
        <v>0.6247</v>
      </c>
      <c r="Q101" s="13">
        <f t="shared" si="33"/>
        <v>351.05016500000005</v>
      </c>
      <c r="R101" s="13">
        <f t="shared" si="34"/>
        <v>351.05016500000005</v>
      </c>
    </row>
    <row r="102" spans="1:18" ht="15">
      <c r="A102" s="27" t="s">
        <v>5</v>
      </c>
      <c r="B102" s="57">
        <v>2005</v>
      </c>
      <c r="C102" s="40" t="s">
        <v>47</v>
      </c>
      <c r="D102" s="41"/>
      <c r="E102" s="41">
        <v>1</v>
      </c>
      <c r="F102" s="43"/>
      <c r="G102" s="44">
        <f>'G-36 Monthly Volumes'!O49</f>
        <v>562.62</v>
      </c>
      <c r="H102" s="12">
        <v>0</v>
      </c>
      <c r="I102" s="6">
        <v>0</v>
      </c>
      <c r="J102" s="13">
        <f t="shared" si="30"/>
        <v>0</v>
      </c>
      <c r="K102" s="12">
        <v>0</v>
      </c>
      <c r="L102" s="6">
        <v>0</v>
      </c>
      <c r="M102" s="13">
        <f t="shared" si="31"/>
        <v>0</v>
      </c>
      <c r="N102" s="19"/>
      <c r="O102" s="13">
        <f t="shared" si="32"/>
        <v>0</v>
      </c>
      <c r="P102" s="5">
        <v>0.6247</v>
      </c>
      <c r="Q102" s="13">
        <f t="shared" si="33"/>
        <v>351.46871400000003</v>
      </c>
      <c r="R102" s="13">
        <f t="shared" si="34"/>
        <v>351.46871400000003</v>
      </c>
    </row>
    <row r="103" spans="1:18" ht="15">
      <c r="A103" s="27" t="s">
        <v>5</v>
      </c>
      <c r="B103" s="57">
        <v>2005</v>
      </c>
      <c r="C103" s="40" t="s">
        <v>48</v>
      </c>
      <c r="D103" s="41"/>
      <c r="E103" s="41">
        <v>1</v>
      </c>
      <c r="F103" s="43"/>
      <c r="G103" s="44">
        <f>'G-36 Monthly Volumes'!O50</f>
        <v>562.62</v>
      </c>
      <c r="H103" s="12">
        <v>0</v>
      </c>
      <c r="I103" s="6">
        <v>0</v>
      </c>
      <c r="J103" s="13">
        <f t="shared" si="30"/>
        <v>0</v>
      </c>
      <c r="K103" s="12">
        <v>0</v>
      </c>
      <c r="L103" s="6">
        <v>0</v>
      </c>
      <c r="M103" s="13">
        <f t="shared" si="31"/>
        <v>0</v>
      </c>
      <c r="N103" s="19"/>
      <c r="O103" s="13">
        <f t="shared" si="32"/>
        <v>0</v>
      </c>
      <c r="P103" s="5">
        <v>0.6247</v>
      </c>
      <c r="Q103" s="13">
        <f t="shared" si="33"/>
        <v>351.46871400000003</v>
      </c>
      <c r="R103" s="13">
        <f t="shared" si="34"/>
        <v>351.46871400000003</v>
      </c>
    </row>
    <row r="104" spans="1:18" ht="15">
      <c r="A104" s="27" t="s">
        <v>5</v>
      </c>
      <c r="B104" s="57">
        <v>2005</v>
      </c>
      <c r="C104" s="40" t="s">
        <v>49</v>
      </c>
      <c r="D104" s="41"/>
      <c r="E104" s="41">
        <v>1</v>
      </c>
      <c r="F104" s="43"/>
      <c r="G104" s="44">
        <f>'G-36 Monthly Volumes'!O51</f>
        <v>562.62</v>
      </c>
      <c r="H104" s="12">
        <v>0</v>
      </c>
      <c r="I104" s="6">
        <v>0</v>
      </c>
      <c r="J104" s="13">
        <f t="shared" si="30"/>
        <v>0</v>
      </c>
      <c r="K104" s="12">
        <v>0</v>
      </c>
      <c r="L104" s="6">
        <v>0</v>
      </c>
      <c r="M104" s="13">
        <f t="shared" si="31"/>
        <v>0</v>
      </c>
      <c r="N104" s="19"/>
      <c r="O104" s="13">
        <f t="shared" si="32"/>
        <v>0</v>
      </c>
      <c r="P104" s="5">
        <v>0.6247</v>
      </c>
      <c r="Q104" s="13">
        <f t="shared" si="33"/>
        <v>351.46871400000003</v>
      </c>
      <c r="R104" s="13">
        <f t="shared" si="34"/>
        <v>351.46871400000003</v>
      </c>
    </row>
    <row r="105" spans="1:18" ht="15.75" thickBot="1">
      <c r="A105" s="27" t="s">
        <v>5</v>
      </c>
      <c r="B105" s="57">
        <v>2005</v>
      </c>
      <c r="C105" s="40" t="s">
        <v>38</v>
      </c>
      <c r="D105" s="41"/>
      <c r="E105" s="41">
        <v>1</v>
      </c>
      <c r="F105" s="43"/>
      <c r="G105" s="44">
        <f>'G-36 Monthly Volumes'!O52</f>
        <v>3.3999999999999773</v>
      </c>
      <c r="H105" s="12">
        <v>0</v>
      </c>
      <c r="I105" s="6">
        <v>0</v>
      </c>
      <c r="J105" s="13">
        <f t="shared" si="30"/>
        <v>0</v>
      </c>
      <c r="K105" s="12">
        <v>0</v>
      </c>
      <c r="L105" s="6">
        <v>0</v>
      </c>
      <c r="M105" s="13">
        <f t="shared" si="31"/>
        <v>0</v>
      </c>
      <c r="N105" s="19"/>
      <c r="O105" s="13">
        <f t="shared" si="32"/>
        <v>0</v>
      </c>
      <c r="P105" s="5">
        <v>0.6247</v>
      </c>
      <c r="Q105" s="13">
        <f t="shared" si="33"/>
        <v>2.1239799999999858</v>
      </c>
      <c r="R105" s="13">
        <f t="shared" si="34"/>
        <v>2.1239799999999858</v>
      </c>
    </row>
    <row r="106" spans="1:18" ht="15.75" thickBot="1">
      <c r="A106" s="59" t="s">
        <v>65</v>
      </c>
      <c r="B106" s="60"/>
      <c r="C106" s="61"/>
      <c r="D106" s="62">
        <f>SUM(D93:D105)</f>
        <v>11212</v>
      </c>
      <c r="E106" s="62"/>
      <c r="F106" s="62">
        <f>SUM(F93:F105)</f>
        <v>0</v>
      </c>
      <c r="G106" s="63">
        <f>SUM(G93:G105)</f>
        <v>6692.49</v>
      </c>
      <c r="H106" s="64"/>
      <c r="I106" s="65"/>
      <c r="J106" s="66">
        <f>SUM(J93:J105)</f>
        <v>0</v>
      </c>
      <c r="K106" s="64"/>
      <c r="L106" s="65"/>
      <c r="M106" s="66">
        <f>SUM(M93:M105)</f>
        <v>0</v>
      </c>
      <c r="N106" s="67"/>
      <c r="O106" s="66">
        <f>SUM(O93:O105)</f>
        <v>1626.6997349399999</v>
      </c>
      <c r="P106" s="67"/>
      <c r="Q106" s="66">
        <f>SUM(Q93:Q105)</f>
        <v>3137.9930400000003</v>
      </c>
      <c r="R106" s="66">
        <f>SUM(R93:R105)</f>
        <v>4764.69277494</v>
      </c>
    </row>
    <row r="107" spans="1:18" ht="15">
      <c r="A107" s="16"/>
      <c r="B107" s="3"/>
      <c r="C107" s="3"/>
      <c r="D107" s="68"/>
      <c r="E107" s="68"/>
      <c r="F107" s="68"/>
      <c r="G107" s="69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22" t="s">
        <v>7</v>
      </c>
      <c r="B108" s="123"/>
      <c r="C108" s="123"/>
      <c r="D108" s="124"/>
      <c r="E108" s="124"/>
      <c r="F108" s="124">
        <f>F16+F31+F46+F61+F76+F91+F106</f>
        <v>155172020.00823826</v>
      </c>
      <c r="G108" s="124">
        <f>G16+G31+G46+G61+G76+G91+G106</f>
        <v>650180.5099999999</v>
      </c>
      <c r="H108" s="122"/>
      <c r="I108" s="123"/>
      <c r="J108" s="125">
        <f>J16+J31+J46+J61+J76+J91+J106</f>
        <v>0</v>
      </c>
      <c r="K108" s="122"/>
      <c r="L108" s="123"/>
      <c r="M108" s="125">
        <f>M16+M31+M46+M61+M76+M91+M106</f>
        <v>0</v>
      </c>
      <c r="N108" s="122"/>
      <c r="O108" s="125">
        <f>O16+O31+O46+O61+O76+O91+O106</f>
        <v>164276.60751782052</v>
      </c>
      <c r="P108" s="122"/>
      <c r="Q108" s="125">
        <f>Q16+Q31+Q46+Q61+Q76+Q91+Q106</f>
        <v>329507.76651978167</v>
      </c>
      <c r="R108" s="125">
        <f>R16+R31+R46+R61+R76+R91+R106</f>
        <v>493784.3740376022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spans="10:11" ht="15">
      <c r="J111" s="8"/>
      <c r="K111" s="2"/>
    </row>
    <row r="112" spans="10:11" ht="15">
      <c r="J112" s="8"/>
      <c r="K112" s="2"/>
    </row>
    <row r="113" spans="10:11" ht="15">
      <c r="J113" s="8"/>
      <c r="K113" s="2"/>
    </row>
    <row r="114" spans="10:11" ht="15">
      <c r="J114" s="8"/>
      <c r="K114" s="2"/>
    </row>
  </sheetData>
  <sheetProtection/>
  <printOptions/>
  <pageMargins left="0.45" right="0.45" top="0.75" bottom="0.75" header="0.3" footer="0.3"/>
  <pageSetup fitToHeight="2" fitToWidth="1" horizontalDpi="600" verticalDpi="600" orientation="portrait" scale="75" r:id="rId1"/>
  <headerFooter>
    <oddHeader>&amp;C&amp;A&amp;RWoodstock Hydro
EB-2011-0207
September 2011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PageLayoutView="0" workbookViewId="0" topLeftCell="A47">
      <selection activeCell="AA111" sqref="AA111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12.8515625" style="0" bestFit="1" customWidth="1"/>
    <col min="4" max="4" width="10.421875" style="0" hidden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hidden="1" customWidth="1"/>
    <col min="9" max="9" width="12.7109375" style="0" hidden="1" customWidth="1"/>
    <col min="10" max="10" width="13.140625" style="0" hidden="1" customWidth="1"/>
    <col min="11" max="11" width="13.421875" style="0" hidden="1" customWidth="1"/>
    <col min="12" max="12" width="11.421875" style="0" hidden="1" customWidth="1"/>
    <col min="13" max="13" width="14.28125" style="0" hidden="1" customWidth="1"/>
    <col min="14" max="14" width="12.57421875" style="0" hidden="1" customWidth="1"/>
    <col min="15" max="15" width="14.00390625" style="0" hidden="1" customWidth="1"/>
    <col min="16" max="16" width="9.00390625" style="0" bestFit="1" customWidth="1"/>
    <col min="17" max="18" width="12.57421875" style="0" bestFit="1" customWidth="1"/>
  </cols>
  <sheetData>
    <row r="1" s="1" customFormat="1" ht="15.75" thickBot="1"/>
    <row r="2" spans="1:18" s="23" customFormat="1" ht="75">
      <c r="A2" s="37" t="s">
        <v>24</v>
      </c>
      <c r="B2" s="56"/>
      <c r="C2" s="38" t="s">
        <v>23</v>
      </c>
      <c r="D2" s="38" t="s">
        <v>58</v>
      </c>
      <c r="E2" s="38" t="s">
        <v>27</v>
      </c>
      <c r="F2" s="38" t="s">
        <v>89</v>
      </c>
      <c r="G2" s="39" t="s">
        <v>90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15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7" t="s">
        <v>0</v>
      </c>
      <c r="B3" s="57">
        <v>2006</v>
      </c>
      <c r="C3" s="40" t="s">
        <v>39</v>
      </c>
      <c r="D3" s="41"/>
      <c r="E3" s="41">
        <v>1</v>
      </c>
      <c r="F3" s="41">
        <f>'G-36 Monthly Volumes'!G4</f>
        <v>9725752.59252654</v>
      </c>
      <c r="G3" s="42"/>
      <c r="H3" s="12">
        <v>0</v>
      </c>
      <c r="I3" s="6">
        <v>0</v>
      </c>
      <c r="J3" s="13">
        <f>D3*E3*H3+(F3+G3)*I3</f>
        <v>0</v>
      </c>
      <c r="K3" s="12">
        <v>0</v>
      </c>
      <c r="L3" s="6">
        <v>0</v>
      </c>
      <c r="M3" s="13">
        <f>D3*E3*K3+(F3+G3)*L3</f>
        <v>0</v>
      </c>
      <c r="N3" s="19"/>
      <c r="O3" s="13">
        <f>(F3+G3)*N3</f>
        <v>0</v>
      </c>
      <c r="P3" s="3">
        <v>0.0024</v>
      </c>
      <c r="Q3" s="13">
        <f>(F3+G3)*P3</f>
        <v>23341.806222063693</v>
      </c>
      <c r="R3" s="13">
        <f>J3+M3+O3+Q3</f>
        <v>23341.806222063693</v>
      </c>
    </row>
    <row r="4" spans="1:18" ht="15">
      <c r="A4" s="27" t="s">
        <v>0</v>
      </c>
      <c r="B4" s="57">
        <v>2006</v>
      </c>
      <c r="C4" s="40" t="s">
        <v>40</v>
      </c>
      <c r="D4" s="41"/>
      <c r="E4" s="41">
        <v>1</v>
      </c>
      <c r="F4" s="41">
        <f>'G-36 Monthly Volumes'!G5</f>
        <v>11276205.73857794</v>
      </c>
      <c r="G4" s="42"/>
      <c r="H4" s="12">
        <v>0</v>
      </c>
      <c r="I4" s="6">
        <v>0</v>
      </c>
      <c r="J4" s="13">
        <f>D4*E4*H4+(F4+G4)*I4</f>
        <v>0</v>
      </c>
      <c r="K4" s="12">
        <v>0</v>
      </c>
      <c r="L4" s="6">
        <v>0</v>
      </c>
      <c r="M4" s="13">
        <f>D4*E4*K4+(F4+G4)*L4</f>
        <v>0</v>
      </c>
      <c r="N4" s="19"/>
      <c r="O4" s="13">
        <f>(F4+G4)*N4</f>
        <v>0</v>
      </c>
      <c r="P4" s="3">
        <v>0.0024</v>
      </c>
      <c r="Q4" s="13">
        <f>(F4+G4)*P4</f>
        <v>27062.893772587053</v>
      </c>
      <c r="R4" s="13">
        <f>J4+M4+O4+Q4</f>
        <v>27062.893772587053</v>
      </c>
    </row>
    <row r="5" spans="1:18" ht="15">
      <c r="A5" s="27" t="s">
        <v>0</v>
      </c>
      <c r="B5" s="57">
        <v>2006</v>
      </c>
      <c r="C5" s="40" t="s">
        <v>41</v>
      </c>
      <c r="D5" s="41"/>
      <c r="E5" s="41">
        <v>1</v>
      </c>
      <c r="F5" s="41">
        <f>'G-36 Monthly Volumes'!G6</f>
        <v>8794472.951704111</v>
      </c>
      <c r="G5" s="42"/>
      <c r="H5" s="12">
        <v>0</v>
      </c>
      <c r="I5" s="6">
        <v>0</v>
      </c>
      <c r="J5" s="13">
        <f>D5*E5*H5+(F5+G5)*I5</f>
        <v>0</v>
      </c>
      <c r="K5" s="12">
        <v>0</v>
      </c>
      <c r="L5" s="6">
        <v>0</v>
      </c>
      <c r="M5" s="13">
        <f>D5*E5*K5+(F5+G5)*L5</f>
        <v>0</v>
      </c>
      <c r="N5" s="19"/>
      <c r="O5" s="13">
        <f>(F5+G5)*N5</f>
        <v>0</v>
      </c>
      <c r="P5" s="3">
        <v>0.0024</v>
      </c>
      <c r="Q5" s="13">
        <f>(F5+G5)*P5</f>
        <v>21106.735084089865</v>
      </c>
      <c r="R5" s="13">
        <f>J5+M5+O5+Q5</f>
        <v>21106.735084089865</v>
      </c>
    </row>
    <row r="6" spans="1:18" ht="15">
      <c r="A6" s="27" t="s">
        <v>0</v>
      </c>
      <c r="B6" s="57">
        <v>2006</v>
      </c>
      <c r="C6" s="40" t="s">
        <v>42</v>
      </c>
      <c r="D6" s="41"/>
      <c r="E6" s="41">
        <v>1</v>
      </c>
      <c r="F6" s="41">
        <f>'G-36 Monthly Volumes'!G7</f>
        <v>7785524.09401681</v>
      </c>
      <c r="G6" s="42"/>
      <c r="H6" s="12">
        <v>0</v>
      </c>
      <c r="I6" s="6">
        <v>0</v>
      </c>
      <c r="J6" s="13">
        <f aca="true" t="shared" si="0" ref="J6:J15">D6*E6*H6+(F6+G6)*I6</f>
        <v>0</v>
      </c>
      <c r="K6" s="12">
        <v>0</v>
      </c>
      <c r="L6" s="6">
        <v>0</v>
      </c>
      <c r="M6" s="13">
        <f aca="true" t="shared" si="1" ref="M6:M15">D6*E6*K6+(F6+G6)*L6</f>
        <v>0</v>
      </c>
      <c r="N6" s="19"/>
      <c r="O6" s="13">
        <f aca="true" t="shared" si="2" ref="O6:O15">(F6+G6)*N6</f>
        <v>0</v>
      </c>
      <c r="P6" s="3">
        <v>0.0024</v>
      </c>
      <c r="Q6" s="13">
        <f aca="true" t="shared" si="3" ref="Q6:Q15">(F6+G6)*P6</f>
        <v>18685.257825640343</v>
      </c>
      <c r="R6" s="13">
        <f aca="true" t="shared" si="4" ref="R6:R15">J6+M6+O6+Q6</f>
        <v>18685.257825640343</v>
      </c>
    </row>
    <row r="7" spans="1:18" ht="14.25" customHeight="1" hidden="1">
      <c r="A7" s="27" t="s">
        <v>0</v>
      </c>
      <c r="B7" s="57">
        <v>2006</v>
      </c>
      <c r="C7" s="40" t="s">
        <v>35</v>
      </c>
      <c r="D7" s="41"/>
      <c r="E7" s="41"/>
      <c r="F7" s="41">
        <f>'G-36 Monthly Volumes'!G8</f>
        <v>0</v>
      </c>
      <c r="G7" s="42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9"/>
      <c r="O7" s="13">
        <f t="shared" si="2"/>
        <v>0</v>
      </c>
      <c r="P7" s="3">
        <v>0.0024</v>
      </c>
      <c r="Q7" s="13">
        <f t="shared" si="3"/>
        <v>0</v>
      </c>
      <c r="R7" s="13">
        <f t="shared" si="4"/>
        <v>0</v>
      </c>
    </row>
    <row r="8" spans="1:18" ht="15" hidden="1">
      <c r="A8" s="27" t="s">
        <v>0</v>
      </c>
      <c r="B8" s="57">
        <v>2006</v>
      </c>
      <c r="C8" s="40" t="s">
        <v>43</v>
      </c>
      <c r="D8" s="41"/>
      <c r="E8" s="41"/>
      <c r="F8" s="41">
        <f>'G-36 Monthly Volumes'!G9</f>
        <v>0</v>
      </c>
      <c r="G8" s="42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/>
      <c r="O8" s="13">
        <f t="shared" si="2"/>
        <v>0</v>
      </c>
      <c r="P8" s="3">
        <v>0.0024</v>
      </c>
      <c r="Q8" s="13">
        <f t="shared" si="3"/>
        <v>0</v>
      </c>
      <c r="R8" s="13">
        <f t="shared" si="4"/>
        <v>0</v>
      </c>
    </row>
    <row r="9" spans="1:18" ht="15" hidden="1">
      <c r="A9" s="27" t="s">
        <v>0</v>
      </c>
      <c r="B9" s="57">
        <v>2006</v>
      </c>
      <c r="C9" s="40" t="s">
        <v>44</v>
      </c>
      <c r="D9" s="41"/>
      <c r="E9" s="41"/>
      <c r="F9" s="41">
        <f>'G-36 Monthly Volumes'!G10</f>
        <v>0</v>
      </c>
      <c r="G9" s="42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/>
      <c r="O9" s="13">
        <f t="shared" si="2"/>
        <v>0</v>
      </c>
      <c r="P9" s="3">
        <v>0.0024</v>
      </c>
      <c r="Q9" s="13">
        <f t="shared" si="3"/>
        <v>0</v>
      </c>
      <c r="R9" s="13">
        <f t="shared" si="4"/>
        <v>0</v>
      </c>
    </row>
    <row r="10" spans="1:18" ht="15" hidden="1">
      <c r="A10" s="27" t="s">
        <v>0</v>
      </c>
      <c r="B10" s="57">
        <v>2006</v>
      </c>
      <c r="C10" s="40" t="s">
        <v>45</v>
      </c>
      <c r="D10" s="41"/>
      <c r="E10" s="41"/>
      <c r="F10" s="41">
        <f>'G-36 Monthly Volumes'!G11</f>
        <v>0</v>
      </c>
      <c r="G10" s="42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/>
      <c r="O10" s="13">
        <f t="shared" si="2"/>
        <v>0</v>
      </c>
      <c r="P10" s="3">
        <v>0.0024</v>
      </c>
      <c r="Q10" s="13">
        <f t="shared" si="3"/>
        <v>0</v>
      </c>
      <c r="R10" s="13">
        <f t="shared" si="4"/>
        <v>0</v>
      </c>
    </row>
    <row r="11" spans="1:18" ht="15" hidden="1">
      <c r="A11" s="27" t="s">
        <v>0</v>
      </c>
      <c r="B11" s="57">
        <v>2006</v>
      </c>
      <c r="C11" s="40" t="s">
        <v>46</v>
      </c>
      <c r="D11" s="41"/>
      <c r="E11" s="41"/>
      <c r="F11" s="41">
        <f>'G-36 Monthly Volumes'!G12</f>
        <v>0</v>
      </c>
      <c r="G11" s="42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/>
      <c r="O11" s="13">
        <f t="shared" si="2"/>
        <v>0</v>
      </c>
      <c r="P11" s="3">
        <v>0.0024</v>
      </c>
      <c r="Q11" s="13">
        <f t="shared" si="3"/>
        <v>0</v>
      </c>
      <c r="R11" s="13">
        <f t="shared" si="4"/>
        <v>0</v>
      </c>
    </row>
    <row r="12" spans="1:18" ht="15" hidden="1">
      <c r="A12" s="27" t="s">
        <v>0</v>
      </c>
      <c r="B12" s="57">
        <v>2006</v>
      </c>
      <c r="C12" s="40" t="s">
        <v>47</v>
      </c>
      <c r="D12" s="41"/>
      <c r="E12" s="41"/>
      <c r="F12" s="41">
        <f>'G-36 Monthly Volumes'!G13</f>
        <v>0</v>
      </c>
      <c r="G12" s="42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/>
      <c r="O12" s="13">
        <f t="shared" si="2"/>
        <v>0</v>
      </c>
      <c r="P12" s="3">
        <v>0.0024</v>
      </c>
      <c r="Q12" s="13">
        <f t="shared" si="3"/>
        <v>0</v>
      </c>
      <c r="R12" s="13">
        <f t="shared" si="4"/>
        <v>0</v>
      </c>
    </row>
    <row r="13" spans="1:18" ht="15" hidden="1">
      <c r="A13" s="27" t="s">
        <v>0</v>
      </c>
      <c r="B13" s="57">
        <v>2006</v>
      </c>
      <c r="C13" s="40" t="s">
        <v>48</v>
      </c>
      <c r="D13" s="41"/>
      <c r="E13" s="41"/>
      <c r="F13" s="41">
        <f>'G-36 Monthly Volumes'!G14</f>
        <v>0</v>
      </c>
      <c r="G13" s="42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/>
      <c r="O13" s="13">
        <f t="shared" si="2"/>
        <v>0</v>
      </c>
      <c r="P13" s="3">
        <v>0.0024</v>
      </c>
      <c r="Q13" s="13">
        <f t="shared" si="3"/>
        <v>0</v>
      </c>
      <c r="R13" s="13">
        <f t="shared" si="4"/>
        <v>0</v>
      </c>
    </row>
    <row r="14" spans="1:18" ht="15" hidden="1">
      <c r="A14" s="27" t="s">
        <v>0</v>
      </c>
      <c r="B14" s="57">
        <v>2006</v>
      </c>
      <c r="C14" s="40" t="s">
        <v>49</v>
      </c>
      <c r="D14" s="41"/>
      <c r="E14" s="41"/>
      <c r="F14" s="41">
        <f>'G-36 Monthly Volumes'!G15</f>
        <v>0</v>
      </c>
      <c r="G14" s="42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/>
      <c r="O14" s="13">
        <f t="shared" si="2"/>
        <v>0</v>
      </c>
      <c r="P14" s="3">
        <v>0.0024</v>
      </c>
      <c r="Q14" s="13">
        <f t="shared" si="3"/>
        <v>0</v>
      </c>
      <c r="R14" s="13">
        <f t="shared" si="4"/>
        <v>0</v>
      </c>
    </row>
    <row r="15" spans="1:18" ht="15.75" thickBot="1">
      <c r="A15" s="27" t="s">
        <v>0</v>
      </c>
      <c r="B15" s="57">
        <v>2006</v>
      </c>
      <c r="C15" s="40" t="s">
        <v>38</v>
      </c>
      <c r="D15" s="41"/>
      <c r="E15" s="41">
        <v>1</v>
      </c>
      <c r="F15" s="41">
        <f>'G-36 Monthly Volumes'!G16</f>
        <v>-3032209.0909090876</v>
      </c>
      <c r="G15" s="42"/>
      <c r="H15" s="12">
        <v>0</v>
      </c>
      <c r="I15" s="6">
        <v>0</v>
      </c>
      <c r="J15" s="13">
        <f t="shared" si="0"/>
        <v>0</v>
      </c>
      <c r="K15" s="12">
        <v>0</v>
      </c>
      <c r="L15" s="6">
        <v>0</v>
      </c>
      <c r="M15" s="13">
        <f t="shared" si="1"/>
        <v>0</v>
      </c>
      <c r="N15" s="19"/>
      <c r="O15" s="13">
        <f t="shared" si="2"/>
        <v>0</v>
      </c>
      <c r="P15" s="3">
        <v>0.0024</v>
      </c>
      <c r="Q15" s="13">
        <f t="shared" si="3"/>
        <v>-7277.30181818181</v>
      </c>
      <c r="R15" s="13">
        <f t="shared" si="4"/>
        <v>-7277.30181818181</v>
      </c>
    </row>
    <row r="16" spans="1:18" ht="15.75" thickBot="1">
      <c r="A16" s="59" t="s">
        <v>59</v>
      </c>
      <c r="B16" s="60"/>
      <c r="C16" s="61"/>
      <c r="D16" s="62">
        <f>SUM(D3:D15)</f>
        <v>0</v>
      </c>
      <c r="E16" s="62"/>
      <c r="F16" s="62">
        <f>SUM(F3:F15)</f>
        <v>34549746.28591631</v>
      </c>
      <c r="G16" s="63">
        <f>SUM(G3:G15)</f>
        <v>0</v>
      </c>
      <c r="H16" s="64"/>
      <c r="I16" s="65"/>
      <c r="J16" s="66">
        <f>SUM(J3:J15)</f>
        <v>0</v>
      </c>
      <c r="K16" s="64"/>
      <c r="L16" s="65"/>
      <c r="M16" s="66">
        <f>SUM(M3:M15)</f>
        <v>0</v>
      </c>
      <c r="N16" s="67"/>
      <c r="O16" s="66">
        <f>SUM(O3:O15)</f>
        <v>0</v>
      </c>
      <c r="P16" s="67"/>
      <c r="Q16" s="66">
        <f>SUM(Q3:Q15)</f>
        <v>82919.39108619916</v>
      </c>
      <c r="R16" s="66">
        <f>SUM(R3:R15)</f>
        <v>82919.39108619916</v>
      </c>
    </row>
    <row r="17" spans="1:18" ht="15">
      <c r="A17" s="27"/>
      <c r="B17" s="57"/>
      <c r="C17" s="40"/>
      <c r="D17" s="41"/>
      <c r="E17" s="41"/>
      <c r="F17" s="41"/>
      <c r="G17" s="42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7" t="s">
        <v>1</v>
      </c>
      <c r="B18" s="57">
        <v>2006</v>
      </c>
      <c r="C18" s="40" t="s">
        <v>39</v>
      </c>
      <c r="D18" s="41"/>
      <c r="E18" s="41">
        <v>1</v>
      </c>
      <c r="F18" s="41">
        <f>'G-36 Monthly Volumes'!G22</f>
        <v>4794295.116185277</v>
      </c>
      <c r="G18" s="42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9"/>
      <c r="O18" s="13">
        <f>(F18+G18)*N18</f>
        <v>0</v>
      </c>
      <c r="P18" s="3">
        <v>0.0013</v>
      </c>
      <c r="Q18" s="13">
        <f>(F18+G18)*P18</f>
        <v>6232.58365104086</v>
      </c>
      <c r="R18" s="13">
        <f>J18+M18+O18+Q18</f>
        <v>6232.58365104086</v>
      </c>
    </row>
    <row r="19" spans="1:18" ht="15">
      <c r="A19" s="27" t="s">
        <v>1</v>
      </c>
      <c r="B19" s="57">
        <v>2006</v>
      </c>
      <c r="C19" s="40" t="s">
        <v>40</v>
      </c>
      <c r="D19" s="41"/>
      <c r="E19" s="41">
        <v>1</v>
      </c>
      <c r="F19" s="41">
        <f>'G-36 Monthly Volumes'!G23</f>
        <v>3588147.6530399364</v>
      </c>
      <c r="G19" s="42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9"/>
      <c r="O19" s="13">
        <f>(F19+G19)*N19</f>
        <v>0</v>
      </c>
      <c r="P19" s="3">
        <v>0.0013</v>
      </c>
      <c r="Q19" s="13">
        <f>(F19+G19)*P19</f>
        <v>4664.591948951917</v>
      </c>
      <c r="R19" s="13">
        <f>J19+M19+O19+Q19</f>
        <v>4664.591948951917</v>
      </c>
    </row>
    <row r="20" spans="1:18" ht="15">
      <c r="A20" s="27" t="s">
        <v>1</v>
      </c>
      <c r="B20" s="57">
        <v>2006</v>
      </c>
      <c r="C20" s="40" t="s">
        <v>41</v>
      </c>
      <c r="D20" s="41"/>
      <c r="E20" s="41">
        <v>1</v>
      </c>
      <c r="F20" s="41">
        <f>'G-36 Monthly Volumes'!G24</f>
        <v>3856018.0348171564</v>
      </c>
      <c r="G20" s="42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9"/>
      <c r="O20" s="13">
        <f>(F20+G20)*N20</f>
        <v>0</v>
      </c>
      <c r="P20" s="3">
        <v>0.0013</v>
      </c>
      <c r="Q20" s="13">
        <f>(F20+G20)*P20</f>
        <v>5012.823445262303</v>
      </c>
      <c r="R20" s="13">
        <f>J20+M20+O20+Q20</f>
        <v>5012.823445262303</v>
      </c>
    </row>
    <row r="21" spans="1:18" ht="15">
      <c r="A21" s="27" t="s">
        <v>1</v>
      </c>
      <c r="B21" s="57">
        <v>2006</v>
      </c>
      <c r="C21" s="40" t="s">
        <v>42</v>
      </c>
      <c r="D21" s="41"/>
      <c r="E21" s="41">
        <v>1</v>
      </c>
      <c r="F21" s="41">
        <f>'G-36 Monthly Volumes'!G25</f>
        <v>3908604.1751905163</v>
      </c>
      <c r="G21" s="42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/>
      <c r="O21" s="13">
        <f>(F21+G21)*N21</f>
        <v>0</v>
      </c>
      <c r="P21" s="3">
        <v>0.0013</v>
      </c>
      <c r="Q21" s="13">
        <f>(F21+G21)*P21</f>
        <v>5081.185427747671</v>
      </c>
      <c r="R21" s="13">
        <f>J21+M21+O21+Q21</f>
        <v>5081.185427747671</v>
      </c>
    </row>
    <row r="22" spans="1:18" ht="15" hidden="1">
      <c r="A22" s="27" t="s">
        <v>1</v>
      </c>
      <c r="B22" s="57">
        <v>2006</v>
      </c>
      <c r="C22" s="40" t="s">
        <v>35</v>
      </c>
      <c r="D22" s="41"/>
      <c r="E22" s="41">
        <v>1</v>
      </c>
      <c r="F22" s="41">
        <f>'G-36 Monthly Volumes'!G26</f>
        <v>0</v>
      </c>
      <c r="G22" s="42"/>
      <c r="H22" s="12">
        <v>0</v>
      </c>
      <c r="I22" s="6">
        <v>0</v>
      </c>
      <c r="J22" s="13">
        <f aca="true" t="shared" si="5" ref="J22:J30">D22*E22*H22+(F22+G22)*I22</f>
        <v>0</v>
      </c>
      <c r="K22" s="12">
        <v>0</v>
      </c>
      <c r="L22" s="6">
        <v>0</v>
      </c>
      <c r="M22" s="13">
        <f aca="true" t="shared" si="6" ref="M22:M30">D22*E22*K22+(F22+G22)*L22</f>
        <v>0</v>
      </c>
      <c r="N22" s="19"/>
      <c r="O22" s="13">
        <f aca="true" t="shared" si="7" ref="O22:O30">(F22+G22)*N22</f>
        <v>0</v>
      </c>
      <c r="P22" s="3">
        <v>0.0013</v>
      </c>
      <c r="Q22" s="13">
        <f aca="true" t="shared" si="8" ref="Q22:Q30">(F22+G22)*P22</f>
        <v>0</v>
      </c>
      <c r="R22" s="13">
        <f aca="true" t="shared" si="9" ref="R22:R30">J22+M22+O22+Q22</f>
        <v>0</v>
      </c>
    </row>
    <row r="23" spans="1:18" ht="15" hidden="1">
      <c r="A23" s="27" t="s">
        <v>1</v>
      </c>
      <c r="B23" s="57">
        <v>2006</v>
      </c>
      <c r="C23" s="40" t="s">
        <v>43</v>
      </c>
      <c r="D23" s="41"/>
      <c r="E23" s="41">
        <v>1</v>
      </c>
      <c r="F23" s="41">
        <f>'G-36 Monthly Volumes'!G27</f>
        <v>0</v>
      </c>
      <c r="G23" s="42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/>
      <c r="O23" s="13">
        <f t="shared" si="7"/>
        <v>0</v>
      </c>
      <c r="P23" s="3">
        <v>0.0013</v>
      </c>
      <c r="Q23" s="13">
        <f t="shared" si="8"/>
        <v>0</v>
      </c>
      <c r="R23" s="13">
        <f t="shared" si="9"/>
        <v>0</v>
      </c>
    </row>
    <row r="24" spans="1:18" ht="15" hidden="1">
      <c r="A24" s="27" t="s">
        <v>1</v>
      </c>
      <c r="B24" s="57">
        <v>2006</v>
      </c>
      <c r="C24" s="40" t="s">
        <v>44</v>
      </c>
      <c r="D24" s="41"/>
      <c r="E24" s="41">
        <v>1</v>
      </c>
      <c r="F24" s="41">
        <f>'G-36 Monthly Volumes'!G28</f>
        <v>0</v>
      </c>
      <c r="G24" s="42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/>
      <c r="O24" s="13">
        <f t="shared" si="7"/>
        <v>0</v>
      </c>
      <c r="P24" s="3">
        <v>0.0013</v>
      </c>
      <c r="Q24" s="13">
        <f t="shared" si="8"/>
        <v>0</v>
      </c>
      <c r="R24" s="13">
        <f t="shared" si="9"/>
        <v>0</v>
      </c>
    </row>
    <row r="25" spans="1:18" ht="15" hidden="1">
      <c r="A25" s="27" t="s">
        <v>1</v>
      </c>
      <c r="B25" s="57">
        <v>2006</v>
      </c>
      <c r="C25" s="40" t="s">
        <v>45</v>
      </c>
      <c r="D25" s="41"/>
      <c r="E25" s="41">
        <v>1</v>
      </c>
      <c r="F25" s="41">
        <f>'G-36 Monthly Volumes'!G29</f>
        <v>0</v>
      </c>
      <c r="G25" s="42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/>
      <c r="O25" s="13">
        <f t="shared" si="7"/>
        <v>0</v>
      </c>
      <c r="P25" s="3">
        <v>0.0013</v>
      </c>
      <c r="Q25" s="13">
        <f t="shared" si="8"/>
        <v>0</v>
      </c>
      <c r="R25" s="13">
        <f t="shared" si="9"/>
        <v>0</v>
      </c>
    </row>
    <row r="26" spans="1:18" ht="15" hidden="1">
      <c r="A26" s="27" t="s">
        <v>1</v>
      </c>
      <c r="B26" s="57">
        <v>2006</v>
      </c>
      <c r="C26" s="40" t="s">
        <v>46</v>
      </c>
      <c r="D26" s="41"/>
      <c r="E26" s="41">
        <v>1</v>
      </c>
      <c r="F26" s="41">
        <f>'G-36 Monthly Volumes'!G30</f>
        <v>0</v>
      </c>
      <c r="G26" s="42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/>
      <c r="O26" s="13">
        <f t="shared" si="7"/>
        <v>0</v>
      </c>
      <c r="P26" s="3">
        <v>0.0013</v>
      </c>
      <c r="Q26" s="13">
        <f t="shared" si="8"/>
        <v>0</v>
      </c>
      <c r="R26" s="13">
        <f t="shared" si="9"/>
        <v>0</v>
      </c>
    </row>
    <row r="27" spans="1:18" ht="15" hidden="1">
      <c r="A27" s="27" t="s">
        <v>1</v>
      </c>
      <c r="B27" s="57">
        <v>2006</v>
      </c>
      <c r="C27" s="40" t="s">
        <v>47</v>
      </c>
      <c r="D27" s="41"/>
      <c r="E27" s="41">
        <v>1</v>
      </c>
      <c r="F27" s="41">
        <f>'G-36 Monthly Volumes'!G31</f>
        <v>0</v>
      </c>
      <c r="G27" s="42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/>
      <c r="O27" s="13">
        <f t="shared" si="7"/>
        <v>0</v>
      </c>
      <c r="P27" s="3">
        <v>0.0013</v>
      </c>
      <c r="Q27" s="13">
        <f t="shared" si="8"/>
        <v>0</v>
      </c>
      <c r="R27" s="13">
        <f t="shared" si="9"/>
        <v>0</v>
      </c>
    </row>
    <row r="28" spans="1:18" ht="15" hidden="1">
      <c r="A28" s="27" t="s">
        <v>1</v>
      </c>
      <c r="B28" s="57">
        <v>2006</v>
      </c>
      <c r="C28" s="40" t="s">
        <v>48</v>
      </c>
      <c r="D28" s="41"/>
      <c r="E28" s="41">
        <v>1</v>
      </c>
      <c r="F28" s="41">
        <f>'G-36 Monthly Volumes'!G32</f>
        <v>0</v>
      </c>
      <c r="G28" s="42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/>
      <c r="O28" s="13">
        <f t="shared" si="7"/>
        <v>0</v>
      </c>
      <c r="P28" s="3">
        <v>0.0013</v>
      </c>
      <c r="Q28" s="13">
        <f t="shared" si="8"/>
        <v>0</v>
      </c>
      <c r="R28" s="13">
        <f t="shared" si="9"/>
        <v>0</v>
      </c>
    </row>
    <row r="29" spans="1:18" ht="15" hidden="1">
      <c r="A29" s="27" t="s">
        <v>1</v>
      </c>
      <c r="B29" s="57">
        <v>2006</v>
      </c>
      <c r="C29" s="40" t="s">
        <v>49</v>
      </c>
      <c r="D29" s="41"/>
      <c r="E29" s="41">
        <v>1</v>
      </c>
      <c r="F29" s="41">
        <f>'G-36 Monthly Volumes'!G33</f>
        <v>0</v>
      </c>
      <c r="G29" s="42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/>
      <c r="O29" s="13">
        <f t="shared" si="7"/>
        <v>0</v>
      </c>
      <c r="P29" s="3">
        <v>0.0013</v>
      </c>
      <c r="Q29" s="13">
        <f t="shared" si="8"/>
        <v>0</v>
      </c>
      <c r="R29" s="13">
        <f t="shared" si="9"/>
        <v>0</v>
      </c>
    </row>
    <row r="30" spans="1:18" ht="15.75" thickBot="1">
      <c r="A30" s="27" t="s">
        <v>1</v>
      </c>
      <c r="B30" s="57">
        <v>2006</v>
      </c>
      <c r="C30" s="40" t="s">
        <v>38</v>
      </c>
      <c r="D30" s="41"/>
      <c r="E30" s="41">
        <v>1</v>
      </c>
      <c r="F30" s="41">
        <f>'G-36 Monthly Volumes'!G34</f>
        <v>-1704774.5454545456</v>
      </c>
      <c r="G30" s="42"/>
      <c r="H30" s="12">
        <v>0</v>
      </c>
      <c r="I30" s="6">
        <v>0</v>
      </c>
      <c r="J30" s="13">
        <f t="shared" si="5"/>
        <v>0</v>
      </c>
      <c r="K30" s="12">
        <v>0</v>
      </c>
      <c r="L30" s="6">
        <v>0</v>
      </c>
      <c r="M30" s="13">
        <f t="shared" si="6"/>
        <v>0</v>
      </c>
      <c r="N30" s="19"/>
      <c r="O30" s="13">
        <f t="shared" si="7"/>
        <v>0</v>
      </c>
      <c r="P30" s="3">
        <v>0.0013</v>
      </c>
      <c r="Q30" s="13">
        <f t="shared" si="8"/>
        <v>-2216.2069090909094</v>
      </c>
      <c r="R30" s="13">
        <f t="shared" si="9"/>
        <v>-2216.2069090909094</v>
      </c>
    </row>
    <row r="31" spans="1:18" ht="15.75" thickBot="1">
      <c r="A31" s="59" t="s">
        <v>60</v>
      </c>
      <c r="B31" s="60"/>
      <c r="C31" s="61"/>
      <c r="D31" s="62">
        <f>SUM(D18:D30)</f>
        <v>0</v>
      </c>
      <c r="E31" s="62"/>
      <c r="F31" s="62">
        <f>SUM(F18:F30)</f>
        <v>14442290.43377834</v>
      </c>
      <c r="G31" s="63">
        <f>SUM(G18:G30)</f>
        <v>0</v>
      </c>
      <c r="H31" s="64"/>
      <c r="I31" s="65"/>
      <c r="J31" s="66">
        <f>SUM(J18:J30)</f>
        <v>0</v>
      </c>
      <c r="K31" s="64"/>
      <c r="L31" s="65"/>
      <c r="M31" s="66">
        <f>SUM(M18:M30)</f>
        <v>0</v>
      </c>
      <c r="N31" s="67"/>
      <c r="O31" s="66">
        <f>SUM(O18:O30)</f>
        <v>0</v>
      </c>
      <c r="P31" s="67"/>
      <c r="Q31" s="66">
        <f>SUM(Q18:Q30)</f>
        <v>18774.97756391184</v>
      </c>
      <c r="R31" s="66">
        <f>SUM(R18:R30)</f>
        <v>18774.97756391184</v>
      </c>
    </row>
    <row r="32" spans="1:18" ht="15">
      <c r="A32" s="27"/>
      <c r="B32" s="57"/>
      <c r="C32" s="40"/>
      <c r="D32" s="41"/>
      <c r="E32" s="41"/>
      <c r="F32" s="41"/>
      <c r="G32" s="42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7" t="s">
        <v>8</v>
      </c>
      <c r="B33" s="57">
        <v>2006</v>
      </c>
      <c r="C33" s="40" t="s">
        <v>39</v>
      </c>
      <c r="D33" s="41"/>
      <c r="E33" s="41">
        <v>1</v>
      </c>
      <c r="F33" s="41">
        <f>'G-36 Monthly Volumes'!G40</f>
        <v>73764.33333333333</v>
      </c>
      <c r="G33" s="42"/>
      <c r="H33" s="12">
        <v>0</v>
      </c>
      <c r="I33" s="6">
        <v>0</v>
      </c>
      <c r="J33" s="13">
        <f>D33*E33*H33+(F33+G33)*I33</f>
        <v>0</v>
      </c>
      <c r="K33" s="12">
        <v>0</v>
      </c>
      <c r="L33" s="6">
        <v>0</v>
      </c>
      <c r="M33" s="13">
        <f>D33*E33*K33+(F33+G33)*L33</f>
        <v>0</v>
      </c>
      <c r="N33" s="19"/>
      <c r="O33" s="13">
        <f>(F33+G33)*N33</f>
        <v>0</v>
      </c>
      <c r="P33" s="3">
        <v>0.0013</v>
      </c>
      <c r="Q33" s="13">
        <f>(F33+G33)*P33</f>
        <v>95.89363333333333</v>
      </c>
      <c r="R33" s="13">
        <f>J33+M33+O33+Q33</f>
        <v>95.89363333333333</v>
      </c>
    </row>
    <row r="34" spans="1:18" ht="15">
      <c r="A34" s="27" t="s">
        <v>8</v>
      </c>
      <c r="B34" s="57">
        <v>2006</v>
      </c>
      <c r="C34" s="40" t="s">
        <v>40</v>
      </c>
      <c r="D34" s="41"/>
      <c r="E34" s="41">
        <v>1</v>
      </c>
      <c r="F34" s="41">
        <f>'G-36 Monthly Volumes'!G41</f>
        <v>73764.33333333333</v>
      </c>
      <c r="G34" s="42"/>
      <c r="H34" s="12">
        <v>0</v>
      </c>
      <c r="I34" s="6">
        <v>0</v>
      </c>
      <c r="J34" s="13">
        <f>D34*E34*H34+(F34+G34)*I34</f>
        <v>0</v>
      </c>
      <c r="K34" s="12">
        <v>0</v>
      </c>
      <c r="L34" s="6">
        <v>0</v>
      </c>
      <c r="M34" s="13">
        <f>D34*E34*K34+(F34+G34)*L34</f>
        <v>0</v>
      </c>
      <c r="N34" s="19"/>
      <c r="O34" s="13">
        <f>(F34+G34)*N34</f>
        <v>0</v>
      </c>
      <c r="P34" s="3">
        <v>0.0013</v>
      </c>
      <c r="Q34" s="13">
        <f>(F34+G34)*P34</f>
        <v>95.89363333333333</v>
      </c>
      <c r="R34" s="13">
        <f>J34+M34+O34+Q34</f>
        <v>95.89363333333333</v>
      </c>
    </row>
    <row r="35" spans="1:18" ht="15">
      <c r="A35" s="27" t="s">
        <v>8</v>
      </c>
      <c r="B35" s="57">
        <v>2006</v>
      </c>
      <c r="C35" s="40" t="s">
        <v>41</v>
      </c>
      <c r="D35" s="41"/>
      <c r="E35" s="41">
        <v>1</v>
      </c>
      <c r="F35" s="41">
        <f>'G-36 Monthly Volumes'!G42</f>
        <v>73764.33333333333</v>
      </c>
      <c r="G35" s="42"/>
      <c r="H35" s="12">
        <v>0</v>
      </c>
      <c r="I35" s="6">
        <v>0</v>
      </c>
      <c r="J35" s="13">
        <f>D35*E35*H35+(F35+G35)*I35</f>
        <v>0</v>
      </c>
      <c r="K35" s="12">
        <v>0</v>
      </c>
      <c r="L35" s="6">
        <v>0</v>
      </c>
      <c r="M35" s="13">
        <f>D35*E35*K35+(F35+G35)*L35</f>
        <v>0</v>
      </c>
      <c r="N35" s="19"/>
      <c r="O35" s="13">
        <f>(F35+G35)*N35</f>
        <v>0</v>
      </c>
      <c r="P35" s="3">
        <v>0.0013</v>
      </c>
      <c r="Q35" s="13">
        <f>(F35+G35)*P35</f>
        <v>95.89363333333333</v>
      </c>
      <c r="R35" s="13">
        <f>J35+M35+O35+Q35</f>
        <v>95.89363333333333</v>
      </c>
    </row>
    <row r="36" spans="1:18" ht="15">
      <c r="A36" s="27" t="s">
        <v>8</v>
      </c>
      <c r="B36" s="57">
        <v>2006</v>
      </c>
      <c r="C36" s="40" t="s">
        <v>42</v>
      </c>
      <c r="D36" s="41"/>
      <c r="E36" s="41">
        <v>1</v>
      </c>
      <c r="F36" s="41">
        <f>'G-36 Monthly Volumes'!G43</f>
        <v>73764.33333333333</v>
      </c>
      <c r="G36" s="42"/>
      <c r="H36" s="12">
        <v>0</v>
      </c>
      <c r="I36" s="6">
        <v>0</v>
      </c>
      <c r="J36" s="13">
        <f>D36*E36*H36+(F36+G36)*I36</f>
        <v>0</v>
      </c>
      <c r="K36" s="12">
        <v>0</v>
      </c>
      <c r="L36" s="6">
        <v>0</v>
      </c>
      <c r="M36" s="13">
        <f>D36*E36*K36+(F36+G36)*L36</f>
        <v>0</v>
      </c>
      <c r="N36" s="19"/>
      <c r="O36" s="13">
        <f>(F36+G36)*N36</f>
        <v>0</v>
      </c>
      <c r="P36" s="3">
        <v>0.0013</v>
      </c>
      <c r="Q36" s="13">
        <f>(F36+G36)*P36</f>
        <v>95.89363333333333</v>
      </c>
      <c r="R36" s="13">
        <f>J36+M36+O36+Q36</f>
        <v>95.89363333333333</v>
      </c>
    </row>
    <row r="37" spans="1:18" ht="15" hidden="1">
      <c r="A37" s="27" t="s">
        <v>8</v>
      </c>
      <c r="B37" s="57">
        <v>2006</v>
      </c>
      <c r="C37" s="40" t="s">
        <v>35</v>
      </c>
      <c r="D37" s="41"/>
      <c r="E37" s="41">
        <v>1</v>
      </c>
      <c r="F37" s="41">
        <f>'G-36 Monthly Volumes'!G44</f>
        <v>0</v>
      </c>
      <c r="G37" s="42"/>
      <c r="H37" s="12">
        <v>0</v>
      </c>
      <c r="I37" s="6">
        <v>0</v>
      </c>
      <c r="J37" s="13">
        <f aca="true" t="shared" si="10" ref="J37:J45">D37*E37*H37+(F37+G37)*I37</f>
        <v>0</v>
      </c>
      <c r="K37" s="12">
        <v>0</v>
      </c>
      <c r="L37" s="6">
        <v>0</v>
      </c>
      <c r="M37" s="13">
        <f aca="true" t="shared" si="11" ref="M37:M45">D37*E37*K37+(F37+G37)*L37</f>
        <v>0</v>
      </c>
      <c r="N37" s="19"/>
      <c r="O37" s="13">
        <f aca="true" t="shared" si="12" ref="O37:O45">(F37+G37)*N37</f>
        <v>0</v>
      </c>
      <c r="P37" s="3">
        <v>0.0013</v>
      </c>
      <c r="Q37" s="13">
        <f aca="true" t="shared" si="13" ref="Q37:Q45">(F37+G37)*P37</f>
        <v>0</v>
      </c>
      <c r="R37" s="13">
        <f aca="true" t="shared" si="14" ref="R37:R45">J37+M37+O37+Q37</f>
        <v>0</v>
      </c>
    </row>
    <row r="38" spans="1:18" ht="15" hidden="1">
      <c r="A38" s="27" t="s">
        <v>8</v>
      </c>
      <c r="B38" s="57">
        <v>2006</v>
      </c>
      <c r="C38" s="40" t="s">
        <v>43</v>
      </c>
      <c r="D38" s="41"/>
      <c r="E38" s="41">
        <v>1</v>
      </c>
      <c r="F38" s="41">
        <f>'G-36 Monthly Volumes'!G45</f>
        <v>0</v>
      </c>
      <c r="G38" s="42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3">
        <v>0.0013</v>
      </c>
      <c r="Q38" s="13">
        <f t="shared" si="13"/>
        <v>0</v>
      </c>
      <c r="R38" s="13">
        <f t="shared" si="14"/>
        <v>0</v>
      </c>
    </row>
    <row r="39" spans="1:18" ht="15" hidden="1">
      <c r="A39" s="27" t="s">
        <v>8</v>
      </c>
      <c r="B39" s="57">
        <v>2006</v>
      </c>
      <c r="C39" s="40" t="s">
        <v>44</v>
      </c>
      <c r="D39" s="41"/>
      <c r="E39" s="41">
        <v>1</v>
      </c>
      <c r="F39" s="41">
        <f>'G-36 Monthly Volumes'!G46</f>
        <v>0</v>
      </c>
      <c r="G39" s="42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3">
        <v>0.0013</v>
      </c>
      <c r="Q39" s="13">
        <f t="shared" si="13"/>
        <v>0</v>
      </c>
      <c r="R39" s="13">
        <f t="shared" si="14"/>
        <v>0</v>
      </c>
    </row>
    <row r="40" spans="1:18" ht="15" hidden="1">
      <c r="A40" s="27" t="s">
        <v>8</v>
      </c>
      <c r="B40" s="57">
        <v>2006</v>
      </c>
      <c r="C40" s="40" t="s">
        <v>45</v>
      </c>
      <c r="D40" s="41"/>
      <c r="E40" s="41">
        <v>1</v>
      </c>
      <c r="F40" s="41">
        <f>'G-36 Monthly Volumes'!G47</f>
        <v>0</v>
      </c>
      <c r="G40" s="42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3">
        <v>0.0013</v>
      </c>
      <c r="Q40" s="13">
        <f t="shared" si="13"/>
        <v>0</v>
      </c>
      <c r="R40" s="13">
        <f t="shared" si="14"/>
        <v>0</v>
      </c>
    </row>
    <row r="41" spans="1:18" ht="15" hidden="1">
      <c r="A41" s="27" t="s">
        <v>8</v>
      </c>
      <c r="B41" s="57">
        <v>2006</v>
      </c>
      <c r="C41" s="40" t="s">
        <v>46</v>
      </c>
      <c r="D41" s="41"/>
      <c r="E41" s="41">
        <v>1</v>
      </c>
      <c r="F41" s="41">
        <f>'G-36 Monthly Volumes'!G48</f>
        <v>0</v>
      </c>
      <c r="G41" s="42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3">
        <v>0.0013</v>
      </c>
      <c r="Q41" s="13">
        <f t="shared" si="13"/>
        <v>0</v>
      </c>
      <c r="R41" s="13">
        <f t="shared" si="14"/>
        <v>0</v>
      </c>
    </row>
    <row r="42" spans="1:18" ht="15" hidden="1">
      <c r="A42" s="27" t="s">
        <v>8</v>
      </c>
      <c r="B42" s="57">
        <v>2006</v>
      </c>
      <c r="C42" s="40" t="s">
        <v>47</v>
      </c>
      <c r="D42" s="41"/>
      <c r="E42" s="41">
        <v>1</v>
      </c>
      <c r="F42" s="41">
        <f>'G-36 Monthly Volumes'!G49</f>
        <v>0</v>
      </c>
      <c r="G42" s="42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3">
        <v>0.0013</v>
      </c>
      <c r="Q42" s="13">
        <f t="shared" si="13"/>
        <v>0</v>
      </c>
      <c r="R42" s="13">
        <f t="shared" si="14"/>
        <v>0</v>
      </c>
    </row>
    <row r="43" spans="1:18" ht="15" hidden="1">
      <c r="A43" s="27" t="s">
        <v>8</v>
      </c>
      <c r="B43" s="57">
        <v>2006</v>
      </c>
      <c r="C43" s="40" t="s">
        <v>48</v>
      </c>
      <c r="D43" s="41"/>
      <c r="E43" s="41">
        <v>1</v>
      </c>
      <c r="F43" s="41">
        <f>'G-36 Monthly Volumes'!G50</f>
        <v>0</v>
      </c>
      <c r="G43" s="42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3">
        <v>0.0013</v>
      </c>
      <c r="Q43" s="13">
        <f t="shared" si="13"/>
        <v>0</v>
      </c>
      <c r="R43" s="13">
        <f t="shared" si="14"/>
        <v>0</v>
      </c>
    </row>
    <row r="44" spans="1:18" ht="15" hidden="1">
      <c r="A44" s="27" t="s">
        <v>8</v>
      </c>
      <c r="B44" s="57">
        <v>2006</v>
      </c>
      <c r="C44" s="40" t="s">
        <v>49</v>
      </c>
      <c r="D44" s="41"/>
      <c r="E44" s="41">
        <v>1</v>
      </c>
      <c r="F44" s="41">
        <f>'G-36 Monthly Volumes'!G51</f>
        <v>0</v>
      </c>
      <c r="G44" s="42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3">
        <v>0.0013</v>
      </c>
      <c r="Q44" s="13">
        <f t="shared" si="13"/>
        <v>0</v>
      </c>
      <c r="R44" s="13">
        <f t="shared" si="14"/>
        <v>0</v>
      </c>
    </row>
    <row r="45" spans="1:18" ht="15.75" thickBot="1">
      <c r="A45" s="27" t="s">
        <v>8</v>
      </c>
      <c r="B45" s="57">
        <v>2006</v>
      </c>
      <c r="C45" s="40" t="s">
        <v>38</v>
      </c>
      <c r="D45" s="41"/>
      <c r="E45" s="41">
        <v>1</v>
      </c>
      <c r="F45" s="41">
        <f>'G-36 Monthly Volumes'!G52</f>
        <v>0</v>
      </c>
      <c r="G45" s="42"/>
      <c r="H45" s="12">
        <v>0</v>
      </c>
      <c r="I45" s="6">
        <v>0</v>
      </c>
      <c r="J45" s="13">
        <f t="shared" si="10"/>
        <v>0</v>
      </c>
      <c r="K45" s="12">
        <v>0</v>
      </c>
      <c r="L45" s="6">
        <v>0</v>
      </c>
      <c r="M45" s="13">
        <f t="shared" si="11"/>
        <v>0</v>
      </c>
      <c r="N45" s="19"/>
      <c r="O45" s="13">
        <f t="shared" si="12"/>
        <v>0</v>
      </c>
      <c r="P45" s="3">
        <v>0.0013</v>
      </c>
      <c r="Q45" s="13">
        <f t="shared" si="13"/>
        <v>0</v>
      </c>
      <c r="R45" s="13">
        <f t="shared" si="14"/>
        <v>0</v>
      </c>
    </row>
    <row r="46" spans="1:18" ht="15.75" thickBot="1">
      <c r="A46" s="59" t="s">
        <v>61</v>
      </c>
      <c r="B46" s="60"/>
      <c r="C46" s="61"/>
      <c r="D46" s="62">
        <f>SUM(D33:D45)</f>
        <v>0</v>
      </c>
      <c r="E46" s="62"/>
      <c r="F46" s="62">
        <f>SUM(F33:F45)</f>
        <v>295057.3333333333</v>
      </c>
      <c r="G46" s="63">
        <f>SUM(G33:G45)</f>
        <v>0</v>
      </c>
      <c r="H46" s="64"/>
      <c r="I46" s="65"/>
      <c r="J46" s="66">
        <f>SUM(J33:J45)</f>
        <v>0</v>
      </c>
      <c r="K46" s="64"/>
      <c r="L46" s="65"/>
      <c r="M46" s="66">
        <f>SUM(M33:M45)</f>
        <v>0</v>
      </c>
      <c r="N46" s="67"/>
      <c r="O46" s="66">
        <f>SUM(O33:O45)</f>
        <v>0</v>
      </c>
      <c r="P46" s="67"/>
      <c r="Q46" s="66">
        <f>SUM(Q33:Q45)</f>
        <v>383.5745333333333</v>
      </c>
      <c r="R46" s="66">
        <f>SUM(R33:R45)</f>
        <v>383.5745333333333</v>
      </c>
    </row>
    <row r="47" spans="1:18" ht="15">
      <c r="A47" s="27"/>
      <c r="B47" s="57"/>
      <c r="C47" s="40"/>
      <c r="D47" s="41"/>
      <c r="E47" s="41"/>
      <c r="F47" s="41"/>
      <c r="G47" s="58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7" t="s">
        <v>2</v>
      </c>
      <c r="B48" s="57">
        <v>2006</v>
      </c>
      <c r="C48" s="40" t="s">
        <v>39</v>
      </c>
      <c r="D48" s="41"/>
      <c r="E48" s="41">
        <v>1</v>
      </c>
      <c r="F48" s="43"/>
      <c r="G48" s="44">
        <f>'G-36 Monthly Volumes'!P4</f>
        <v>50140.89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9"/>
      <c r="O48" s="13">
        <f>(F48+G48)*N48</f>
        <v>0</v>
      </c>
      <c r="P48" s="3">
        <v>0.1666</v>
      </c>
      <c r="Q48" s="13">
        <f>(F48+G48)*P48</f>
        <v>8353.472274</v>
      </c>
      <c r="R48" s="13">
        <f>J48+M48+O48+Q48</f>
        <v>8353.472274</v>
      </c>
    </row>
    <row r="49" spans="1:18" ht="15">
      <c r="A49" s="27" t="s">
        <v>2</v>
      </c>
      <c r="B49" s="57">
        <v>2006</v>
      </c>
      <c r="C49" s="40" t="s">
        <v>40</v>
      </c>
      <c r="D49" s="41"/>
      <c r="E49" s="41">
        <v>1</v>
      </c>
      <c r="F49" s="43"/>
      <c r="G49" s="44">
        <f>'G-36 Monthly Volumes'!P5</f>
        <v>46736.259999999995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9"/>
      <c r="O49" s="13">
        <f>(F49+G49)*N49</f>
        <v>0</v>
      </c>
      <c r="P49" s="3">
        <v>0.1666</v>
      </c>
      <c r="Q49" s="13">
        <f>(F49+G49)*P49</f>
        <v>7786.260915999999</v>
      </c>
      <c r="R49" s="13">
        <f>J49+M49+O49+Q49</f>
        <v>7786.260915999999</v>
      </c>
    </row>
    <row r="50" spans="1:18" ht="15">
      <c r="A50" s="27" t="s">
        <v>2</v>
      </c>
      <c r="B50" s="57">
        <v>2006</v>
      </c>
      <c r="C50" s="40" t="s">
        <v>41</v>
      </c>
      <c r="D50" s="41"/>
      <c r="E50" s="41">
        <v>1</v>
      </c>
      <c r="F50" s="43"/>
      <c r="G50" s="44">
        <f>'G-36 Monthly Volumes'!P6</f>
        <v>46891.97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9"/>
      <c r="O50" s="13">
        <f>(F50+G50)*N50</f>
        <v>0</v>
      </c>
      <c r="P50" s="3">
        <v>0.1666</v>
      </c>
      <c r="Q50" s="13">
        <f>(F50+G50)*P50</f>
        <v>7812.202202</v>
      </c>
      <c r="R50" s="13">
        <f>J50+M50+O50+Q50</f>
        <v>7812.202202</v>
      </c>
    </row>
    <row r="51" spans="1:18" ht="12.75" customHeight="1">
      <c r="A51" s="27" t="s">
        <v>2</v>
      </c>
      <c r="B51" s="57">
        <v>2006</v>
      </c>
      <c r="C51" s="40" t="s">
        <v>42</v>
      </c>
      <c r="D51" s="41"/>
      <c r="E51" s="41">
        <v>1</v>
      </c>
      <c r="F51" s="43"/>
      <c r="G51" s="44">
        <f>'G-36 Monthly Volumes'!P7</f>
        <v>47023.42999999999</v>
      </c>
      <c r="H51" s="12">
        <v>0</v>
      </c>
      <c r="I51" s="6">
        <v>0</v>
      </c>
      <c r="J51" s="13">
        <f>D51*E51*H51+(F51+G51)*I51</f>
        <v>0</v>
      </c>
      <c r="K51" s="12">
        <v>0</v>
      </c>
      <c r="L51" s="6">
        <v>0</v>
      </c>
      <c r="M51" s="13">
        <f>D51*E51*K51+(F51+G51)*L51</f>
        <v>0</v>
      </c>
      <c r="N51" s="19"/>
      <c r="O51" s="13">
        <f>(F51+G51)*N51</f>
        <v>0</v>
      </c>
      <c r="P51" s="3">
        <v>0.1666</v>
      </c>
      <c r="Q51" s="13">
        <f>(F51+G51)*P51</f>
        <v>7834.103437999999</v>
      </c>
      <c r="R51" s="13">
        <f>J51+M51+O51+Q51</f>
        <v>7834.103437999999</v>
      </c>
    </row>
    <row r="52" spans="1:18" ht="15" hidden="1">
      <c r="A52" s="27" t="s">
        <v>2</v>
      </c>
      <c r="B52" s="57">
        <v>2006</v>
      </c>
      <c r="C52" s="40" t="s">
        <v>35</v>
      </c>
      <c r="D52" s="41"/>
      <c r="E52" s="41">
        <v>1</v>
      </c>
      <c r="F52" s="43"/>
      <c r="G52" s="44">
        <f>'G-36 Monthly Volumes'!P8</f>
        <v>0</v>
      </c>
      <c r="H52" s="12">
        <v>0</v>
      </c>
      <c r="I52" s="6">
        <v>0</v>
      </c>
      <c r="J52" s="13">
        <f aca="true" t="shared" si="15" ref="J52:J59">D52*E52*H52+(F52+G52)*I52</f>
        <v>0</v>
      </c>
      <c r="K52" s="12">
        <v>0</v>
      </c>
      <c r="L52" s="6">
        <v>0</v>
      </c>
      <c r="M52" s="13">
        <f aca="true" t="shared" si="16" ref="M52:M59">D52*E52*K52+(F52+G52)*L52</f>
        <v>0</v>
      </c>
      <c r="N52" s="19"/>
      <c r="O52" s="13">
        <f aca="true" t="shared" si="17" ref="O52:O59">(F52+G52)*N52</f>
        <v>0</v>
      </c>
      <c r="P52" s="3">
        <v>0.1666</v>
      </c>
      <c r="Q52" s="13">
        <f aca="true" t="shared" si="18" ref="Q52:Q59">(F52+G52)*P52</f>
        <v>0</v>
      </c>
      <c r="R52" s="13">
        <f aca="true" t="shared" si="19" ref="R52:R59">J52+M52+O52+Q52</f>
        <v>0</v>
      </c>
    </row>
    <row r="53" spans="1:18" ht="15" hidden="1">
      <c r="A53" s="27" t="s">
        <v>2</v>
      </c>
      <c r="B53" s="57">
        <v>2006</v>
      </c>
      <c r="C53" s="40" t="s">
        <v>43</v>
      </c>
      <c r="D53" s="41"/>
      <c r="E53" s="41">
        <v>1</v>
      </c>
      <c r="F53" s="43"/>
      <c r="G53" s="44">
        <f>'G-36 Monthly Volumes'!P9</f>
        <v>0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9"/>
      <c r="O53" s="13">
        <f t="shared" si="17"/>
        <v>0</v>
      </c>
      <c r="P53" s="3">
        <v>0.1666</v>
      </c>
      <c r="Q53" s="13">
        <f t="shared" si="18"/>
        <v>0</v>
      </c>
      <c r="R53" s="13">
        <f t="shared" si="19"/>
        <v>0</v>
      </c>
    </row>
    <row r="54" spans="1:18" ht="15" hidden="1">
      <c r="A54" s="27" t="s">
        <v>2</v>
      </c>
      <c r="B54" s="57">
        <v>2006</v>
      </c>
      <c r="C54" s="40" t="s">
        <v>44</v>
      </c>
      <c r="D54" s="41"/>
      <c r="E54" s="41">
        <v>1</v>
      </c>
      <c r="F54" s="43"/>
      <c r="G54" s="44">
        <f>'G-36 Monthly Volumes'!P10</f>
        <v>0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9"/>
      <c r="O54" s="13">
        <f t="shared" si="17"/>
        <v>0</v>
      </c>
      <c r="P54" s="3">
        <v>0.1666</v>
      </c>
      <c r="Q54" s="13">
        <f t="shared" si="18"/>
        <v>0</v>
      </c>
      <c r="R54" s="13">
        <f t="shared" si="19"/>
        <v>0</v>
      </c>
    </row>
    <row r="55" spans="1:18" ht="15" hidden="1">
      <c r="A55" s="27" t="s">
        <v>2</v>
      </c>
      <c r="B55" s="57">
        <v>2006</v>
      </c>
      <c r="C55" s="40" t="s">
        <v>45</v>
      </c>
      <c r="D55" s="41"/>
      <c r="E55" s="41">
        <v>1</v>
      </c>
      <c r="F55" s="43"/>
      <c r="G55" s="44">
        <f>'G-36 Monthly Volumes'!P11</f>
        <v>0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9"/>
      <c r="O55" s="13">
        <f t="shared" si="17"/>
        <v>0</v>
      </c>
      <c r="P55" s="3">
        <v>0.1666</v>
      </c>
      <c r="Q55" s="13">
        <f t="shared" si="18"/>
        <v>0</v>
      </c>
      <c r="R55" s="13">
        <f t="shared" si="19"/>
        <v>0</v>
      </c>
    </row>
    <row r="56" spans="1:18" ht="15" hidden="1">
      <c r="A56" s="27" t="s">
        <v>2</v>
      </c>
      <c r="B56" s="57">
        <v>2006</v>
      </c>
      <c r="C56" s="40" t="s">
        <v>46</v>
      </c>
      <c r="D56" s="41"/>
      <c r="E56" s="41">
        <v>1</v>
      </c>
      <c r="F56" s="43"/>
      <c r="G56" s="44">
        <f>'G-36 Monthly Volumes'!P12</f>
        <v>0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9"/>
      <c r="O56" s="13">
        <f t="shared" si="17"/>
        <v>0</v>
      </c>
      <c r="P56" s="3">
        <v>0.1666</v>
      </c>
      <c r="Q56" s="13">
        <f t="shared" si="18"/>
        <v>0</v>
      </c>
      <c r="R56" s="13">
        <f t="shared" si="19"/>
        <v>0</v>
      </c>
    </row>
    <row r="57" spans="1:18" ht="15" hidden="1">
      <c r="A57" s="27" t="s">
        <v>2</v>
      </c>
      <c r="B57" s="57">
        <v>2006</v>
      </c>
      <c r="C57" s="40" t="s">
        <v>47</v>
      </c>
      <c r="D57" s="41"/>
      <c r="E57" s="41">
        <v>1</v>
      </c>
      <c r="F57" s="43"/>
      <c r="G57" s="44">
        <f>'G-36 Monthly Volumes'!P13</f>
        <v>0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9"/>
      <c r="O57" s="13">
        <f t="shared" si="17"/>
        <v>0</v>
      </c>
      <c r="P57" s="3">
        <v>0.1666</v>
      </c>
      <c r="Q57" s="13">
        <f t="shared" si="18"/>
        <v>0</v>
      </c>
      <c r="R57" s="13">
        <f t="shared" si="19"/>
        <v>0</v>
      </c>
    </row>
    <row r="58" spans="1:18" ht="15" hidden="1">
      <c r="A58" s="27" t="s">
        <v>2</v>
      </c>
      <c r="B58" s="57">
        <v>2006</v>
      </c>
      <c r="C58" s="40" t="s">
        <v>48</v>
      </c>
      <c r="D58" s="41"/>
      <c r="E58" s="41">
        <v>1</v>
      </c>
      <c r="F58" s="43"/>
      <c r="G58" s="44">
        <f>'G-36 Monthly Volumes'!P14</f>
        <v>0</v>
      </c>
      <c r="H58" s="12">
        <v>0</v>
      </c>
      <c r="I58" s="6">
        <v>0</v>
      </c>
      <c r="J58" s="13">
        <f t="shared" si="15"/>
        <v>0</v>
      </c>
      <c r="K58" s="12">
        <v>0</v>
      </c>
      <c r="L58" s="6">
        <v>0</v>
      </c>
      <c r="M58" s="13">
        <f t="shared" si="16"/>
        <v>0</v>
      </c>
      <c r="N58" s="19"/>
      <c r="O58" s="13">
        <f t="shared" si="17"/>
        <v>0</v>
      </c>
      <c r="P58" s="3">
        <v>0.1666</v>
      </c>
      <c r="Q58" s="13">
        <f t="shared" si="18"/>
        <v>0</v>
      </c>
      <c r="R58" s="13">
        <f t="shared" si="19"/>
        <v>0</v>
      </c>
    </row>
    <row r="59" spans="1:18" ht="15" hidden="1">
      <c r="A59" s="27" t="s">
        <v>2</v>
      </c>
      <c r="B59" s="57">
        <v>2006</v>
      </c>
      <c r="C59" s="40" t="s">
        <v>49</v>
      </c>
      <c r="D59" s="41"/>
      <c r="E59" s="41">
        <v>1</v>
      </c>
      <c r="F59" s="43"/>
      <c r="G59" s="44">
        <f>'G-36 Monthly Volumes'!P15</f>
        <v>0</v>
      </c>
      <c r="H59" s="12">
        <v>0</v>
      </c>
      <c r="I59" s="6">
        <v>0</v>
      </c>
      <c r="J59" s="13">
        <f t="shared" si="15"/>
        <v>0</v>
      </c>
      <c r="K59" s="12">
        <v>0</v>
      </c>
      <c r="L59" s="6">
        <v>0</v>
      </c>
      <c r="M59" s="13">
        <f t="shared" si="16"/>
        <v>0</v>
      </c>
      <c r="N59" s="19"/>
      <c r="O59" s="13">
        <f t="shared" si="17"/>
        <v>0</v>
      </c>
      <c r="P59" s="3">
        <v>0.1666</v>
      </c>
      <c r="Q59" s="13">
        <f t="shared" si="18"/>
        <v>0</v>
      </c>
      <c r="R59" s="13">
        <f t="shared" si="19"/>
        <v>0</v>
      </c>
    </row>
    <row r="60" spans="1:18" ht="16.5" customHeight="1" thickBot="1">
      <c r="A60" s="27" t="s">
        <v>2</v>
      </c>
      <c r="B60" s="57">
        <v>2006</v>
      </c>
      <c r="C60" s="40" t="s">
        <v>38</v>
      </c>
      <c r="D60" s="41"/>
      <c r="E60" s="41">
        <v>1</v>
      </c>
      <c r="F60" s="43"/>
      <c r="G60" s="44">
        <f>'G-36 Monthly Volumes'!P16</f>
        <v>-1762.7988458367736</v>
      </c>
      <c r="H60" s="12">
        <v>0</v>
      </c>
      <c r="I60" s="6">
        <v>0</v>
      </c>
      <c r="J60" s="13">
        <f>D60*E60*H60+(F60+G60)*I60</f>
        <v>0</v>
      </c>
      <c r="K60" s="12">
        <v>0</v>
      </c>
      <c r="L60" s="6">
        <v>0</v>
      </c>
      <c r="M60" s="13">
        <f>D60*E60*K60+(F60+G60)*L60</f>
        <v>0</v>
      </c>
      <c r="N60" s="19"/>
      <c r="O60" s="13">
        <f>(F60+G60)*N60</f>
        <v>0</v>
      </c>
      <c r="P60" s="3">
        <v>0.1666</v>
      </c>
      <c r="Q60" s="13">
        <f>(F60+G60)*P60</f>
        <v>-293.68228771640645</v>
      </c>
      <c r="R60" s="13">
        <f>J60+M60+O60+Q60</f>
        <v>-293.68228771640645</v>
      </c>
    </row>
    <row r="61" spans="1:18" ht="15.75" thickBot="1">
      <c r="A61" s="59" t="s">
        <v>62</v>
      </c>
      <c r="B61" s="60"/>
      <c r="C61" s="61"/>
      <c r="D61" s="62">
        <f>SUM(D48:D60)</f>
        <v>0</v>
      </c>
      <c r="E61" s="62"/>
      <c r="F61" s="62">
        <f>SUM(F48:F60)</f>
        <v>0</v>
      </c>
      <c r="G61" s="63">
        <f>SUM(G48:G60)</f>
        <v>189029.7511541632</v>
      </c>
      <c r="H61" s="64"/>
      <c r="I61" s="65"/>
      <c r="J61" s="66">
        <f>SUM(J48:J60)</f>
        <v>0</v>
      </c>
      <c r="K61" s="64"/>
      <c r="L61" s="65"/>
      <c r="M61" s="66">
        <f>SUM(M48:M60)</f>
        <v>0</v>
      </c>
      <c r="N61" s="67"/>
      <c r="O61" s="66">
        <f>SUM(O48:O60)</f>
        <v>0</v>
      </c>
      <c r="P61" s="67"/>
      <c r="Q61" s="66">
        <f>SUM(Q48:Q60)</f>
        <v>31492.356542283593</v>
      </c>
      <c r="R61" s="66">
        <f>SUM(R48:R60)</f>
        <v>31492.356542283593</v>
      </c>
    </row>
    <row r="62" spans="1:18" ht="15">
      <c r="A62" s="27"/>
      <c r="B62" s="57"/>
      <c r="C62" s="40"/>
      <c r="D62" s="41"/>
      <c r="E62" s="41"/>
      <c r="F62" s="43"/>
      <c r="G62" s="44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7" t="s">
        <v>3</v>
      </c>
      <c r="B63" s="57">
        <v>2006</v>
      </c>
      <c r="C63" s="40" t="s">
        <v>39</v>
      </c>
      <c r="D63" s="41"/>
      <c r="E63" s="41">
        <v>1</v>
      </c>
      <c r="F63" s="43"/>
      <c r="G63" s="44">
        <f>'G-36 Monthly Volumes'!P22</f>
        <v>5185.73</v>
      </c>
      <c r="H63" s="12">
        <v>0</v>
      </c>
      <c r="I63" s="6">
        <v>0</v>
      </c>
      <c r="J63" s="13">
        <f aca="true" t="shared" si="20" ref="J63:J68">D63*E63*H63+(F63+G63)*I63</f>
        <v>0</v>
      </c>
      <c r="K63" s="12">
        <v>0</v>
      </c>
      <c r="L63" s="6">
        <v>0</v>
      </c>
      <c r="M63" s="13">
        <f aca="true" t="shared" si="21" ref="M63:M68">D63*E63*K63+(F63+G63)*L63</f>
        <v>0</v>
      </c>
      <c r="N63" s="19"/>
      <c r="O63" s="13">
        <f aca="true" t="shared" si="22" ref="O63:O68">(F63+G63)*N63</f>
        <v>0</v>
      </c>
      <c r="P63" s="5">
        <v>0.2698</v>
      </c>
      <c r="Q63" s="13">
        <f aca="true" t="shared" si="23" ref="Q63:Q68">(F63+G63)*P63</f>
        <v>1399.1099539999998</v>
      </c>
      <c r="R63" s="13">
        <f aca="true" t="shared" si="24" ref="R63:R68">J63+M63+O63+Q63</f>
        <v>1399.1099539999998</v>
      </c>
    </row>
    <row r="64" spans="1:18" ht="15">
      <c r="A64" s="27" t="s">
        <v>3</v>
      </c>
      <c r="B64" s="57">
        <v>2006</v>
      </c>
      <c r="C64" s="40" t="s">
        <v>40</v>
      </c>
      <c r="D64" s="41"/>
      <c r="E64" s="41">
        <v>1</v>
      </c>
      <c r="F64" s="43"/>
      <c r="G64" s="44">
        <f>'G-36 Monthly Volumes'!P23</f>
        <v>5090.78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9"/>
      <c r="O64" s="13">
        <f t="shared" si="22"/>
        <v>0</v>
      </c>
      <c r="P64" s="5">
        <v>0.2698</v>
      </c>
      <c r="Q64" s="13">
        <f t="shared" si="23"/>
        <v>1373.4924439999998</v>
      </c>
      <c r="R64" s="13">
        <f t="shared" si="24"/>
        <v>1373.4924439999998</v>
      </c>
    </row>
    <row r="65" spans="1:18" ht="15">
      <c r="A65" s="27" t="s">
        <v>3</v>
      </c>
      <c r="B65" s="57">
        <v>2006</v>
      </c>
      <c r="C65" s="40" t="s">
        <v>41</v>
      </c>
      <c r="D65" s="41"/>
      <c r="E65" s="41">
        <v>1</v>
      </c>
      <c r="F65" s="43"/>
      <c r="G65" s="44">
        <f>'G-36 Monthly Volumes'!P24</f>
        <v>5487.89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9"/>
      <c r="O65" s="13">
        <f t="shared" si="22"/>
        <v>0</v>
      </c>
      <c r="P65" s="5">
        <v>0.2698</v>
      </c>
      <c r="Q65" s="13">
        <f t="shared" si="23"/>
        <v>1480.632722</v>
      </c>
      <c r="R65" s="13">
        <f t="shared" si="24"/>
        <v>1480.632722</v>
      </c>
    </row>
    <row r="66" spans="1:18" ht="15">
      <c r="A66" s="27" t="s">
        <v>3</v>
      </c>
      <c r="B66" s="57">
        <v>2006</v>
      </c>
      <c r="C66" s="40" t="s">
        <v>42</v>
      </c>
      <c r="D66" s="41"/>
      <c r="E66" s="41">
        <v>1</v>
      </c>
      <c r="F66" s="43"/>
      <c r="G66" s="44">
        <f>'G-36 Monthly Volumes'!P25</f>
        <v>5684.51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9"/>
      <c r="O66" s="13">
        <f t="shared" si="22"/>
        <v>0</v>
      </c>
      <c r="P66" s="5">
        <v>0.2698</v>
      </c>
      <c r="Q66" s="13">
        <f t="shared" si="23"/>
        <v>1533.6807979999999</v>
      </c>
      <c r="R66" s="13">
        <f t="shared" si="24"/>
        <v>1533.6807979999999</v>
      </c>
    </row>
    <row r="67" spans="1:18" ht="15" hidden="1">
      <c r="A67" s="27" t="s">
        <v>3</v>
      </c>
      <c r="B67" s="57">
        <v>2006</v>
      </c>
      <c r="C67" s="40" t="s">
        <v>35</v>
      </c>
      <c r="D67" s="41"/>
      <c r="E67" s="41">
        <v>1</v>
      </c>
      <c r="F67" s="43"/>
      <c r="G67" s="44">
        <f>'G-36 Monthly Volumes'!P26</f>
        <v>0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9"/>
      <c r="O67" s="13">
        <f t="shared" si="22"/>
        <v>0</v>
      </c>
      <c r="P67" s="5">
        <v>0.2698</v>
      </c>
      <c r="Q67" s="13">
        <f t="shared" si="23"/>
        <v>0</v>
      </c>
      <c r="R67" s="13">
        <f t="shared" si="24"/>
        <v>0</v>
      </c>
    </row>
    <row r="68" spans="1:18" ht="15" hidden="1">
      <c r="A68" s="27" t="s">
        <v>3</v>
      </c>
      <c r="B68" s="57">
        <v>2006</v>
      </c>
      <c r="C68" s="40" t="s">
        <v>43</v>
      </c>
      <c r="D68" s="41"/>
      <c r="E68" s="41">
        <v>1</v>
      </c>
      <c r="F68" s="43"/>
      <c r="G68" s="44">
        <f>'G-36 Monthly Volumes'!P27</f>
        <v>0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/>
      <c r="O68" s="13">
        <f t="shared" si="22"/>
        <v>0</v>
      </c>
      <c r="P68" s="5">
        <v>0.2698</v>
      </c>
      <c r="Q68" s="13">
        <f t="shared" si="23"/>
        <v>0</v>
      </c>
      <c r="R68" s="13">
        <f t="shared" si="24"/>
        <v>0</v>
      </c>
    </row>
    <row r="69" spans="1:18" ht="15" hidden="1">
      <c r="A69" s="27" t="s">
        <v>3</v>
      </c>
      <c r="B69" s="57">
        <v>2006</v>
      </c>
      <c r="C69" s="40" t="s">
        <v>44</v>
      </c>
      <c r="D69" s="41"/>
      <c r="E69" s="41">
        <v>1</v>
      </c>
      <c r="F69" s="43"/>
      <c r="G69" s="44">
        <f>'G-36 Monthly Volumes'!P28</f>
        <v>0</v>
      </c>
      <c r="H69" s="12">
        <v>0</v>
      </c>
      <c r="I69" s="6">
        <v>0</v>
      </c>
      <c r="J69" s="13">
        <f aca="true" t="shared" si="25" ref="J69:J75">D69*E69*H69+(F69+G69)*I69</f>
        <v>0</v>
      </c>
      <c r="K69" s="12">
        <v>0</v>
      </c>
      <c r="L69" s="6">
        <v>0</v>
      </c>
      <c r="M69" s="13">
        <f aca="true" t="shared" si="26" ref="M69:M75">D69*E69*K69+(F69+G69)*L69</f>
        <v>0</v>
      </c>
      <c r="N69" s="19"/>
      <c r="O69" s="13">
        <f aca="true" t="shared" si="27" ref="O69:O75">(F69+G69)*N69</f>
        <v>0</v>
      </c>
      <c r="P69" s="5">
        <v>0.2698</v>
      </c>
      <c r="Q69" s="13">
        <f aca="true" t="shared" si="28" ref="Q69:Q75">(F69+G69)*P69</f>
        <v>0</v>
      </c>
      <c r="R69" s="13">
        <f aca="true" t="shared" si="29" ref="R69:R75">J69+M69+O69+Q69</f>
        <v>0</v>
      </c>
    </row>
    <row r="70" spans="1:18" ht="15" hidden="1">
      <c r="A70" s="27" t="s">
        <v>3</v>
      </c>
      <c r="B70" s="57">
        <v>2006</v>
      </c>
      <c r="C70" s="40" t="s">
        <v>45</v>
      </c>
      <c r="D70" s="41"/>
      <c r="E70" s="41">
        <v>1</v>
      </c>
      <c r="F70" s="43"/>
      <c r="G70" s="44">
        <f>'G-36 Monthly Volumes'!P29</f>
        <v>0</v>
      </c>
      <c r="H70" s="12">
        <v>0</v>
      </c>
      <c r="I70" s="6">
        <v>0</v>
      </c>
      <c r="J70" s="13">
        <f t="shared" si="25"/>
        <v>0</v>
      </c>
      <c r="K70" s="12">
        <v>0</v>
      </c>
      <c r="L70" s="6">
        <v>0</v>
      </c>
      <c r="M70" s="13">
        <f t="shared" si="26"/>
        <v>0</v>
      </c>
      <c r="N70" s="19"/>
      <c r="O70" s="13">
        <f t="shared" si="27"/>
        <v>0</v>
      </c>
      <c r="P70" s="5">
        <v>0.2698</v>
      </c>
      <c r="Q70" s="13">
        <f t="shared" si="28"/>
        <v>0</v>
      </c>
      <c r="R70" s="13">
        <f t="shared" si="29"/>
        <v>0</v>
      </c>
    </row>
    <row r="71" spans="1:18" ht="15" hidden="1">
      <c r="A71" s="27" t="s">
        <v>3</v>
      </c>
      <c r="B71" s="57">
        <v>2006</v>
      </c>
      <c r="C71" s="40" t="s">
        <v>46</v>
      </c>
      <c r="D71" s="41"/>
      <c r="E71" s="41">
        <v>1</v>
      </c>
      <c r="F71" s="43"/>
      <c r="G71" s="44">
        <f>'G-36 Monthly Volumes'!P30</f>
        <v>0</v>
      </c>
      <c r="H71" s="12">
        <v>0</v>
      </c>
      <c r="I71" s="6">
        <v>0</v>
      </c>
      <c r="J71" s="13">
        <f t="shared" si="25"/>
        <v>0</v>
      </c>
      <c r="K71" s="12">
        <v>0</v>
      </c>
      <c r="L71" s="6">
        <v>0</v>
      </c>
      <c r="M71" s="13">
        <f t="shared" si="26"/>
        <v>0</v>
      </c>
      <c r="N71" s="19"/>
      <c r="O71" s="13">
        <f t="shared" si="27"/>
        <v>0</v>
      </c>
      <c r="P71" s="5">
        <v>0.2698</v>
      </c>
      <c r="Q71" s="13">
        <f t="shared" si="28"/>
        <v>0</v>
      </c>
      <c r="R71" s="13">
        <f t="shared" si="29"/>
        <v>0</v>
      </c>
    </row>
    <row r="72" spans="1:18" ht="15" hidden="1">
      <c r="A72" s="27" t="s">
        <v>3</v>
      </c>
      <c r="B72" s="57">
        <v>2006</v>
      </c>
      <c r="C72" s="40" t="s">
        <v>47</v>
      </c>
      <c r="D72" s="41"/>
      <c r="E72" s="41">
        <v>1</v>
      </c>
      <c r="F72" s="43"/>
      <c r="G72" s="44">
        <f>'G-36 Monthly Volumes'!P31</f>
        <v>0</v>
      </c>
      <c r="H72" s="12">
        <v>0</v>
      </c>
      <c r="I72" s="6">
        <v>0</v>
      </c>
      <c r="J72" s="13">
        <f t="shared" si="25"/>
        <v>0</v>
      </c>
      <c r="K72" s="12">
        <v>0</v>
      </c>
      <c r="L72" s="6">
        <v>0</v>
      </c>
      <c r="M72" s="13">
        <f t="shared" si="26"/>
        <v>0</v>
      </c>
      <c r="N72" s="19"/>
      <c r="O72" s="13">
        <f t="shared" si="27"/>
        <v>0</v>
      </c>
      <c r="P72" s="5">
        <v>0.2698</v>
      </c>
      <c r="Q72" s="13">
        <f t="shared" si="28"/>
        <v>0</v>
      </c>
      <c r="R72" s="13">
        <f t="shared" si="29"/>
        <v>0</v>
      </c>
    </row>
    <row r="73" spans="1:18" ht="15" hidden="1">
      <c r="A73" s="27" t="s">
        <v>3</v>
      </c>
      <c r="B73" s="57">
        <v>2006</v>
      </c>
      <c r="C73" s="40" t="s">
        <v>48</v>
      </c>
      <c r="D73" s="41"/>
      <c r="E73" s="41">
        <v>1</v>
      </c>
      <c r="F73" s="43"/>
      <c r="G73" s="44">
        <f>'G-36 Monthly Volumes'!P32</f>
        <v>0</v>
      </c>
      <c r="H73" s="12">
        <v>0</v>
      </c>
      <c r="I73" s="6">
        <v>0</v>
      </c>
      <c r="J73" s="13">
        <f t="shared" si="25"/>
        <v>0</v>
      </c>
      <c r="K73" s="12">
        <v>0</v>
      </c>
      <c r="L73" s="6">
        <v>0</v>
      </c>
      <c r="M73" s="13">
        <f t="shared" si="26"/>
        <v>0</v>
      </c>
      <c r="N73" s="19"/>
      <c r="O73" s="13">
        <f t="shared" si="27"/>
        <v>0</v>
      </c>
      <c r="P73" s="5">
        <v>0.2698</v>
      </c>
      <c r="Q73" s="13">
        <f t="shared" si="28"/>
        <v>0</v>
      </c>
      <c r="R73" s="13">
        <f t="shared" si="29"/>
        <v>0</v>
      </c>
    </row>
    <row r="74" spans="1:18" ht="15" hidden="1">
      <c r="A74" s="27" t="s">
        <v>3</v>
      </c>
      <c r="B74" s="57">
        <v>2006</v>
      </c>
      <c r="C74" s="40" t="s">
        <v>49</v>
      </c>
      <c r="D74" s="41"/>
      <c r="E74" s="41">
        <v>1</v>
      </c>
      <c r="F74" s="43"/>
      <c r="G74" s="44">
        <f>'G-36 Monthly Volumes'!P33</f>
        <v>0</v>
      </c>
      <c r="H74" s="12">
        <v>0</v>
      </c>
      <c r="I74" s="6">
        <v>0</v>
      </c>
      <c r="J74" s="13">
        <f t="shared" si="25"/>
        <v>0</v>
      </c>
      <c r="K74" s="12">
        <v>0</v>
      </c>
      <c r="L74" s="6">
        <v>0</v>
      </c>
      <c r="M74" s="13">
        <f t="shared" si="26"/>
        <v>0</v>
      </c>
      <c r="N74" s="19"/>
      <c r="O74" s="13">
        <f t="shared" si="27"/>
        <v>0</v>
      </c>
      <c r="P74" s="5">
        <v>0.2698</v>
      </c>
      <c r="Q74" s="13">
        <f t="shared" si="28"/>
        <v>0</v>
      </c>
      <c r="R74" s="13">
        <f t="shared" si="29"/>
        <v>0</v>
      </c>
    </row>
    <row r="75" spans="1:18" ht="15.75" thickBot="1">
      <c r="A75" s="27" t="s">
        <v>3</v>
      </c>
      <c r="B75" s="57">
        <v>2006</v>
      </c>
      <c r="C75" s="40" t="s">
        <v>38</v>
      </c>
      <c r="D75" s="41"/>
      <c r="E75" s="41">
        <v>1</v>
      </c>
      <c r="F75" s="43"/>
      <c r="G75" s="44">
        <f>'G-36 Monthly Volumes'!P34</f>
        <v>291.98498989704615</v>
      </c>
      <c r="H75" s="12">
        <v>0</v>
      </c>
      <c r="I75" s="6">
        <v>0</v>
      </c>
      <c r="J75" s="13">
        <f t="shared" si="25"/>
        <v>0</v>
      </c>
      <c r="K75" s="12">
        <v>0</v>
      </c>
      <c r="L75" s="6">
        <v>0</v>
      </c>
      <c r="M75" s="13">
        <f t="shared" si="26"/>
        <v>0</v>
      </c>
      <c r="N75" s="19"/>
      <c r="O75" s="13">
        <f t="shared" si="27"/>
        <v>0</v>
      </c>
      <c r="P75" s="5">
        <v>0.2698</v>
      </c>
      <c r="Q75" s="13">
        <f t="shared" si="28"/>
        <v>78.77755027422305</v>
      </c>
      <c r="R75" s="13">
        <f t="shared" si="29"/>
        <v>78.77755027422305</v>
      </c>
    </row>
    <row r="76" spans="1:18" ht="15.75" thickBot="1">
      <c r="A76" s="59" t="s">
        <v>63</v>
      </c>
      <c r="B76" s="60"/>
      <c r="C76" s="61"/>
      <c r="D76" s="62">
        <f>SUM(D63:D75)</f>
        <v>0</v>
      </c>
      <c r="E76" s="62"/>
      <c r="F76" s="62">
        <f>SUM(F63:F75)</f>
        <v>0</v>
      </c>
      <c r="G76" s="63">
        <f>SUM(G63:G75)</f>
        <v>21740.894989897042</v>
      </c>
      <c r="H76" s="64"/>
      <c r="I76" s="65"/>
      <c r="J76" s="66">
        <f>SUM(J63:J75)</f>
        <v>0</v>
      </c>
      <c r="K76" s="64"/>
      <c r="L76" s="65"/>
      <c r="M76" s="66">
        <f>SUM(M63:M75)</f>
        <v>0</v>
      </c>
      <c r="N76" s="67"/>
      <c r="O76" s="66">
        <f>SUM(O63:O75)</f>
        <v>0</v>
      </c>
      <c r="P76" s="67"/>
      <c r="Q76" s="66">
        <f>SUM(Q63:Q75)</f>
        <v>5865.693468274222</v>
      </c>
      <c r="R76" s="66">
        <f>SUM(R63:R75)</f>
        <v>5865.693468274222</v>
      </c>
    </row>
    <row r="77" spans="1:18" ht="15">
      <c r="A77" s="27"/>
      <c r="B77" s="57"/>
      <c r="C77" s="40"/>
      <c r="D77" s="41"/>
      <c r="E77" s="41"/>
      <c r="F77" s="43"/>
      <c r="G77" s="44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7" t="s">
        <v>4</v>
      </c>
      <c r="B78" s="57">
        <v>2006</v>
      </c>
      <c r="C78" s="40" t="s">
        <v>39</v>
      </c>
      <c r="D78" s="41"/>
      <c r="E78" s="41">
        <v>1</v>
      </c>
      <c r="F78" s="43"/>
      <c r="G78" s="44">
        <f>'G-36 Monthly Volumes'!P58</f>
        <v>0</v>
      </c>
      <c r="H78" s="12">
        <v>0</v>
      </c>
      <c r="I78" s="6">
        <v>0</v>
      </c>
      <c r="J78" s="13">
        <f>D78*E78*H78+(F78+G78)*I78</f>
        <v>0</v>
      </c>
      <c r="K78" s="12">
        <v>0</v>
      </c>
      <c r="L78" s="6">
        <v>0</v>
      </c>
      <c r="M78" s="13">
        <f>D78*E78*K78+(F78+G78)*L78</f>
        <v>0</v>
      </c>
      <c r="N78" s="19"/>
      <c r="O78" s="13">
        <f>(F78+G78)*N78</f>
        <v>0</v>
      </c>
      <c r="P78" s="5">
        <v>0.8867</v>
      </c>
      <c r="Q78" s="13">
        <f>(F78+G78)*P78</f>
        <v>0</v>
      </c>
      <c r="R78" s="13">
        <f>J78+M78+O78+Q78</f>
        <v>0</v>
      </c>
    </row>
    <row r="79" spans="1:18" ht="15">
      <c r="A79" s="27" t="s">
        <v>4</v>
      </c>
      <c r="B79" s="57">
        <v>2006</v>
      </c>
      <c r="C79" s="40" t="s">
        <v>40</v>
      </c>
      <c r="D79" s="41"/>
      <c r="E79" s="41">
        <v>1</v>
      </c>
      <c r="F79" s="43"/>
      <c r="G79" s="44">
        <f>'G-36 Monthly Volumes'!P59</f>
        <v>0</v>
      </c>
      <c r="H79" s="12">
        <v>0</v>
      </c>
      <c r="I79" s="6">
        <v>0</v>
      </c>
      <c r="J79" s="13">
        <f>D79*E79*H79+(F79+G79)*I79</f>
        <v>0</v>
      </c>
      <c r="K79" s="12">
        <v>0</v>
      </c>
      <c r="L79" s="6">
        <v>0</v>
      </c>
      <c r="M79" s="13">
        <f>D79*E79*K79+(F79+G79)*L79</f>
        <v>0</v>
      </c>
      <c r="N79" s="19"/>
      <c r="O79" s="13">
        <f>(F79+G79)*N79</f>
        <v>0</v>
      </c>
      <c r="P79" s="5">
        <v>0.8867</v>
      </c>
      <c r="Q79" s="13">
        <f>(F79+G79)*P79</f>
        <v>0</v>
      </c>
      <c r="R79" s="13">
        <f>J79+M79+O79+Q79</f>
        <v>0</v>
      </c>
    </row>
    <row r="80" spans="1:18" ht="15">
      <c r="A80" s="27" t="s">
        <v>4</v>
      </c>
      <c r="B80" s="57">
        <v>2006</v>
      </c>
      <c r="C80" s="40" t="s">
        <v>41</v>
      </c>
      <c r="D80" s="41"/>
      <c r="E80" s="41">
        <v>1</v>
      </c>
      <c r="F80" s="43"/>
      <c r="G80" s="44">
        <f>'G-36 Monthly Volumes'!P60</f>
        <v>0</v>
      </c>
      <c r="H80" s="12">
        <v>0</v>
      </c>
      <c r="I80" s="6">
        <v>0</v>
      </c>
      <c r="J80" s="13">
        <f>D80*E80*H80+(F80+G80)*I80</f>
        <v>0</v>
      </c>
      <c r="K80" s="12">
        <v>0</v>
      </c>
      <c r="L80" s="6">
        <v>0</v>
      </c>
      <c r="M80" s="13">
        <f>D80*E80*K80+(F80+G80)*L80</f>
        <v>0</v>
      </c>
      <c r="N80" s="19"/>
      <c r="O80" s="13">
        <f>(F80+G80)*N80</f>
        <v>0</v>
      </c>
      <c r="P80" s="5">
        <v>0.8867</v>
      </c>
      <c r="Q80" s="13">
        <f>(F80+G80)*P80</f>
        <v>0</v>
      </c>
      <c r="R80" s="13">
        <f>J80+M80+O80+Q80</f>
        <v>0</v>
      </c>
    </row>
    <row r="81" spans="1:18" ht="15">
      <c r="A81" s="27" t="s">
        <v>4</v>
      </c>
      <c r="B81" s="57">
        <v>2006</v>
      </c>
      <c r="C81" s="40" t="s">
        <v>42</v>
      </c>
      <c r="D81" s="41"/>
      <c r="E81" s="41">
        <v>1</v>
      </c>
      <c r="F81" s="43"/>
      <c r="G81" s="44">
        <f>'G-36 Monthly Volumes'!P61</f>
        <v>0</v>
      </c>
      <c r="H81" s="12">
        <v>0</v>
      </c>
      <c r="I81" s="6">
        <v>0</v>
      </c>
      <c r="J81" s="13">
        <f aca="true" t="shared" si="30" ref="J81:J90">D81*E81*H81+(F81+G81)*I81</f>
        <v>0</v>
      </c>
      <c r="K81" s="12">
        <v>0</v>
      </c>
      <c r="L81" s="6">
        <v>0</v>
      </c>
      <c r="M81" s="13">
        <f aca="true" t="shared" si="31" ref="M81:M90">D81*E81*K81+(F81+G81)*L81</f>
        <v>0</v>
      </c>
      <c r="N81" s="19"/>
      <c r="O81" s="13">
        <f aca="true" t="shared" si="32" ref="O81:O90">(F81+G81)*N81</f>
        <v>0</v>
      </c>
      <c r="P81" s="5">
        <v>0.8867</v>
      </c>
      <c r="Q81" s="13">
        <f aca="true" t="shared" si="33" ref="Q81:Q90">(F81+G81)*P81</f>
        <v>0</v>
      </c>
      <c r="R81" s="13">
        <f aca="true" t="shared" si="34" ref="R81:R90">J81+M81+O81+Q81</f>
        <v>0</v>
      </c>
    </row>
    <row r="82" spans="1:18" ht="15" hidden="1">
      <c r="A82" s="27" t="s">
        <v>4</v>
      </c>
      <c r="B82" s="57">
        <v>2006</v>
      </c>
      <c r="C82" s="40" t="s">
        <v>35</v>
      </c>
      <c r="D82" s="41"/>
      <c r="E82" s="41">
        <v>1</v>
      </c>
      <c r="F82" s="43"/>
      <c r="G82" s="44">
        <f>'G-36 Monthly Volumes'!P62</f>
        <v>0</v>
      </c>
      <c r="H82" s="12">
        <v>0</v>
      </c>
      <c r="I82" s="6">
        <v>0</v>
      </c>
      <c r="J82" s="13">
        <f>D82*E82*H82+(F82+G82)*I82</f>
        <v>0</v>
      </c>
      <c r="K82" s="12">
        <v>0</v>
      </c>
      <c r="L82" s="6">
        <v>0</v>
      </c>
      <c r="M82" s="13">
        <f>D82*E82*K82+(F82+G82)*L82</f>
        <v>0</v>
      </c>
      <c r="N82" s="19"/>
      <c r="O82" s="13">
        <f>(F82+G82)*N82</f>
        <v>0</v>
      </c>
      <c r="P82" s="5">
        <v>0.8867</v>
      </c>
      <c r="Q82" s="13">
        <f>(F82+G82)*P82</f>
        <v>0</v>
      </c>
      <c r="R82" s="13">
        <f>J82+M82+O82+Q82</f>
        <v>0</v>
      </c>
    </row>
    <row r="83" spans="1:18" ht="15" hidden="1">
      <c r="A83" s="27" t="s">
        <v>4</v>
      </c>
      <c r="B83" s="57">
        <v>2006</v>
      </c>
      <c r="C83" s="40" t="s">
        <v>43</v>
      </c>
      <c r="D83" s="41"/>
      <c r="E83" s="41">
        <v>1</v>
      </c>
      <c r="F83" s="43"/>
      <c r="G83" s="44">
        <f>'G-36 Monthly Volumes'!P63</f>
        <v>0</v>
      </c>
      <c r="H83" s="12">
        <v>0</v>
      </c>
      <c r="I83" s="6">
        <v>0</v>
      </c>
      <c r="J83" s="13">
        <f>D83*E83*H83+(F83+G83)*I83</f>
        <v>0</v>
      </c>
      <c r="K83" s="12">
        <v>0</v>
      </c>
      <c r="L83" s="6">
        <v>0</v>
      </c>
      <c r="M83" s="13">
        <f>D83*E83*K83+(F83+G83)*L83</f>
        <v>0</v>
      </c>
      <c r="N83" s="19"/>
      <c r="O83" s="13">
        <f>(F83+G83)*N83</f>
        <v>0</v>
      </c>
      <c r="P83" s="5">
        <v>0.8867</v>
      </c>
      <c r="Q83" s="13">
        <f>(F83+G83)*P83</f>
        <v>0</v>
      </c>
      <c r="R83" s="13">
        <f>J83+M83+O83+Q83</f>
        <v>0</v>
      </c>
    </row>
    <row r="84" spans="1:18" ht="15" hidden="1">
      <c r="A84" s="27" t="s">
        <v>4</v>
      </c>
      <c r="B84" s="57">
        <v>2006</v>
      </c>
      <c r="C84" s="40" t="s">
        <v>44</v>
      </c>
      <c r="D84" s="41"/>
      <c r="E84" s="41">
        <v>1</v>
      </c>
      <c r="F84" s="43"/>
      <c r="G84" s="44">
        <f>'G-36 Monthly Volumes'!P64</f>
        <v>0</v>
      </c>
      <c r="H84" s="12">
        <v>0</v>
      </c>
      <c r="I84" s="6">
        <v>0</v>
      </c>
      <c r="J84" s="13">
        <f>D84*E84*H84+(F84+G84)*I84</f>
        <v>0</v>
      </c>
      <c r="K84" s="12">
        <v>0</v>
      </c>
      <c r="L84" s="6">
        <v>0</v>
      </c>
      <c r="M84" s="13">
        <f>D84*E84*K84+(F84+G84)*L84</f>
        <v>0</v>
      </c>
      <c r="N84" s="19"/>
      <c r="O84" s="13">
        <f>(F84+G84)*N84</f>
        <v>0</v>
      </c>
      <c r="P84" s="5">
        <v>0.8867</v>
      </c>
      <c r="Q84" s="13">
        <f>(F84+G84)*P84</f>
        <v>0</v>
      </c>
      <c r="R84" s="13">
        <f>J84+M84+O84+Q84</f>
        <v>0</v>
      </c>
    </row>
    <row r="85" spans="1:18" ht="15" hidden="1">
      <c r="A85" s="27" t="s">
        <v>4</v>
      </c>
      <c r="B85" s="57">
        <v>2006</v>
      </c>
      <c r="C85" s="40" t="s">
        <v>45</v>
      </c>
      <c r="D85" s="41"/>
      <c r="E85" s="41">
        <v>1</v>
      </c>
      <c r="F85" s="43"/>
      <c r="G85" s="44">
        <f>'G-36 Monthly Volumes'!P65</f>
        <v>0</v>
      </c>
      <c r="H85" s="12">
        <v>0</v>
      </c>
      <c r="I85" s="6">
        <v>0</v>
      </c>
      <c r="J85" s="13">
        <f>D85*E85*H85+(F85+G85)*I85</f>
        <v>0</v>
      </c>
      <c r="K85" s="12">
        <v>0</v>
      </c>
      <c r="L85" s="6">
        <v>0</v>
      </c>
      <c r="M85" s="13">
        <f>D85*E85*K85+(F85+G85)*L85</f>
        <v>0</v>
      </c>
      <c r="N85" s="19"/>
      <c r="O85" s="13">
        <f>(F85+G85)*N85</f>
        <v>0</v>
      </c>
      <c r="P85" s="5">
        <v>0.8867</v>
      </c>
      <c r="Q85" s="13">
        <f>(F85+G85)*P85</f>
        <v>0</v>
      </c>
      <c r="R85" s="13">
        <f>J85+M85+O85+Q85</f>
        <v>0</v>
      </c>
    </row>
    <row r="86" spans="1:18" ht="15" hidden="1">
      <c r="A86" s="27" t="s">
        <v>4</v>
      </c>
      <c r="B86" s="57">
        <v>2006</v>
      </c>
      <c r="C86" s="40" t="s">
        <v>46</v>
      </c>
      <c r="D86" s="41"/>
      <c r="E86" s="41">
        <v>1</v>
      </c>
      <c r="F86" s="43"/>
      <c r="G86" s="44">
        <f>'G-36 Monthly Volumes'!P66</f>
        <v>0</v>
      </c>
      <c r="H86" s="12">
        <v>0</v>
      </c>
      <c r="I86" s="6">
        <v>0</v>
      </c>
      <c r="J86" s="13">
        <f>D86*E86*H86+(F86+G86)*I86</f>
        <v>0</v>
      </c>
      <c r="K86" s="12">
        <v>0</v>
      </c>
      <c r="L86" s="6">
        <v>0</v>
      </c>
      <c r="M86" s="13">
        <f>D86*E86*K86+(F86+G86)*L86</f>
        <v>0</v>
      </c>
      <c r="N86" s="19"/>
      <c r="O86" s="13">
        <f>(F86+G86)*N86</f>
        <v>0</v>
      </c>
      <c r="P86" s="5">
        <v>0.8867</v>
      </c>
      <c r="Q86" s="13">
        <f>(F86+G86)*P86</f>
        <v>0</v>
      </c>
      <c r="R86" s="13">
        <f>J86+M86+O86+Q86</f>
        <v>0</v>
      </c>
    </row>
    <row r="87" spans="1:18" ht="15" hidden="1">
      <c r="A87" s="27" t="s">
        <v>4</v>
      </c>
      <c r="B87" s="57">
        <v>2006</v>
      </c>
      <c r="C87" s="40" t="s">
        <v>47</v>
      </c>
      <c r="D87" s="41"/>
      <c r="E87" s="41">
        <v>1</v>
      </c>
      <c r="F87" s="43"/>
      <c r="G87" s="44">
        <f>'G-36 Monthly Volumes'!P67</f>
        <v>0</v>
      </c>
      <c r="H87" s="12">
        <v>0</v>
      </c>
      <c r="I87" s="6">
        <v>0</v>
      </c>
      <c r="J87" s="13">
        <f t="shared" si="30"/>
        <v>0</v>
      </c>
      <c r="K87" s="12">
        <v>0</v>
      </c>
      <c r="L87" s="6">
        <v>0</v>
      </c>
      <c r="M87" s="13">
        <f t="shared" si="31"/>
        <v>0</v>
      </c>
      <c r="N87" s="19"/>
      <c r="O87" s="13">
        <f t="shared" si="32"/>
        <v>0</v>
      </c>
      <c r="P87" s="5">
        <v>0.8867</v>
      </c>
      <c r="Q87" s="13">
        <f t="shared" si="33"/>
        <v>0</v>
      </c>
      <c r="R87" s="13">
        <f t="shared" si="34"/>
        <v>0</v>
      </c>
    </row>
    <row r="88" spans="1:18" ht="15" hidden="1">
      <c r="A88" s="27" t="s">
        <v>4</v>
      </c>
      <c r="B88" s="57">
        <v>2006</v>
      </c>
      <c r="C88" s="40" t="s">
        <v>48</v>
      </c>
      <c r="D88" s="41"/>
      <c r="E88" s="41">
        <v>1</v>
      </c>
      <c r="F88" s="43"/>
      <c r="G88" s="44">
        <f>'G-36 Monthly Volumes'!P68</f>
        <v>0</v>
      </c>
      <c r="H88" s="12">
        <v>0</v>
      </c>
      <c r="I88" s="6">
        <v>0</v>
      </c>
      <c r="J88" s="13">
        <f t="shared" si="30"/>
        <v>0</v>
      </c>
      <c r="K88" s="12">
        <v>0</v>
      </c>
      <c r="L88" s="6">
        <v>0</v>
      </c>
      <c r="M88" s="13">
        <f t="shared" si="31"/>
        <v>0</v>
      </c>
      <c r="N88" s="19"/>
      <c r="O88" s="13">
        <f t="shared" si="32"/>
        <v>0</v>
      </c>
      <c r="P88" s="5">
        <v>0.8867</v>
      </c>
      <c r="Q88" s="13">
        <f t="shared" si="33"/>
        <v>0</v>
      </c>
      <c r="R88" s="13">
        <f t="shared" si="34"/>
        <v>0</v>
      </c>
    </row>
    <row r="89" spans="1:18" ht="15" hidden="1">
      <c r="A89" s="27" t="s">
        <v>4</v>
      </c>
      <c r="B89" s="57">
        <v>2006</v>
      </c>
      <c r="C89" s="40" t="s">
        <v>49</v>
      </c>
      <c r="D89" s="41"/>
      <c r="E89" s="41">
        <v>1</v>
      </c>
      <c r="F89" s="43"/>
      <c r="G89" s="44">
        <f>'G-36 Monthly Volumes'!P69</f>
        <v>0</v>
      </c>
      <c r="H89" s="12">
        <v>0</v>
      </c>
      <c r="I89" s="6">
        <v>0</v>
      </c>
      <c r="J89" s="13">
        <f t="shared" si="30"/>
        <v>0</v>
      </c>
      <c r="K89" s="12">
        <v>0</v>
      </c>
      <c r="L89" s="6">
        <v>0</v>
      </c>
      <c r="M89" s="13">
        <f t="shared" si="31"/>
        <v>0</v>
      </c>
      <c r="N89" s="19"/>
      <c r="O89" s="13">
        <f t="shared" si="32"/>
        <v>0</v>
      </c>
      <c r="P89" s="5">
        <v>0.8867</v>
      </c>
      <c r="Q89" s="13">
        <f t="shared" si="33"/>
        <v>0</v>
      </c>
      <c r="R89" s="13">
        <f t="shared" si="34"/>
        <v>0</v>
      </c>
    </row>
    <row r="90" spans="1:18" ht="15.75" thickBot="1">
      <c r="A90" s="27" t="s">
        <v>4</v>
      </c>
      <c r="B90" s="57">
        <v>2006</v>
      </c>
      <c r="C90" s="40" t="s">
        <v>38</v>
      </c>
      <c r="D90" s="41"/>
      <c r="E90" s="41">
        <v>1</v>
      </c>
      <c r="F90" s="43"/>
      <c r="G90" s="44">
        <f>'G-36 Monthly Volumes'!P70</f>
        <v>0</v>
      </c>
      <c r="H90" s="12">
        <v>0</v>
      </c>
      <c r="I90" s="6">
        <v>0</v>
      </c>
      <c r="J90" s="13">
        <f t="shared" si="30"/>
        <v>0</v>
      </c>
      <c r="K90" s="12">
        <v>0</v>
      </c>
      <c r="L90" s="6">
        <v>0</v>
      </c>
      <c r="M90" s="13">
        <f t="shared" si="31"/>
        <v>0</v>
      </c>
      <c r="N90" s="19"/>
      <c r="O90" s="13">
        <f t="shared" si="32"/>
        <v>0</v>
      </c>
      <c r="P90" s="5">
        <v>0.8867</v>
      </c>
      <c r="Q90" s="13">
        <f t="shared" si="33"/>
        <v>0</v>
      </c>
      <c r="R90" s="13">
        <f t="shared" si="34"/>
        <v>0</v>
      </c>
    </row>
    <row r="91" spans="1:18" ht="15.75" thickBot="1">
      <c r="A91" s="59" t="s">
        <v>64</v>
      </c>
      <c r="B91" s="60"/>
      <c r="C91" s="61"/>
      <c r="D91" s="62">
        <f>SUM(D78:D90)</f>
        <v>0</v>
      </c>
      <c r="E91" s="62"/>
      <c r="F91" s="62">
        <f>SUM(F78:F90)</f>
        <v>0</v>
      </c>
      <c r="G91" s="63">
        <f>SUM(G78:G90)</f>
        <v>0</v>
      </c>
      <c r="H91" s="64"/>
      <c r="I91" s="65"/>
      <c r="J91" s="66">
        <f>SUM(J78:J90)</f>
        <v>0</v>
      </c>
      <c r="K91" s="64"/>
      <c r="L91" s="65"/>
      <c r="M91" s="66">
        <f>SUM(M78:M90)</f>
        <v>0</v>
      </c>
      <c r="N91" s="67"/>
      <c r="O91" s="66">
        <f>SUM(O78:O90)</f>
        <v>0</v>
      </c>
      <c r="P91" s="67"/>
      <c r="Q91" s="66">
        <f>SUM(Q78:Q90)</f>
        <v>0</v>
      </c>
      <c r="R91" s="66">
        <f>SUM(R78:R90)</f>
        <v>0</v>
      </c>
    </row>
    <row r="92" spans="1:18" ht="15">
      <c r="A92" s="27"/>
      <c r="B92" s="57"/>
      <c r="C92" s="40"/>
      <c r="D92" s="41"/>
      <c r="E92" s="41"/>
      <c r="F92" s="43"/>
      <c r="G92" s="44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7" t="s">
        <v>5</v>
      </c>
      <c r="B93" s="57">
        <v>2006</v>
      </c>
      <c r="C93" s="40" t="s">
        <v>39</v>
      </c>
      <c r="D93" s="41"/>
      <c r="E93" s="41">
        <v>1</v>
      </c>
      <c r="F93" s="43"/>
      <c r="G93" s="44">
        <f>'G-36 Monthly Volumes'!P40</f>
        <v>564.52</v>
      </c>
      <c r="H93" s="12">
        <v>0</v>
      </c>
      <c r="I93" s="6">
        <v>0</v>
      </c>
      <c r="J93" s="13">
        <f>D93*E93*H93+(F93+G93)*I93</f>
        <v>0</v>
      </c>
      <c r="K93" s="12">
        <v>0</v>
      </c>
      <c r="L93" s="6">
        <v>0</v>
      </c>
      <c r="M93" s="13">
        <f>D93*E93*K93+(F93+G93)*L93</f>
        <v>0</v>
      </c>
      <c r="N93" s="19"/>
      <c r="O93" s="13">
        <f>(F93+G93)*N93</f>
        <v>0</v>
      </c>
      <c r="P93" s="5">
        <v>0.6247</v>
      </c>
      <c r="Q93" s="13">
        <f>(F93+G93)*P93</f>
        <v>352.655644</v>
      </c>
      <c r="R93" s="13">
        <f>J93+M93+O93+Q93</f>
        <v>352.655644</v>
      </c>
    </row>
    <row r="94" spans="1:18" ht="15">
      <c r="A94" s="27" t="s">
        <v>5</v>
      </c>
      <c r="B94" s="57">
        <v>2006</v>
      </c>
      <c r="C94" s="40" t="s">
        <v>40</v>
      </c>
      <c r="D94" s="41"/>
      <c r="E94" s="41">
        <v>1</v>
      </c>
      <c r="F94" s="43"/>
      <c r="G94" s="44">
        <f>'G-36 Monthly Volumes'!P41</f>
        <v>564.52</v>
      </c>
      <c r="H94" s="12">
        <v>0</v>
      </c>
      <c r="I94" s="6">
        <v>0</v>
      </c>
      <c r="J94" s="13">
        <f>D94*E94*H94+(F94+G94)*I94</f>
        <v>0</v>
      </c>
      <c r="K94" s="12">
        <v>0</v>
      </c>
      <c r="L94" s="6">
        <v>0</v>
      </c>
      <c r="M94" s="13">
        <f>D94*E94*K94+(F94+G94)*L94</f>
        <v>0</v>
      </c>
      <c r="N94" s="19"/>
      <c r="O94" s="13">
        <f>(F94+G94)*N94</f>
        <v>0</v>
      </c>
      <c r="P94" s="5">
        <v>0.6247</v>
      </c>
      <c r="Q94" s="13">
        <f>(F94+G94)*P94</f>
        <v>352.655644</v>
      </c>
      <c r="R94" s="13">
        <f>J94+M94+O94+Q94</f>
        <v>352.655644</v>
      </c>
    </row>
    <row r="95" spans="1:18" ht="15">
      <c r="A95" s="27" t="s">
        <v>5</v>
      </c>
      <c r="B95" s="57">
        <v>2006</v>
      </c>
      <c r="C95" s="40" t="s">
        <v>41</v>
      </c>
      <c r="D95" s="41"/>
      <c r="E95" s="41">
        <v>1</v>
      </c>
      <c r="F95" s="43"/>
      <c r="G95" s="44">
        <f>'G-36 Monthly Volumes'!P42</f>
        <v>564.52</v>
      </c>
      <c r="H95" s="12">
        <v>0</v>
      </c>
      <c r="I95" s="6">
        <v>0</v>
      </c>
      <c r="J95" s="13">
        <f>D95*E95*H95+(F95+G95)*I95</f>
        <v>0</v>
      </c>
      <c r="K95" s="12">
        <v>0</v>
      </c>
      <c r="L95" s="6">
        <v>0</v>
      </c>
      <c r="M95" s="13">
        <f>D95*E95*K95+(F95+G95)*L95</f>
        <v>0</v>
      </c>
      <c r="N95" s="19"/>
      <c r="O95" s="13">
        <f>(F95+G95)*N95</f>
        <v>0</v>
      </c>
      <c r="P95" s="5">
        <v>0.6247</v>
      </c>
      <c r="Q95" s="13">
        <f>(F95+G95)*P95</f>
        <v>352.655644</v>
      </c>
      <c r="R95" s="13">
        <f>J95+M95+O95+Q95</f>
        <v>352.655644</v>
      </c>
    </row>
    <row r="96" spans="1:18" ht="15">
      <c r="A96" s="27" t="s">
        <v>5</v>
      </c>
      <c r="B96" s="57">
        <v>2006</v>
      </c>
      <c r="C96" s="40" t="s">
        <v>42</v>
      </c>
      <c r="D96" s="41"/>
      <c r="E96" s="41">
        <v>1</v>
      </c>
      <c r="F96" s="43"/>
      <c r="G96" s="44">
        <f>'G-36 Monthly Volumes'!P43</f>
        <v>564.52</v>
      </c>
      <c r="H96" s="12">
        <v>0</v>
      </c>
      <c r="I96" s="6">
        <v>0</v>
      </c>
      <c r="J96" s="13">
        <f aca="true" t="shared" si="35" ref="J96:J105">D96*E96*H96+(F96+G96)*I96</f>
        <v>0</v>
      </c>
      <c r="K96" s="12">
        <v>0</v>
      </c>
      <c r="L96" s="6">
        <v>0</v>
      </c>
      <c r="M96" s="13">
        <f aca="true" t="shared" si="36" ref="M96:M105">D96*E96*K96+(F96+G96)*L96</f>
        <v>0</v>
      </c>
      <c r="N96" s="19"/>
      <c r="O96" s="13">
        <f aca="true" t="shared" si="37" ref="O96:O105">(F96+G96)*N96</f>
        <v>0</v>
      </c>
      <c r="P96" s="5">
        <v>0.6247</v>
      </c>
      <c r="Q96" s="13">
        <f aca="true" t="shared" si="38" ref="Q96:Q105">(F96+G96)*P96</f>
        <v>352.655644</v>
      </c>
      <c r="R96" s="13">
        <f aca="true" t="shared" si="39" ref="R96:R105">J96+M96+O96+Q96</f>
        <v>352.655644</v>
      </c>
    </row>
    <row r="97" spans="1:18" ht="15" hidden="1">
      <c r="A97" s="27" t="s">
        <v>5</v>
      </c>
      <c r="B97" s="57">
        <v>2006</v>
      </c>
      <c r="C97" s="40" t="s">
        <v>35</v>
      </c>
      <c r="D97" s="41"/>
      <c r="E97" s="41">
        <v>1</v>
      </c>
      <c r="F97" s="43"/>
      <c r="G97" s="44">
        <f>'G-36 Monthly Volumes'!P44</f>
        <v>0</v>
      </c>
      <c r="H97" s="12">
        <v>0</v>
      </c>
      <c r="I97" s="6">
        <v>0</v>
      </c>
      <c r="J97" s="13">
        <f>D97*E97*H97+(F97+G97)*I97</f>
        <v>0</v>
      </c>
      <c r="K97" s="12">
        <v>0</v>
      </c>
      <c r="L97" s="6">
        <v>0</v>
      </c>
      <c r="M97" s="13">
        <f>D97*E97*K97+(F97+G97)*L97</f>
        <v>0</v>
      </c>
      <c r="N97" s="19"/>
      <c r="O97" s="13">
        <f>(F97+G97)*N97</f>
        <v>0</v>
      </c>
      <c r="P97" s="5">
        <v>0.6247</v>
      </c>
      <c r="Q97" s="13">
        <f>(F97+G97)*P97</f>
        <v>0</v>
      </c>
      <c r="R97" s="13">
        <f>J97+M97+O97+Q97</f>
        <v>0</v>
      </c>
    </row>
    <row r="98" spans="1:18" ht="15" hidden="1">
      <c r="A98" s="27" t="s">
        <v>5</v>
      </c>
      <c r="B98" s="57">
        <v>2006</v>
      </c>
      <c r="C98" s="40" t="s">
        <v>43</v>
      </c>
      <c r="D98" s="41"/>
      <c r="E98" s="41">
        <v>1</v>
      </c>
      <c r="F98" s="43"/>
      <c r="G98" s="44">
        <f>'G-36 Monthly Volumes'!P45</f>
        <v>0</v>
      </c>
      <c r="H98" s="12">
        <v>0</v>
      </c>
      <c r="I98" s="6">
        <v>0</v>
      </c>
      <c r="J98" s="13">
        <f>D98*E98*H98+(F98+G98)*I98</f>
        <v>0</v>
      </c>
      <c r="K98" s="12">
        <v>0</v>
      </c>
      <c r="L98" s="6">
        <v>0</v>
      </c>
      <c r="M98" s="13">
        <f>D98*E98*K98+(F98+G98)*L98</f>
        <v>0</v>
      </c>
      <c r="N98" s="19"/>
      <c r="O98" s="13">
        <f>(F98+G98)*N98</f>
        <v>0</v>
      </c>
      <c r="P98" s="5">
        <v>0.6247</v>
      </c>
      <c r="Q98" s="13">
        <f>(F98+G98)*P98</f>
        <v>0</v>
      </c>
      <c r="R98" s="13">
        <f>J98+M98+O98+Q98</f>
        <v>0</v>
      </c>
    </row>
    <row r="99" spans="1:18" ht="15" hidden="1">
      <c r="A99" s="27" t="s">
        <v>5</v>
      </c>
      <c r="B99" s="57">
        <v>2006</v>
      </c>
      <c r="C99" s="40" t="s">
        <v>44</v>
      </c>
      <c r="D99" s="41"/>
      <c r="E99" s="41">
        <v>1</v>
      </c>
      <c r="F99" s="43"/>
      <c r="G99" s="44">
        <f>'G-36 Monthly Volumes'!P46</f>
        <v>0</v>
      </c>
      <c r="H99" s="12">
        <v>0</v>
      </c>
      <c r="I99" s="6">
        <v>0</v>
      </c>
      <c r="J99" s="13">
        <f t="shared" si="35"/>
        <v>0</v>
      </c>
      <c r="K99" s="12">
        <v>0</v>
      </c>
      <c r="L99" s="6">
        <v>0</v>
      </c>
      <c r="M99" s="13">
        <f t="shared" si="36"/>
        <v>0</v>
      </c>
      <c r="N99" s="19"/>
      <c r="O99" s="13">
        <f t="shared" si="37"/>
        <v>0</v>
      </c>
      <c r="P99" s="5">
        <v>0.6247</v>
      </c>
      <c r="Q99" s="13">
        <f t="shared" si="38"/>
        <v>0</v>
      </c>
      <c r="R99" s="13">
        <f t="shared" si="39"/>
        <v>0</v>
      </c>
    </row>
    <row r="100" spans="1:18" ht="15" hidden="1">
      <c r="A100" s="27" t="s">
        <v>5</v>
      </c>
      <c r="B100" s="57">
        <v>2006</v>
      </c>
      <c r="C100" s="40" t="s">
        <v>45</v>
      </c>
      <c r="D100" s="41"/>
      <c r="E100" s="41">
        <v>1</v>
      </c>
      <c r="F100" s="43"/>
      <c r="G100" s="44">
        <f>'G-36 Monthly Volumes'!P47</f>
        <v>0</v>
      </c>
      <c r="H100" s="12">
        <v>0</v>
      </c>
      <c r="I100" s="6">
        <v>0</v>
      </c>
      <c r="J100" s="13">
        <f t="shared" si="35"/>
        <v>0</v>
      </c>
      <c r="K100" s="12">
        <v>0</v>
      </c>
      <c r="L100" s="6">
        <v>0</v>
      </c>
      <c r="M100" s="13">
        <f t="shared" si="36"/>
        <v>0</v>
      </c>
      <c r="N100" s="19"/>
      <c r="O100" s="13">
        <f t="shared" si="37"/>
        <v>0</v>
      </c>
      <c r="P100" s="5">
        <v>0.6247</v>
      </c>
      <c r="Q100" s="13">
        <f t="shared" si="38"/>
        <v>0</v>
      </c>
      <c r="R100" s="13">
        <f t="shared" si="39"/>
        <v>0</v>
      </c>
    </row>
    <row r="101" spans="1:18" ht="15" hidden="1">
      <c r="A101" s="27" t="s">
        <v>5</v>
      </c>
      <c r="B101" s="57">
        <v>2006</v>
      </c>
      <c r="C101" s="40" t="s">
        <v>46</v>
      </c>
      <c r="D101" s="41"/>
      <c r="E101" s="41">
        <v>1</v>
      </c>
      <c r="F101" s="43"/>
      <c r="G101" s="44">
        <f>'G-36 Monthly Volumes'!P48</f>
        <v>0</v>
      </c>
      <c r="H101" s="12">
        <v>0</v>
      </c>
      <c r="I101" s="6">
        <v>0</v>
      </c>
      <c r="J101" s="13">
        <f t="shared" si="35"/>
        <v>0</v>
      </c>
      <c r="K101" s="12">
        <v>0</v>
      </c>
      <c r="L101" s="6">
        <v>0</v>
      </c>
      <c r="M101" s="13">
        <f t="shared" si="36"/>
        <v>0</v>
      </c>
      <c r="N101" s="19"/>
      <c r="O101" s="13">
        <f t="shared" si="37"/>
        <v>0</v>
      </c>
      <c r="P101" s="5">
        <v>0.6247</v>
      </c>
      <c r="Q101" s="13">
        <f t="shared" si="38"/>
        <v>0</v>
      </c>
      <c r="R101" s="13">
        <f t="shared" si="39"/>
        <v>0</v>
      </c>
    </row>
    <row r="102" spans="1:18" ht="15" hidden="1">
      <c r="A102" s="27" t="s">
        <v>5</v>
      </c>
      <c r="B102" s="57">
        <v>2006</v>
      </c>
      <c r="C102" s="40" t="s">
        <v>47</v>
      </c>
      <c r="D102" s="41"/>
      <c r="E102" s="41">
        <v>1</v>
      </c>
      <c r="F102" s="43"/>
      <c r="G102" s="44">
        <f>'G-36 Monthly Volumes'!P49</f>
        <v>0</v>
      </c>
      <c r="H102" s="12">
        <v>0</v>
      </c>
      <c r="I102" s="6">
        <v>0</v>
      </c>
      <c r="J102" s="13">
        <f t="shared" si="35"/>
        <v>0</v>
      </c>
      <c r="K102" s="12">
        <v>0</v>
      </c>
      <c r="L102" s="6">
        <v>0</v>
      </c>
      <c r="M102" s="13">
        <f t="shared" si="36"/>
        <v>0</v>
      </c>
      <c r="N102" s="19"/>
      <c r="O102" s="13">
        <f t="shared" si="37"/>
        <v>0</v>
      </c>
      <c r="P102" s="5">
        <v>0.6247</v>
      </c>
      <c r="Q102" s="13">
        <f t="shared" si="38"/>
        <v>0</v>
      </c>
      <c r="R102" s="13">
        <f t="shared" si="39"/>
        <v>0</v>
      </c>
    </row>
    <row r="103" spans="1:18" ht="15" hidden="1">
      <c r="A103" s="27" t="s">
        <v>5</v>
      </c>
      <c r="B103" s="57">
        <v>2006</v>
      </c>
      <c r="C103" s="40" t="s">
        <v>48</v>
      </c>
      <c r="D103" s="41"/>
      <c r="E103" s="41">
        <v>1</v>
      </c>
      <c r="F103" s="43"/>
      <c r="G103" s="44">
        <f>'G-36 Monthly Volumes'!P50</f>
        <v>0</v>
      </c>
      <c r="H103" s="12">
        <v>0</v>
      </c>
      <c r="I103" s="6">
        <v>0</v>
      </c>
      <c r="J103" s="13">
        <f t="shared" si="35"/>
        <v>0</v>
      </c>
      <c r="K103" s="12">
        <v>0</v>
      </c>
      <c r="L103" s="6">
        <v>0</v>
      </c>
      <c r="M103" s="13">
        <f t="shared" si="36"/>
        <v>0</v>
      </c>
      <c r="N103" s="19"/>
      <c r="O103" s="13">
        <f t="shared" si="37"/>
        <v>0</v>
      </c>
      <c r="P103" s="5">
        <v>0.6247</v>
      </c>
      <c r="Q103" s="13">
        <f t="shared" si="38"/>
        <v>0</v>
      </c>
      <c r="R103" s="13">
        <f t="shared" si="39"/>
        <v>0</v>
      </c>
    </row>
    <row r="104" spans="1:18" ht="15" hidden="1">
      <c r="A104" s="27" t="s">
        <v>5</v>
      </c>
      <c r="B104" s="57">
        <v>2006</v>
      </c>
      <c r="C104" s="40" t="s">
        <v>49</v>
      </c>
      <c r="D104" s="41"/>
      <c r="E104" s="41">
        <v>1</v>
      </c>
      <c r="F104" s="43"/>
      <c r="G104" s="44">
        <f>'G-36 Monthly Volumes'!P51</f>
        <v>0</v>
      </c>
      <c r="H104" s="12">
        <v>0</v>
      </c>
      <c r="I104" s="6">
        <v>0</v>
      </c>
      <c r="J104" s="13">
        <f t="shared" si="35"/>
        <v>0</v>
      </c>
      <c r="K104" s="12">
        <v>0</v>
      </c>
      <c r="L104" s="6">
        <v>0</v>
      </c>
      <c r="M104" s="13">
        <f t="shared" si="36"/>
        <v>0</v>
      </c>
      <c r="N104" s="19"/>
      <c r="O104" s="13">
        <f t="shared" si="37"/>
        <v>0</v>
      </c>
      <c r="P104" s="5">
        <v>0.6247</v>
      </c>
      <c r="Q104" s="13">
        <f t="shared" si="38"/>
        <v>0</v>
      </c>
      <c r="R104" s="13">
        <f t="shared" si="39"/>
        <v>0</v>
      </c>
    </row>
    <row r="105" spans="1:18" ht="15.75" thickBot="1">
      <c r="A105" s="27" t="s">
        <v>5</v>
      </c>
      <c r="B105" s="57">
        <v>2006</v>
      </c>
      <c r="C105" s="40" t="s">
        <v>38</v>
      </c>
      <c r="D105" s="41"/>
      <c r="E105" s="41">
        <v>1</v>
      </c>
      <c r="F105" s="43"/>
      <c r="G105" s="44">
        <f>'G-36 Monthly Volumes'!P52</f>
        <v>0</v>
      </c>
      <c r="H105" s="12">
        <v>0</v>
      </c>
      <c r="I105" s="6">
        <v>0</v>
      </c>
      <c r="J105" s="13">
        <f t="shared" si="35"/>
        <v>0</v>
      </c>
      <c r="K105" s="12">
        <v>0</v>
      </c>
      <c r="L105" s="6">
        <v>0</v>
      </c>
      <c r="M105" s="13">
        <f t="shared" si="36"/>
        <v>0</v>
      </c>
      <c r="N105" s="19"/>
      <c r="O105" s="13">
        <f t="shared" si="37"/>
        <v>0</v>
      </c>
      <c r="P105" s="5">
        <v>0.6247</v>
      </c>
      <c r="Q105" s="13">
        <f t="shared" si="38"/>
        <v>0</v>
      </c>
      <c r="R105" s="13">
        <f t="shared" si="39"/>
        <v>0</v>
      </c>
    </row>
    <row r="106" spans="1:18" ht="15.75" thickBot="1">
      <c r="A106" s="59" t="s">
        <v>65</v>
      </c>
      <c r="B106" s="60"/>
      <c r="C106" s="61"/>
      <c r="D106" s="62">
        <f>SUM(D93:D105)</f>
        <v>0</v>
      </c>
      <c r="E106" s="62"/>
      <c r="F106" s="62">
        <f>SUM(F93:F105)</f>
        <v>0</v>
      </c>
      <c r="G106" s="63">
        <f>SUM(G93:G105)</f>
        <v>2258.08</v>
      </c>
      <c r="H106" s="64"/>
      <c r="I106" s="65"/>
      <c r="J106" s="66">
        <f>SUM(J93:J105)</f>
        <v>0</v>
      </c>
      <c r="K106" s="64"/>
      <c r="L106" s="65"/>
      <c r="M106" s="66">
        <f>SUM(M93:M105)</f>
        <v>0</v>
      </c>
      <c r="N106" s="67"/>
      <c r="O106" s="66">
        <f>SUM(O93:O105)</f>
        <v>0</v>
      </c>
      <c r="P106" s="67"/>
      <c r="Q106" s="66">
        <f>SUM(Q93:Q105)</f>
        <v>1410.622576</v>
      </c>
      <c r="R106" s="66">
        <f>SUM(R93:R105)</f>
        <v>1410.622576</v>
      </c>
    </row>
    <row r="107" spans="1:18" ht="15">
      <c r="A107" s="16"/>
      <c r="B107" s="3"/>
      <c r="C107" s="3"/>
      <c r="D107" s="68"/>
      <c r="E107" s="68"/>
      <c r="F107" s="68"/>
      <c r="G107" s="69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22" t="s">
        <v>28</v>
      </c>
      <c r="B108" s="123"/>
      <c r="C108" s="123"/>
      <c r="D108" s="124"/>
      <c r="E108" s="124"/>
      <c r="F108" s="124">
        <f>F16+F31+F46+F61+F76+F91+F106</f>
        <v>49287094.05302799</v>
      </c>
      <c r="G108" s="124">
        <f>G16+G31+G46+G61+G76+G91+G106</f>
        <v>213028.72614406023</v>
      </c>
      <c r="H108" s="122"/>
      <c r="I108" s="123"/>
      <c r="J108" s="125">
        <f>J16+J31+J46+J61+J76+J91+J106</f>
        <v>0</v>
      </c>
      <c r="K108" s="122"/>
      <c r="L108" s="123"/>
      <c r="M108" s="125">
        <f>M16+M31+M46+M61+M76+M91+M106</f>
        <v>0</v>
      </c>
      <c r="N108" s="122"/>
      <c r="O108" s="125">
        <f>O16+O31+O46+O61+O76+O91+O106</f>
        <v>0</v>
      </c>
      <c r="P108" s="122"/>
      <c r="Q108" s="125">
        <f>Q16+Q31+Q46+Q61+Q76+Q91+Q106</f>
        <v>140846.61577000216</v>
      </c>
      <c r="R108" s="125">
        <f>R16+R31+R46+R61+R76+R91+R106</f>
        <v>140846.61577000216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spans="10:11" ht="15">
      <c r="J111" s="8"/>
      <c r="K111" s="2"/>
    </row>
    <row r="112" spans="10:11" ht="15">
      <c r="J112" s="8"/>
      <c r="K112" s="2"/>
    </row>
    <row r="113" spans="10:11" ht="15">
      <c r="J113" s="8"/>
      <c r="K113" s="2"/>
    </row>
    <row r="114" spans="10:11" ht="15">
      <c r="J114" s="8"/>
      <c r="K114" s="2"/>
    </row>
  </sheetData>
  <sheetProtection/>
  <printOptions/>
  <pageMargins left="0.2" right="0.2" top="0.75" bottom="0.75" header="0.3" footer="0.3"/>
  <pageSetup fitToHeight="1" fitToWidth="1" horizontalDpi="600" verticalDpi="600" orientation="portrait" scale="74" r:id="rId1"/>
  <headerFooter>
    <oddHeader>&amp;C&amp;F&amp;A&amp;RWoodstock Hydro
EB-2011-0207
September 2011</oddHeader>
    <oddFooter>&amp;C&amp;P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00390625" style="0" bestFit="1" customWidth="1"/>
    <col min="2" max="2" width="11.00390625" style="0" customWidth="1"/>
    <col min="3" max="3" width="11.00390625" style="0" bestFit="1" customWidth="1"/>
    <col min="4" max="4" width="14.00390625" style="0" customWidth="1"/>
    <col min="6" max="6" width="9.140625" style="0" customWidth="1"/>
    <col min="7" max="7" width="10.140625" style="0" bestFit="1" customWidth="1"/>
    <col min="8" max="8" width="9.8515625" style="0" customWidth="1"/>
    <col min="9" max="9" width="6.421875" style="0" bestFit="1" customWidth="1"/>
  </cols>
  <sheetData>
    <row r="1" spans="1:2" ht="15">
      <c r="A1" s="3"/>
      <c r="B1" s="3"/>
    </row>
    <row r="2" spans="1:10" ht="15">
      <c r="A2" s="93"/>
      <c r="B2" s="3"/>
      <c r="C2" s="3"/>
      <c r="D2" s="3"/>
      <c r="E2" s="3"/>
      <c r="F2" s="3"/>
      <c r="G2" s="3"/>
      <c r="H2" s="3"/>
      <c r="I2" s="3"/>
      <c r="J2" s="3"/>
    </row>
    <row r="3" spans="1:10" ht="45">
      <c r="A3" s="126" t="s">
        <v>30</v>
      </c>
      <c r="B3" s="126" t="s">
        <v>31</v>
      </c>
      <c r="C3" s="126" t="s">
        <v>0</v>
      </c>
      <c r="D3" s="126" t="s">
        <v>1</v>
      </c>
      <c r="E3" s="126" t="s">
        <v>8</v>
      </c>
      <c r="F3" s="126" t="s">
        <v>2</v>
      </c>
      <c r="G3" s="126" t="s">
        <v>3</v>
      </c>
      <c r="H3" s="126" t="s">
        <v>4</v>
      </c>
      <c r="I3" s="126" t="s">
        <v>50</v>
      </c>
      <c r="J3" s="20"/>
    </row>
    <row r="4" spans="1:9" ht="15">
      <c r="A4" s="40">
        <v>2002</v>
      </c>
      <c r="B4" s="40" t="s">
        <v>39</v>
      </c>
      <c r="C4" s="40">
        <v>12245</v>
      </c>
      <c r="D4" s="40">
        <v>1226</v>
      </c>
      <c r="E4" s="40">
        <v>51</v>
      </c>
      <c r="F4" s="40">
        <v>163</v>
      </c>
      <c r="G4" s="40">
        <v>1</v>
      </c>
      <c r="H4" s="40">
        <v>144</v>
      </c>
      <c r="I4" s="40">
        <v>3465</v>
      </c>
    </row>
    <row r="5" spans="1:9" ht="15">
      <c r="A5" s="40">
        <v>2002</v>
      </c>
      <c r="B5" s="40" t="s">
        <v>40</v>
      </c>
      <c r="C5" s="40">
        <v>12278</v>
      </c>
      <c r="D5" s="40">
        <v>1229</v>
      </c>
      <c r="E5" s="40">
        <v>51</v>
      </c>
      <c r="F5" s="40">
        <v>163</v>
      </c>
      <c r="G5" s="40">
        <v>1</v>
      </c>
      <c r="H5" s="40">
        <v>144</v>
      </c>
      <c r="I5" s="40">
        <v>3465</v>
      </c>
    </row>
    <row r="6" spans="1:9" ht="15">
      <c r="A6" s="118">
        <v>2002</v>
      </c>
      <c r="B6" s="118" t="s">
        <v>41</v>
      </c>
      <c r="C6" s="118">
        <v>5426</v>
      </c>
      <c r="D6" s="118">
        <v>453</v>
      </c>
      <c r="E6" s="118">
        <v>51</v>
      </c>
      <c r="F6" s="118">
        <v>57</v>
      </c>
      <c r="G6" s="118">
        <v>0</v>
      </c>
      <c r="H6" s="118">
        <v>61</v>
      </c>
      <c r="I6" s="118">
        <v>1886</v>
      </c>
    </row>
    <row r="7" spans="1:9" ht="15">
      <c r="A7" s="118">
        <v>2002</v>
      </c>
      <c r="B7" s="118" t="s">
        <v>42</v>
      </c>
      <c r="C7" s="118">
        <v>11965</v>
      </c>
      <c r="D7" s="118">
        <v>1003</v>
      </c>
      <c r="E7" s="118">
        <v>51</v>
      </c>
      <c r="F7" s="118">
        <v>134</v>
      </c>
      <c r="G7" s="118">
        <v>1</v>
      </c>
      <c r="H7" s="118">
        <v>137</v>
      </c>
      <c r="I7" s="118">
        <v>3944</v>
      </c>
    </row>
    <row r="8" spans="1:9" ht="15">
      <c r="A8" s="118">
        <v>2002</v>
      </c>
      <c r="B8" s="118" t="s">
        <v>35</v>
      </c>
      <c r="C8" s="118">
        <v>9580</v>
      </c>
      <c r="D8" s="118">
        <v>1325</v>
      </c>
      <c r="E8" s="118">
        <v>51</v>
      </c>
      <c r="F8" s="118">
        <v>188</v>
      </c>
      <c r="G8" s="118">
        <v>1</v>
      </c>
      <c r="H8" s="118">
        <v>117</v>
      </c>
      <c r="I8" s="118">
        <v>1909</v>
      </c>
    </row>
    <row r="9" spans="1:9" ht="15">
      <c r="A9" s="118">
        <v>2002</v>
      </c>
      <c r="B9" s="118" t="s">
        <v>43</v>
      </c>
      <c r="C9" s="118">
        <v>7281</v>
      </c>
      <c r="D9" s="118">
        <v>898</v>
      </c>
      <c r="E9" s="118">
        <v>51</v>
      </c>
      <c r="F9" s="118">
        <v>138</v>
      </c>
      <c r="G9" s="118">
        <v>1</v>
      </c>
      <c r="H9" s="118">
        <v>129</v>
      </c>
      <c r="I9" s="118">
        <v>3763</v>
      </c>
    </row>
    <row r="10" spans="1:9" ht="15">
      <c r="A10" s="118">
        <v>2002</v>
      </c>
      <c r="B10" s="118" t="s">
        <v>44</v>
      </c>
      <c r="C10" s="118">
        <v>15445</v>
      </c>
      <c r="D10" s="118">
        <v>1099</v>
      </c>
      <c r="E10" s="118">
        <v>51</v>
      </c>
      <c r="F10" s="118">
        <v>142</v>
      </c>
      <c r="G10" s="118">
        <v>1</v>
      </c>
      <c r="H10" s="118">
        <v>121</v>
      </c>
      <c r="I10" s="118">
        <v>3642</v>
      </c>
    </row>
    <row r="11" spans="1:9" ht="15">
      <c r="A11" s="118">
        <v>2002</v>
      </c>
      <c r="B11" s="118" t="s">
        <v>45</v>
      </c>
      <c r="C11" s="118">
        <v>11965</v>
      </c>
      <c r="D11" s="118">
        <v>438</v>
      </c>
      <c r="E11" s="118">
        <v>51</v>
      </c>
      <c r="F11" s="118">
        <v>94</v>
      </c>
      <c r="G11" s="118">
        <v>1</v>
      </c>
      <c r="H11" s="118">
        <v>0</v>
      </c>
      <c r="I11" s="118">
        <v>3763</v>
      </c>
    </row>
    <row r="12" spans="1:9" ht="15">
      <c r="A12" s="118">
        <v>2002</v>
      </c>
      <c r="B12" s="118" t="s">
        <v>46</v>
      </c>
      <c r="C12" s="118">
        <v>16246</v>
      </c>
      <c r="D12" s="118">
        <v>2042</v>
      </c>
      <c r="E12" s="118">
        <v>51</v>
      </c>
      <c r="F12" s="118">
        <v>308</v>
      </c>
      <c r="G12" s="118">
        <v>1</v>
      </c>
      <c r="H12" s="118">
        <v>268</v>
      </c>
      <c r="I12" s="118">
        <v>3763</v>
      </c>
    </row>
    <row r="13" spans="1:9" ht="15">
      <c r="A13" s="118">
        <v>2002</v>
      </c>
      <c r="B13" s="118" t="s">
        <v>47</v>
      </c>
      <c r="C13" s="118">
        <v>10249</v>
      </c>
      <c r="D13" s="118">
        <v>1199</v>
      </c>
      <c r="E13" s="118">
        <v>51</v>
      </c>
      <c r="F13" s="118">
        <v>156</v>
      </c>
      <c r="G13" s="118">
        <v>1</v>
      </c>
      <c r="H13" s="118">
        <v>121</v>
      </c>
      <c r="I13" s="118">
        <v>3642</v>
      </c>
    </row>
    <row r="14" spans="1:9" ht="15">
      <c r="A14" s="118">
        <v>2002</v>
      </c>
      <c r="B14" s="118" t="s">
        <v>48</v>
      </c>
      <c r="C14" s="118">
        <v>10226</v>
      </c>
      <c r="D14" s="118">
        <v>1157</v>
      </c>
      <c r="E14" s="118">
        <v>51</v>
      </c>
      <c r="F14" s="118">
        <v>166</v>
      </c>
      <c r="G14" s="118">
        <v>1</v>
      </c>
      <c r="H14" s="118">
        <v>134</v>
      </c>
      <c r="I14" s="118">
        <v>3763</v>
      </c>
    </row>
    <row r="15" spans="1:9" ht="15">
      <c r="A15" s="118">
        <v>2002</v>
      </c>
      <c r="B15" s="118" t="s">
        <v>49</v>
      </c>
      <c r="C15" s="118">
        <v>12717</v>
      </c>
      <c r="D15" s="118">
        <v>322</v>
      </c>
      <c r="E15" s="118">
        <v>51</v>
      </c>
      <c r="F15" s="118">
        <v>44</v>
      </c>
      <c r="G15" s="118">
        <v>0</v>
      </c>
      <c r="H15" s="118">
        <v>-4</v>
      </c>
      <c r="I15" s="118">
        <v>0</v>
      </c>
    </row>
    <row r="16" spans="1:9" ht="15">
      <c r="A16" s="118">
        <v>2002</v>
      </c>
      <c r="B16" s="118" t="s">
        <v>38</v>
      </c>
      <c r="C16" s="118">
        <v>8343</v>
      </c>
      <c r="D16" s="118">
        <v>946</v>
      </c>
      <c r="E16" s="118">
        <v>0</v>
      </c>
      <c r="F16" s="118">
        <v>145.5</v>
      </c>
      <c r="G16" s="118">
        <v>2</v>
      </c>
      <c r="H16" s="118">
        <v>104.5</v>
      </c>
      <c r="I16" s="118">
        <v>7299</v>
      </c>
    </row>
    <row r="17" spans="1:9" ht="15">
      <c r="A17" s="118">
        <v>2003</v>
      </c>
      <c r="B17" s="118" t="s">
        <v>39</v>
      </c>
      <c r="C17" s="118">
        <v>12434</v>
      </c>
      <c r="D17" s="118">
        <v>1233</v>
      </c>
      <c r="E17" s="118">
        <v>51</v>
      </c>
      <c r="F17" s="118">
        <v>168</v>
      </c>
      <c r="G17" s="118">
        <v>1</v>
      </c>
      <c r="H17" s="118">
        <v>142</v>
      </c>
      <c r="I17" s="118">
        <v>3508</v>
      </c>
    </row>
    <row r="18" spans="1:9" ht="15">
      <c r="A18" s="118">
        <v>2003</v>
      </c>
      <c r="B18" s="118" t="s">
        <v>40</v>
      </c>
      <c r="C18" s="118">
        <v>12455</v>
      </c>
      <c r="D18" s="118">
        <v>1240</v>
      </c>
      <c r="E18" s="118">
        <v>51</v>
      </c>
      <c r="F18" s="118">
        <v>168</v>
      </c>
      <c r="G18" s="118">
        <v>1</v>
      </c>
      <c r="H18" s="118">
        <v>142</v>
      </c>
      <c r="I18" s="118">
        <v>3522</v>
      </c>
    </row>
    <row r="19" spans="1:9" ht="15">
      <c r="A19" s="118">
        <v>2003</v>
      </c>
      <c r="B19" s="118" t="s">
        <v>41</v>
      </c>
      <c r="C19" s="118">
        <v>12419</v>
      </c>
      <c r="D19" s="118">
        <v>1229</v>
      </c>
      <c r="E19" s="118">
        <v>51</v>
      </c>
      <c r="F19" s="118">
        <v>164</v>
      </c>
      <c r="G19" s="118">
        <v>1</v>
      </c>
      <c r="H19" s="118">
        <v>142</v>
      </c>
      <c r="I19" s="118">
        <v>3676</v>
      </c>
    </row>
    <row r="20" spans="1:9" ht="15">
      <c r="A20" s="118">
        <v>2003</v>
      </c>
      <c r="B20" s="118" t="s">
        <v>42</v>
      </c>
      <c r="C20" s="118">
        <v>12455</v>
      </c>
      <c r="D20" s="118">
        <v>1233</v>
      </c>
      <c r="E20" s="118">
        <v>51</v>
      </c>
      <c r="F20" s="118">
        <v>171</v>
      </c>
      <c r="G20" s="118">
        <v>1</v>
      </c>
      <c r="H20" s="118">
        <v>142</v>
      </c>
      <c r="I20" s="118">
        <v>3676</v>
      </c>
    </row>
    <row r="21" spans="1:9" ht="15">
      <c r="A21" s="118">
        <v>2003</v>
      </c>
      <c r="B21" s="118" t="s">
        <v>35</v>
      </c>
      <c r="C21" s="118">
        <v>12460</v>
      </c>
      <c r="D21" s="118">
        <v>1226</v>
      </c>
      <c r="E21" s="118">
        <v>51</v>
      </c>
      <c r="F21" s="118">
        <v>170</v>
      </c>
      <c r="G21" s="118">
        <v>1</v>
      </c>
      <c r="H21" s="118">
        <v>142</v>
      </c>
      <c r="I21" s="118">
        <v>3676</v>
      </c>
    </row>
    <row r="22" spans="1:9" ht="15">
      <c r="A22" s="118">
        <v>2003</v>
      </c>
      <c r="B22" s="118" t="s">
        <v>43</v>
      </c>
      <c r="C22" s="118">
        <v>12485</v>
      </c>
      <c r="D22" s="118">
        <v>1226</v>
      </c>
      <c r="E22" s="118">
        <v>51</v>
      </c>
      <c r="F22" s="118">
        <v>170</v>
      </c>
      <c r="G22" s="118">
        <v>1</v>
      </c>
      <c r="H22" s="118">
        <v>142</v>
      </c>
      <c r="I22" s="118">
        <v>3677</v>
      </c>
    </row>
    <row r="23" spans="1:9" ht="15">
      <c r="A23" s="118">
        <v>2003</v>
      </c>
      <c r="B23" s="118" t="s">
        <v>44</v>
      </c>
      <c r="C23" s="118">
        <v>12493</v>
      </c>
      <c r="D23" s="118">
        <v>1226</v>
      </c>
      <c r="E23" s="118">
        <v>51</v>
      </c>
      <c r="F23" s="118">
        <v>170</v>
      </c>
      <c r="G23" s="118">
        <v>1</v>
      </c>
      <c r="H23" s="118">
        <v>142</v>
      </c>
      <c r="I23" s="118">
        <v>3677</v>
      </c>
    </row>
    <row r="24" spans="1:9" ht="15">
      <c r="A24" s="118">
        <v>2003</v>
      </c>
      <c r="B24" s="118" t="s">
        <v>45</v>
      </c>
      <c r="C24" s="118">
        <v>12507</v>
      </c>
      <c r="D24" s="118">
        <v>1228</v>
      </c>
      <c r="E24" s="118">
        <v>51</v>
      </c>
      <c r="F24" s="118">
        <v>172</v>
      </c>
      <c r="G24" s="118">
        <v>1</v>
      </c>
      <c r="H24" s="118">
        <v>142</v>
      </c>
      <c r="I24" s="118">
        <v>3677</v>
      </c>
    </row>
    <row r="25" spans="1:9" ht="15">
      <c r="A25" s="118">
        <v>2003</v>
      </c>
      <c r="B25" s="118" t="s">
        <v>46</v>
      </c>
      <c r="C25" s="118">
        <v>12560</v>
      </c>
      <c r="D25" s="118">
        <v>1227</v>
      </c>
      <c r="E25" s="118">
        <v>51</v>
      </c>
      <c r="F25" s="118">
        <v>172</v>
      </c>
      <c r="G25" s="118">
        <v>1</v>
      </c>
      <c r="H25" s="118">
        <v>142</v>
      </c>
      <c r="I25" s="118">
        <v>3677</v>
      </c>
    </row>
    <row r="26" spans="1:9" ht="15">
      <c r="A26" s="118">
        <v>2003</v>
      </c>
      <c r="B26" s="118" t="s">
        <v>47</v>
      </c>
      <c r="C26" s="118">
        <v>12591</v>
      </c>
      <c r="D26" s="118">
        <v>1226</v>
      </c>
      <c r="E26" s="118">
        <v>51</v>
      </c>
      <c r="F26" s="118">
        <v>173</v>
      </c>
      <c r="G26" s="118">
        <v>1</v>
      </c>
      <c r="H26" s="118">
        <v>127</v>
      </c>
      <c r="I26" s="118">
        <v>3691</v>
      </c>
    </row>
    <row r="27" spans="1:9" ht="15">
      <c r="A27" s="118">
        <v>2003</v>
      </c>
      <c r="B27" s="118" t="s">
        <v>48</v>
      </c>
      <c r="C27" s="118">
        <v>12582</v>
      </c>
      <c r="D27" s="118">
        <v>1230</v>
      </c>
      <c r="E27" s="118">
        <v>51</v>
      </c>
      <c r="F27" s="118">
        <v>173</v>
      </c>
      <c r="G27" s="118">
        <v>1</v>
      </c>
      <c r="H27" s="118">
        <v>127</v>
      </c>
      <c r="I27" s="118">
        <v>3709</v>
      </c>
    </row>
    <row r="28" spans="1:9" ht="15">
      <c r="A28" s="119">
        <v>2003</v>
      </c>
      <c r="B28" s="119" t="s">
        <v>49</v>
      </c>
      <c r="C28" s="118">
        <v>12466</v>
      </c>
      <c r="D28" s="118">
        <v>1144</v>
      </c>
      <c r="E28" s="118">
        <v>51</v>
      </c>
      <c r="F28" s="118">
        <v>172</v>
      </c>
      <c r="G28" s="118">
        <v>1</v>
      </c>
      <c r="H28" s="118">
        <v>127</v>
      </c>
      <c r="I28" s="118">
        <v>3718</v>
      </c>
    </row>
    <row r="29" spans="1:9" ht="15">
      <c r="A29" s="118">
        <v>2004</v>
      </c>
      <c r="B29" s="118" t="s">
        <v>39</v>
      </c>
      <c r="C29" s="118">
        <v>12468</v>
      </c>
      <c r="D29" s="118">
        <v>1142</v>
      </c>
      <c r="E29" s="118">
        <v>51</v>
      </c>
      <c r="F29" s="118">
        <v>172</v>
      </c>
      <c r="G29" s="118">
        <v>1</v>
      </c>
      <c r="H29" s="118">
        <v>84</v>
      </c>
      <c r="I29" s="118">
        <v>3734</v>
      </c>
    </row>
    <row r="30" spans="1:9" ht="15">
      <c r="A30" s="118">
        <v>2004</v>
      </c>
      <c r="B30" s="118" t="s">
        <v>40</v>
      </c>
      <c r="C30" s="118">
        <v>12470</v>
      </c>
      <c r="D30" s="118">
        <v>1131</v>
      </c>
      <c r="E30" s="118">
        <v>51</v>
      </c>
      <c r="F30" s="118">
        <v>172</v>
      </c>
      <c r="G30" s="118">
        <v>1</v>
      </c>
      <c r="H30" s="118">
        <v>84</v>
      </c>
      <c r="I30" s="118">
        <v>3734</v>
      </c>
    </row>
    <row r="31" spans="1:9" ht="15">
      <c r="A31" s="120">
        <v>2004</v>
      </c>
      <c r="B31" s="120" t="s">
        <v>41</v>
      </c>
      <c r="C31" s="120">
        <v>12492</v>
      </c>
      <c r="D31" s="120">
        <v>1136</v>
      </c>
      <c r="E31" s="120">
        <v>51</v>
      </c>
      <c r="F31" s="120">
        <v>173</v>
      </c>
      <c r="G31" s="120">
        <v>1</v>
      </c>
      <c r="H31" s="120">
        <v>59</v>
      </c>
      <c r="I31" s="120">
        <v>3744</v>
      </c>
    </row>
    <row r="32" spans="1:9" ht="15">
      <c r="A32" s="121"/>
      <c r="B32" s="121"/>
      <c r="C32" s="121"/>
      <c r="D32" s="121"/>
      <c r="E32" s="121"/>
      <c r="F32" s="121"/>
      <c r="G32" s="121"/>
      <c r="H32" s="121"/>
      <c r="I32" s="121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  <headerFooter>
    <oddHeader>&amp;C&amp;F&amp;A&amp;RWoodstock Hydro
EB-2011-0207
September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peitel</dc:creator>
  <cp:keywords/>
  <dc:description/>
  <cp:lastModifiedBy>peitel</cp:lastModifiedBy>
  <cp:lastPrinted>2011-11-29T20:50:28Z</cp:lastPrinted>
  <dcterms:created xsi:type="dcterms:W3CDTF">2011-09-05T15:48:41Z</dcterms:created>
  <dcterms:modified xsi:type="dcterms:W3CDTF">2011-11-29T21:00:38Z</dcterms:modified>
  <cp:category/>
  <cp:version/>
  <cp:contentType/>
  <cp:contentStatus/>
</cp:coreProperties>
</file>