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<sst xmlns="http://schemas.openxmlformats.org/spreadsheetml/2006/main" count="1064" uniqueCount="643">
  <si>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</si>
  <si>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</si>
  <si>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</si>
  <si>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</si>
  <si>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</si>
  <si>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</si>
  <si>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</si>
  <si>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</si>
  <si>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</si>
  <si>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</si>
  <si>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</si>
  <si>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</si>
  <si>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</si>
  <si>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</si>
  <si>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</si>
  <si>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</si>
  <si>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</si>
  <si>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</si>
  <si>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</si>
  <si>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</si>
  <si>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</si>
  <si>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</si>
  <si>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</si>
  <si>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</si>
  <si>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</si>
  <si>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</si>
  <si>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</si>
  <si>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</si>
  <si>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</si>
  <si>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</si>
  <si>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</si>
  <si>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</si>
  <si>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</si>
  <si>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</si>
  <si>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</si>
  <si>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</si>
  <si>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</si>
  <si>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</si>
  <si>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</si>
  <si>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</si>
  <si>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</si>
  <si>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</si>
  <si>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</si>
  <si>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</si>
  <si>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</si>
  <si>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</si>
  <si>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</si>
  <si>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</si>
  <si>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</si>
  <si>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</si>
  <si>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</si>
  <si>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</si>
  <si>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</si>
  <si>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</si>
  <si>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</si>
  <si>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</si>
  <si>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</si>
  <si>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</si>
  <si>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</si>
  <si>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</si>
  <si>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</si>
  <si>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</si>
  <si>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</si>
  <si>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</si>
  <si>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</si>
  <si>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</si>
  <si>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</si>
  <si>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</si>
  <si>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</si>
  <si>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</si>
  <si>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</si>
  <si>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</si>
  <si>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</si>
  <si>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</si>
  <si>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</si>
  <si>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</si>
  <si>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</si>
  <si>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</si>
  <si>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</si>
  <si>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</si>
  <si>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</si>
  <si>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</si>
  <si>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</si>
  <si>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</si>
  <si>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</si>
  <si>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</si>
  <si>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</si>
  <si>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</si>
  <si>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</si>
  <si>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</si>
  <si>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</si>
  <si>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</si>
  <si>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</si>
  <si>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</si>
  <si>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</si>
  <si>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</si>
  <si>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</si>
  <si>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</si>
  <si>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</si>
  <si>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</si>
  <si>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</si>
  <si>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</si>
  <si>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</si>
  <si>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</si>
  <si>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</si>
  <si>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</si>
  <si>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</si>
  <si>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</si>
  <si>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</si>
  <si>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</si>
  <si>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</si>
  <si>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</si>
  <si>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</si>
  <si>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</si>
  <si>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</si>
  <si>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</si>
  <si>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</si>
  <si>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</si>
  <si>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</si>
  <si>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</si>
  <si>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</si>
  <si>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</si>
  <si>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</si>
  <si>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</si>
  <si>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</si>
  <si>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</si>
  <si>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</si>
  <si>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</si>
  <si>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</si>
  <si>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</si>
  <si>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</si>
  <si>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</si>
  <si>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</si>
  <si>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</si>
  <si>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</si>
  <si>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</si>
  <si>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</si>
  <si>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</si>
  <si>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</si>
  <si>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</si>
  <si>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</si>
  <si>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</si>
  <si>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</si>
  <si>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</si>
  <si>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</si>
  <si>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</si>
  <si>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</si>
  <si>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</si>
  <si>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</si>
  <si>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</si>
  <si>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</si>
  <si>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</si>
  <si>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</si>
  <si>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</si>
  <si>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</si>
  <si>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</si>
  <si>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</si>
  <si>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</si>
  <si>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</si>
  <si>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</si>
  <si>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</si>
  <si>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</si>
  <si>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</si>
  <si>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</si>
  <si>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</si>
  <si>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</si>
  <si>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</si>
  <si>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</si>
  <si>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</si>
  <si>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</si>
  <si>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</si>
  <si>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</si>
  <si>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</si>
  <si>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</si>
  <si>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</si>
  <si>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</si>
  <si>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</si>
  <si>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</si>
  <si>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</si>
  <si>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</si>
  <si>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</si>
  <si>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</si>
  <si>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</si>
  <si>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</si>
  <si>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</si>
  <si>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</si>
  <si>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</si>
  <si>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</si>
  <si>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</si>
  <si>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</si>
  <si>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</si>
  <si>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</si>
  <si>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</si>
  <si>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</si>
  <si>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</si>
  <si>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</si>
  <si>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</si>
  <si>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</si>
  <si>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</si>
  <si>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</si>
  <si>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</si>
  <si>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</si>
  <si>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</si>
  <si>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</si>
  <si>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</si>
  <si>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</si>
  <si>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</si>
  <si>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</si>
  <si>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</si>
  <si>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</si>
  <si>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</si>
  <si>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</si>
  <si>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</si>
  <si>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</si>
  <si>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</si>
  <si>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</si>
  <si>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</si>
  <si>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</si>
  <si>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</si>
  <si>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</si>
  <si>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</si>
  <si>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</si>
  <si>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</si>
  <si>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</si>
  <si>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</si>
  <si>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</si>
  <si>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</si>
  <si>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</si>
  <si>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</si>
  <si>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</si>
  <si>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</si>
  <si>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</si>
  <si>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</si>
  <si>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</si>
  <si>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</si>
  <si>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</si>
  <si>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</si>
  <si>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</si>
  <si>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</si>
  <si>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</si>
  <si>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</si>
  <si>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</si>
  <si>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</si>
  <si>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</si>
  <si>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</si>
  <si>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</si>
  <si>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</si>
  <si>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</si>
  <si>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</si>
  <si>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</si>
  <si>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</si>
  <si>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</si>
  <si>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</si>
  <si>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</si>
  <si>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</si>
  <si>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</si>
  <si>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</si>
  <si>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</si>
  <si>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</si>
  <si>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</si>
  <si>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</si>
  <si>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</si>
  <si>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</si>
  <si>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</si>
  <si>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</si>
  <si>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</si>
  <si>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</si>
  <si>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</si>
  <si>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</si>
  <si>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</si>
  <si>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</si>
  <si>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</si>
  <si>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</si>
  <si>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</si>
  <si>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</si>
  <si>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</si>
  <si>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</si>
  <si>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</si>
  <si>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</si>
  <si>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</si>
  <si>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</si>
  <si>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</si>
  <si>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</si>
  <si>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</si>
  <si>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</si>
  <si>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</si>
  <si>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</si>
  <si>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</si>
  <si>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</si>
  <si>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</si>
  <si>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</si>
  <si>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</si>
  <si>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</si>
  <si>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</si>
  <si>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</si>
  <si>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</si>
  <si>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</si>
  <si>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</si>
  <si>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</si>
  <si>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</si>
  <si>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</si>
  <si>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</si>
  <si>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</si>
  <si>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</si>
  <si>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</si>
  <si>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</si>
  <si>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</si>
  <si>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</si>
  <si>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</si>
  <si>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</si>
  <si>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</si>
  <si>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</si>
  <si>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</si>
  <si>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</si>
  <si>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</si>
  <si>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</si>
  <si>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</si>
  <si>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</si>
  <si>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</si>
  <si>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</si>
  <si>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</si>
  <si>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</si>
  <si>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</si>
  <si>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</si>
  <si>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</si>
  <si>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</si>
  <si>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</si>
  <si>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</si>
  <si>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</si>
  <si>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</si>
  <si>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</si>
  <si>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</si>
  <si>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</si>
  <si>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</si>
  <si>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</si>
  <si>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</si>
  <si>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</si>
  <si>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</si>
  <si>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</si>
  <si>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</si>
  <si>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</si>
  <si>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</si>
  <si>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</si>
  <si>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</si>
  <si>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</si>
  <si>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</si>
  <si>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</si>
  <si>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</si>
  <si>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</si>
  <si>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</si>
  <si>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</si>
  <si>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</si>
  <si>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</si>
  <si>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</si>
  <si>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</si>
  <si>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</si>
  <si>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</si>
  <si>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</si>
  <si>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</si>
  <si>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</si>
  <si>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</si>
  <si>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</si>
  <si>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</si>
  <si>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</si>
  <si>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</si>
  <si>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</si>
  <si>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</si>
  <si>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</si>
  <si>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</si>
  <si>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</si>
  <si>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</si>
  <si>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</si>
  <si>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</si>
  <si>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</si>
  <si>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</si>
  <si>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</si>
  <si>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</si>
  <si>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</si>
  <si>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</si>
  <si>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</si>
  <si>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</si>
  <si>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</si>
  <si>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</si>
  <si>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</si>
  <si>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</si>
  <si>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</si>
  <si>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</si>
  <si>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</si>
  <si>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</si>
  <si>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</si>
  <si>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</si>
  <si>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</si>
  <si>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</si>
  <si>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</si>
  <si>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</si>
  <si>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</si>
  <si>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</si>
  <si>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</si>
  <si>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</si>
  <si>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</si>
  <si>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</si>
  <si>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</si>
  <si>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</si>
  <si>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</si>
  <si>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</si>
  <si>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</si>
  <si>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</si>
  <si>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</si>
  <si>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</si>
  <si>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</si>
  <si>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</si>
  <si>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</si>
  <si>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</si>
  <si>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</si>
  <si>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</si>
  <si>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</si>
  <si>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</si>
  <si>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</si>
  <si>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</si>
  <si>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</si>
  <si>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</si>
  <si>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</si>
  <si>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</si>
  <si>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</si>
  <si>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</si>
  <si>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</si>
  <si>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</si>
  <si>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</si>
  <si>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</si>
  <si>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</si>
  <si>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</si>
  <si>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</si>
  <si>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</si>
  <si>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</si>
  <si>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</si>
  <si>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</si>
  <si>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</si>
  <si>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</si>
  <si>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</si>
  <si>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</si>
  <si>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</si>
  <si>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</si>
  <si>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</si>
  <si>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</si>
  <si>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</si>
  <si>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</si>
  <si>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</si>
  <si>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</si>
  <si>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</si>
  <si>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</si>
  <si>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</si>
  <si>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</si>
  <si>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</si>
  <si>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</si>
  <si>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</si>
  <si>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</si>
  <si>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</si>
  <si>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</si>
  <si>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</si>
  <si>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</si>
  <si>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</si>
  <si>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</si>
  <si>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</si>
  <si>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</si>
  <si>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</si>
  <si>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</si>
  <si>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</si>
  <si>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</si>
  <si>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</si>
  <si>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</si>
  <si>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</si>
  <si>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</si>
  <si>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</si>
  <si>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</si>
  <si>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</si>
  <si>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</si>
  <si>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</si>
  <si>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</si>
  <si>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</si>
  <si>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</si>
  <si>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</si>
  <si>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</si>
  <si>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</si>
  <si>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</si>
  <si>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</si>
  <si>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</si>
  <si>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</si>
  <si>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</si>
  <si>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</si>
  <si>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</si>
  <si>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</si>
  <si>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</si>
  <si>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</si>
  <si>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</si>
  <si>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</si>
  <si>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</si>
  <si>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</si>
  <si>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</si>
  <si>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</si>
  <si>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</si>
  <si>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</si>
  <si>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</si>
  <si>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</si>
  <si>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</si>
  <si>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</si>
  <si>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</si>
  <si>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</si>
  <si>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</si>
  <si>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</si>
  <si>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</si>
  <si>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</si>
  <si>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</si>
  <si>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</si>
  <si>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</si>
  <si>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</si>
  <si>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</si>
  <si>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</si>
  <si>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</si>
  <si>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</si>
  <si>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</si>
  <si>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</si>
  <si>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</si>
  <si>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</si>
  <si>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</si>
  <si>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</si>
  <si>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</si>
  <si>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</si>
  <si>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</si>
  <si>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</si>
  <si>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</si>
  <si>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</si>
  <si>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</si>
  <si>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</si>
  <si>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</si>
  <si>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</si>
  <si>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</si>
  <si>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</si>
  <si>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</si>
  <si>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</si>
  <si>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</si>
  <si>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</si>
  <si>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</si>
  <si>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</si>
  <si>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</si>
  <si>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</si>
  <si>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</si>
  <si>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</si>
  <si>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</si>
  <si>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</si>
  <si>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</si>
  <si>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</si>
  <si>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</si>
  <si>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</si>
  <si>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</si>
  <si>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</si>
  <si>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</si>
  <si>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</si>
  <si>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</si>
  <si>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</si>
  <si>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</si>
  <si>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</si>
  <si>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</si>
  <si>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</si>
  <si>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</si>
  <si>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</si>
  <si>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</si>
  <si>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</si>
  <si>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</si>
  <si>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</si>
  <si>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</si>
  <si>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</si>
  <si>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</si>
  <si>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</si>
  <si>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</si>
  <si>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</si>
  <si>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</si>
  <si>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</si>
  <si>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</si>
  <si>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</si>
  <si>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</si>
  <si>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</si>
  <si>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</si>
  <si>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</si>
  <si>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</si>
  <si>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</si>
  <si>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</si>
  <si>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</si>
  <si>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</si>
  <si>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</si>
  <si>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</si>
  <si>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</si>
  <si>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</si>
  <si>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</si>
  <si>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</si>
  <si>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</si>
  <si>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</si>
  <si>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</si>
  <si>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</si>
  <si>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</si>
  <si>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</si>
  <si>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</si>
  <si>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</si>
  <si>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</si>
  <si>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</si>
  <si>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</si>
  <si>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</si>
  <si>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</si>
  <si>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</si>
  <si>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</si>
  <si>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</si>
  <si>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</si>
  <si>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</si>
  <si>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</si>
  <si>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</si>
  <si>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</si>
  <si>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</si>
  <si>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</si>
  <si>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</si>
  <si>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</si>
  <si>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</si>
  <si>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</si>
  <si>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</si>
  <si>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</si>
  <si>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</si>
  <si>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</si>
  <si>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</si>
  <si>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</si>
  <si>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</si>
  <si>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</si>
  <si>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</si>
  <si>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</si>
  <si>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</si>
  <si>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</si>
  <si>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</si>
  <si>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Tim Fryer</t>
  </si>
  <si>
    <t>1-705-445-1800 (2225)</t>
  </si>
  <si>
    <t>tfryer@collus.com</t>
  </si>
  <si>
    <t>Utility Name:  COLLUS Power Corp</t>
  </si>
  <si>
    <t>Jan. 01,2005</t>
  </si>
  <si>
    <t>Dec. 31, 2005</t>
  </si>
  <si>
    <t>Answer:  Method 3</t>
  </si>
  <si>
    <t>Amortization in other expenses</t>
  </si>
  <si>
    <t>X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</si>
</sst>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5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0" fontId="3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vertical="top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fryer@collus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6" t="s">
        <v>637</v>
      </c>
      <c r="C3" s="8"/>
      <c r="D3" s="512" t="s">
        <v>578</v>
      </c>
      <c r="E3" s="8"/>
      <c r="F3" s="8"/>
      <c r="G3" s="8"/>
      <c r="H3" s="8"/>
    </row>
    <row r="4" spans="1:8" ht="12.75">
      <c r="A4" s="526" t="s">
        <v>493</v>
      </c>
      <c r="C4" s="8"/>
      <c r="D4" s="513" t="s">
        <v>579</v>
      </c>
      <c r="E4" s="514"/>
      <c r="H4" s="8"/>
    </row>
    <row r="5" spans="1:8" ht="12.75">
      <c r="A5" s="58"/>
      <c r="C5" s="8"/>
      <c r="D5" s="515" t="s">
        <v>580</v>
      </c>
      <c r="E5" s="448"/>
      <c r="H5" s="8"/>
    </row>
    <row r="6" spans="1:8" ht="12.75">
      <c r="A6" s="2" t="s">
        <v>205</v>
      </c>
      <c r="B6" s="438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1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0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0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90" t="s">
        <v>514</v>
      </c>
    </row>
    <row r="18" spans="1:4" ht="15" customHeight="1">
      <c r="A18" s="439" t="s">
        <v>425</v>
      </c>
      <c r="C18" s="8"/>
      <c r="D18" s="8"/>
    </row>
    <row r="19" spans="1:4" ht="15" customHeight="1">
      <c r="A19" s="532" t="s">
        <v>426</v>
      </c>
      <c r="B19" s="8" t="s">
        <v>423</v>
      </c>
      <c r="C19" s="8" t="s">
        <v>142</v>
      </c>
      <c r="D19" s="438" t="s">
        <v>514</v>
      </c>
    </row>
    <row r="20" spans="1:4" ht="13.5" thickBot="1">
      <c r="A20" s="533"/>
      <c r="B20" s="8" t="s">
        <v>424</v>
      </c>
      <c r="C20" s="8" t="s">
        <v>142</v>
      </c>
      <c r="D20" s="290" t="s">
        <v>514</v>
      </c>
    </row>
    <row r="21" spans="1:4" ht="12.75">
      <c r="A21" s="532" t="s">
        <v>588</v>
      </c>
      <c r="B21" s="8" t="s">
        <v>423</v>
      </c>
      <c r="C21" s="8"/>
      <c r="D21" s="476">
        <v>1</v>
      </c>
    </row>
    <row r="22" spans="1:4" ht="12.75">
      <c r="A22" s="532"/>
      <c r="B22" s="8" t="s">
        <v>424</v>
      </c>
      <c r="C22" s="8"/>
      <c r="D22" s="476">
        <v>1</v>
      </c>
    </row>
    <row r="23" spans="1:4" ht="7.5" customHeight="1">
      <c r="A23" s="51"/>
      <c r="C23" s="8"/>
      <c r="D23" s="438"/>
    </row>
    <row r="24" spans="1:4" ht="12.75">
      <c r="A24" s="51" t="s">
        <v>321</v>
      </c>
      <c r="C24" s="8" t="s">
        <v>322</v>
      </c>
      <c r="D24" s="477" t="s">
        <v>494</v>
      </c>
    </row>
    <row r="25" ht="6.75" customHeight="1" thickBot="1">
      <c r="A25" s="12"/>
    </row>
    <row r="26" spans="1:5" ht="12.75">
      <c r="A26" s="287" t="s">
        <v>145</v>
      </c>
      <c r="C26" s="8"/>
      <c r="E26" s="494" t="s">
        <v>406</v>
      </c>
    </row>
    <row r="27" spans="1:5" ht="12.75">
      <c r="A27" s="288" t="s">
        <v>146</v>
      </c>
      <c r="C27" s="8"/>
      <c r="E27" s="495" t="s">
        <v>407</v>
      </c>
    </row>
    <row r="28" spans="1:3" ht="12.75">
      <c r="A28" s="288" t="s">
        <v>147</v>
      </c>
      <c r="C28" s="44"/>
    </row>
    <row r="29" ht="12.75">
      <c r="A29" s="289" t="s">
        <v>148</v>
      </c>
    </row>
    <row r="30" ht="12.75">
      <c r="A30" s="41"/>
    </row>
    <row r="31" spans="1:8" ht="12.75">
      <c r="A31" t="s">
        <v>401</v>
      </c>
      <c r="D31" s="474">
        <v>13535678</v>
      </c>
      <c r="H31" s="5"/>
    </row>
    <row r="32" ht="6" customHeight="1"/>
    <row r="33" spans="1:8" ht="12.75">
      <c r="A33" t="s">
        <v>149</v>
      </c>
      <c r="D33" s="475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5">
        <v>0.0988</v>
      </c>
      <c r="H37" s="47"/>
    </row>
    <row r="38" ht="4.5" customHeight="1">
      <c r="H38" s="40"/>
    </row>
    <row r="39" spans="1:8" ht="12.75">
      <c r="A39" t="s">
        <v>152</v>
      </c>
      <c r="D39" s="475">
        <v>0.0725</v>
      </c>
      <c r="H39" s="47"/>
    </row>
    <row r="40" ht="6" customHeight="1">
      <c r="H40" s="40"/>
    </row>
    <row r="41" spans="1:8" ht="12.75">
      <c r="A41" t="s">
        <v>153</v>
      </c>
      <c r="D41" s="283">
        <f>D31*((D33*D37)+(D35*D39))</f>
        <v>1159330.8207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78">
        <v>30182</v>
      </c>
      <c r="E43" s="437">
        <f>D43</f>
        <v>30182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3">
        <f>D41-D43</f>
        <v>1129148.8207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79">
        <v>376383</v>
      </c>
      <c r="E47" s="437">
        <f aca="true" t="shared" si="0" ref="E47:E53">D47</f>
        <v>376383</v>
      </c>
      <c r="H47" s="46"/>
      <c r="J47" s="5"/>
      <c r="K47" s="5"/>
    </row>
    <row r="48" spans="1:11" ht="12.75">
      <c r="A48" t="s">
        <v>508</v>
      </c>
      <c r="D48" s="479">
        <v>376383</v>
      </c>
      <c r="E48" s="437">
        <f t="shared" si="0"/>
        <v>376383</v>
      </c>
      <c r="F48" s="28"/>
      <c r="H48" s="46"/>
      <c r="J48" s="5"/>
      <c r="K48" s="5"/>
    </row>
    <row r="49" spans="1:11" ht="12.75">
      <c r="A49" t="s">
        <v>506</v>
      </c>
      <c r="D49" s="479">
        <v>0</v>
      </c>
      <c r="E49" s="437"/>
      <c r="F49" s="28"/>
      <c r="H49" s="46"/>
      <c r="J49" s="5"/>
      <c r="K49" s="5"/>
    </row>
    <row r="50" spans="1:11" ht="12.75">
      <c r="A50" t="s">
        <v>403</v>
      </c>
      <c r="D50" s="480">
        <v>376000</v>
      </c>
      <c r="E50" s="437">
        <f t="shared" si="0"/>
        <v>376000</v>
      </c>
      <c r="F50" s="28"/>
      <c r="H50" s="46"/>
      <c r="J50" s="5"/>
      <c r="K50" s="5"/>
    </row>
    <row r="51" spans="1:11" ht="12.75">
      <c r="A51" t="s">
        <v>515</v>
      </c>
      <c r="D51" s="480">
        <v>0</v>
      </c>
      <c r="E51" s="437"/>
      <c r="F51" s="28"/>
      <c r="H51" s="46"/>
      <c r="J51" s="5"/>
      <c r="K51" s="5"/>
    </row>
    <row r="52" spans="1:11" ht="12.75">
      <c r="A52" t="s">
        <v>509</v>
      </c>
      <c r="D52" s="478">
        <v>102834</v>
      </c>
      <c r="E52" s="437">
        <f t="shared" si="0"/>
        <v>102834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404</v>
      </c>
      <c r="E54" s="286">
        <f>SUM(E43:E53)</f>
        <v>1261782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4">
        <f>D31*D33</f>
        <v>6767839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4">
        <f>D56*D37</f>
        <v>668662.4932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4">
        <f>D31*D35</f>
        <v>6767839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4">
        <f>D60*D39</f>
        <v>490668.32749999996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5">
        <f>IF(D41&gt;0,(((D43+D47)/D41)*D62),0)</f>
        <v>172072.1687098657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5">
        <f>IF(D41&gt;0,(((D43+D47+D48)/D41)*D62),0)</f>
        <v>331370.2860478692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5">
        <f>D62</f>
        <v>490668.32749999996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zoomScalePageLayoutView="0" workbookViewId="0" topLeftCell="A1">
      <selection activeCell="C46" sqref="C4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27" t="str">
        <f>REGINFO!A3</f>
        <v>Utility Name:  COLLUS Power Corp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7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81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81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2">
        <f>REGINFO!E54</f>
        <v>1261782</v>
      </c>
      <c r="D15" s="18"/>
      <c r="E15" s="18"/>
      <c r="F15" s="18"/>
      <c r="G15" s="22"/>
      <c r="H15" s="22"/>
      <c r="I15" s="300">
        <f>K15-C15</f>
        <v>-762116</v>
      </c>
      <c r="J15" s="3"/>
      <c r="K15" s="300">
        <f>TAXREC!E50</f>
        <v>499666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v>770854</v>
      </c>
      <c r="D20" s="20"/>
      <c r="E20" s="20"/>
      <c r="F20" s="20"/>
      <c r="G20" s="23"/>
      <c r="H20" s="23"/>
      <c r="I20" s="300">
        <f aca="true" t="shared" si="0" ref="I20:I25">K20-C20</f>
        <v>17999</v>
      </c>
      <c r="J20" s="6"/>
      <c r="K20" s="300">
        <f>TAXREC!E61</f>
        <v>788853</v>
      </c>
      <c r="L20" s="171"/>
    </row>
    <row r="21" spans="1:12" ht="12.75">
      <c r="A21" s="178" t="s">
        <v>134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13250</v>
      </c>
      <c r="J21" s="6"/>
      <c r="K21" s="300">
        <f>TAXREC!E62</f>
        <v>13250</v>
      </c>
      <c r="L21" s="171"/>
    </row>
    <row r="22" spans="1:12" ht="12.75">
      <c r="A22" s="178" t="s">
        <v>378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TAXREC!E63</f>
        <v>0</v>
      </c>
      <c r="L22" s="171"/>
    </row>
    <row r="23" spans="1:12" ht="12.75">
      <c r="A23" s="178" t="s">
        <v>377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0</v>
      </c>
      <c r="J23" s="6"/>
      <c r="K23" s="300">
        <f>TAXREC!E64</f>
        <v>0</v>
      </c>
      <c r="L23" s="171"/>
    </row>
    <row r="24" spans="1:12" ht="12.75">
      <c r="A24" s="178" t="s">
        <v>379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0</v>
      </c>
      <c r="J24" s="6"/>
      <c r="K24" s="300">
        <f>TAXREC!E65</f>
        <v>0</v>
      </c>
      <c r="L24" s="171"/>
    </row>
    <row r="25" spans="1:12" ht="12.75">
      <c r="A25" s="178" t="s">
        <v>528</v>
      </c>
      <c r="B25" s="145"/>
      <c r="C25" s="499"/>
      <c r="D25" s="20"/>
      <c r="E25" s="20"/>
      <c r="F25" s="20"/>
      <c r="G25" s="23"/>
      <c r="H25" s="23"/>
      <c r="I25" s="300">
        <f t="shared" si="0"/>
        <v>0</v>
      </c>
      <c r="J25" s="6"/>
      <c r="K25" s="300">
        <f>TAXREC!E66</f>
        <v>0</v>
      </c>
      <c r="L25" s="171"/>
    </row>
    <row r="26" spans="1:12" ht="12.75">
      <c r="A26" s="178" t="s">
        <v>131</v>
      </c>
      <c r="B26" s="145"/>
      <c r="C26" s="342" t="s">
        <v>180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0</v>
      </c>
      <c r="J27" s="6"/>
      <c r="K27" s="300">
        <f>TAXREC!E92</f>
        <v>0</v>
      </c>
      <c r="L27" s="171"/>
    </row>
    <row r="28" spans="1:12" ht="12.75">
      <c r="A28" s="178" t="s">
        <v>240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0</v>
      </c>
      <c r="J28" s="6"/>
      <c r="K28" s="300">
        <f>TAXREC!E93</f>
        <v>0</v>
      </c>
      <c r="L28" s="171"/>
    </row>
    <row r="29" spans="1:12" ht="12.75">
      <c r="A29" s="178" t="s">
        <v>239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37333</v>
      </c>
      <c r="J29" s="6"/>
      <c r="K29" s="300">
        <f>TAXREC!E67</f>
        <v>37333</v>
      </c>
      <c r="L29" s="171"/>
    </row>
    <row r="30" spans="1:12" ht="12.75">
      <c r="A30" s="178" t="s">
        <v>238</v>
      </c>
      <c r="B30" s="145">
        <v>6</v>
      </c>
      <c r="C30" s="294"/>
      <c r="D30" s="20"/>
      <c r="E30" s="20"/>
      <c r="F30" s="20"/>
      <c r="G30" s="23"/>
      <c r="H30" s="23"/>
      <c r="I30" s="300">
        <f>K30-C30</f>
        <v>-8803</v>
      </c>
      <c r="J30" s="6"/>
      <c r="K30" s="300">
        <f>TAXREC!E68</f>
        <v>-8803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4">
        <v>657583</v>
      </c>
      <c r="D33" s="20"/>
      <c r="E33" s="20"/>
      <c r="F33" s="20"/>
      <c r="G33" s="150"/>
      <c r="H33" s="150"/>
      <c r="I33" s="300">
        <f aca="true" t="shared" si="1" ref="I33:I43">K33-C33</f>
        <v>41176</v>
      </c>
      <c r="J33" s="6"/>
      <c r="K33" s="300">
        <f>TAXREC!E97+TAXREC!E98</f>
        <v>698759</v>
      </c>
      <c r="L33" s="171"/>
    </row>
    <row r="34" spans="1:12" ht="12.75">
      <c r="A34" s="178" t="s">
        <v>135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0</v>
      </c>
      <c r="J34" s="6"/>
      <c r="K34" s="300">
        <f>TAXREC!E99</f>
        <v>0</v>
      </c>
      <c r="L34" s="171"/>
    </row>
    <row r="35" spans="1:12" ht="12.75">
      <c r="A35" s="178" t="s">
        <v>62</v>
      </c>
      <c r="B35" s="145">
        <v>9</v>
      </c>
      <c r="C35" s="294"/>
      <c r="D35" s="20"/>
      <c r="E35" s="20"/>
      <c r="F35" s="20"/>
      <c r="G35" s="150"/>
      <c r="H35" s="150"/>
      <c r="I35" s="300">
        <f t="shared" si="1"/>
        <v>0</v>
      </c>
      <c r="J35" s="6"/>
      <c r="K35" s="300">
        <f>TAXREC!E100</f>
        <v>0</v>
      </c>
      <c r="L35" s="171"/>
    </row>
    <row r="36" spans="1:12" ht="12.75">
      <c r="A36" s="178" t="s">
        <v>380</v>
      </c>
      <c r="B36" s="145">
        <v>10</v>
      </c>
      <c r="C36" s="294"/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TAXREC!E102+TAXREC!E103</f>
        <v>0</v>
      </c>
      <c r="L36" s="171"/>
    </row>
    <row r="37" spans="1:12" ht="12.75">
      <c r="A37" s="178" t="s">
        <v>528</v>
      </c>
      <c r="B37" s="145"/>
      <c r="C37" s="294"/>
      <c r="D37" s="20"/>
      <c r="E37" s="20"/>
      <c r="F37" s="20"/>
      <c r="G37" s="150"/>
      <c r="H37" s="150"/>
      <c r="I37" s="300">
        <f t="shared" si="1"/>
        <v>0</v>
      </c>
      <c r="J37" s="6"/>
      <c r="K37" s="300">
        <f>TAXREC!E104</f>
        <v>0</v>
      </c>
      <c r="L37" s="171"/>
    </row>
    <row r="38" spans="1:12" ht="12.75">
      <c r="A38" s="175" t="s">
        <v>164</v>
      </c>
      <c r="B38" s="143">
        <v>11</v>
      </c>
      <c r="C38" s="293">
        <f>REGINFO!D62</f>
        <v>490668.32749999996</v>
      </c>
      <c r="D38" s="20"/>
      <c r="E38" s="20"/>
      <c r="F38" s="20"/>
      <c r="G38" s="150"/>
      <c r="H38" s="150"/>
      <c r="I38" s="300">
        <f t="shared" si="1"/>
        <v>-490668.32749999996</v>
      </c>
      <c r="J38" s="6"/>
      <c r="K38" s="300">
        <f>TAXREC!E51</f>
        <v>0</v>
      </c>
      <c r="L38" s="171"/>
    </row>
    <row r="39" spans="1:12" ht="12.75">
      <c r="A39" s="175" t="s">
        <v>376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190913</v>
      </c>
      <c r="J39" s="6"/>
      <c r="K39" s="300">
        <f>TAXREC!E105</f>
        <v>190913</v>
      </c>
      <c r="L39" s="171"/>
    </row>
    <row r="40" spans="1:12" ht="12.75">
      <c r="A40" s="175" t="s">
        <v>375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0</v>
      </c>
      <c r="J40" s="6"/>
      <c r="K40" s="300">
        <f>TAXREC!E106</f>
        <v>0</v>
      </c>
      <c r="L40" s="171"/>
    </row>
    <row r="41" spans="1:12" ht="12.75">
      <c r="A41" s="175" t="s">
        <v>28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TAXREC!E107</f>
        <v>0</v>
      </c>
      <c r="L41" s="171"/>
    </row>
    <row r="42" spans="1:12" ht="12.75">
      <c r="A42" s="175" t="s">
        <v>29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TAXREC!E108</f>
        <v>0</v>
      </c>
      <c r="L42" s="171"/>
    </row>
    <row r="43" spans="1:12" ht="12.75">
      <c r="A43" s="175" t="s">
        <v>265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TAXREC!E109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10" t="s">
        <v>548</v>
      </c>
      <c r="B45" s="145">
        <v>12</v>
      </c>
      <c r="C45" s="294">
        <v>125334</v>
      </c>
      <c r="D45" s="20"/>
      <c r="E45" s="20"/>
      <c r="F45" s="20"/>
      <c r="G45" s="150"/>
      <c r="H45" s="150"/>
      <c r="I45" s="300">
        <f>K45-C45</f>
        <v>-125334</v>
      </c>
      <c r="J45" s="6"/>
      <c r="K45" s="283">
        <f>TAXREC!E129</f>
        <v>0</v>
      </c>
      <c r="L45" s="171"/>
    </row>
    <row r="46" spans="1:12" ht="12.75">
      <c r="A46" s="178" t="s">
        <v>237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0</v>
      </c>
      <c r="J46" s="6"/>
      <c r="K46" s="283">
        <f>TAXREC!E130</f>
        <v>0</v>
      </c>
      <c r="L46" s="171"/>
    </row>
    <row r="47" spans="1:12" ht="12.75">
      <c r="A47" s="178" t="s">
        <v>234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0</v>
      </c>
      <c r="J47" s="6"/>
      <c r="K47" s="283">
        <f>TAXREC!E131</f>
        <v>0</v>
      </c>
      <c r="L47" s="171"/>
    </row>
    <row r="48" spans="1:12" ht="12.75">
      <c r="A48" s="178" t="s">
        <v>236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0</v>
      </c>
      <c r="J48" s="6"/>
      <c r="K48" s="283">
        <f>TAXREC!E110</f>
        <v>0</v>
      </c>
      <c r="L48" s="171"/>
    </row>
    <row r="49" spans="1:12" ht="12.75">
      <c r="A49" s="178" t="s">
        <v>235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2015</v>
      </c>
      <c r="J49" s="6"/>
      <c r="K49" s="283">
        <f>TAXREC!E111</f>
        <v>2015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6">
        <f>C15+SUM(C20:C30)-SUM(C33:C49)</f>
        <v>759050.6725000001</v>
      </c>
      <c r="D51" s="24"/>
      <c r="E51" s="24"/>
      <c r="F51" s="24"/>
      <c r="G51" s="117"/>
      <c r="H51" s="117"/>
      <c r="I51" s="296">
        <f>I15+SUM(I20:I30)-SUM(I33:I49)</f>
        <v>-320438.67250000004</v>
      </c>
      <c r="J51" s="483" t="s">
        <v>484</v>
      </c>
      <c r="K51" s="296">
        <f>K15+SUM(K20:K30)-SUM(K33:K49)</f>
        <v>438612</v>
      </c>
      <c r="L51" s="502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5">
        <f>IF($C$51=0,'Tax Rates'!F34,IF($C$51&gt;'Tax Rates'!$E$11,'Tax Rates'!$F$16,IF($C$51&gt;'Tax Rates'!$C$11,'Tax Rates'!$E$16,'Tax Rates'!$C$16)))</f>
        <v>0.275</v>
      </c>
      <c r="D54" s="116"/>
      <c r="E54" s="116"/>
      <c r="F54" s="116"/>
      <c r="G54" s="117"/>
      <c r="H54" s="117"/>
      <c r="I54" s="301">
        <f>+K54-C54</f>
        <v>0.04369999999999996</v>
      </c>
      <c r="J54" s="483" t="s">
        <v>622</v>
      </c>
      <c r="K54" s="295">
        <f>IF(TAXREC!E151&gt;0,TAXREC!E151,'Tax Rates'!F34)</f>
        <v>0.3187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7">
        <f>IF(C51&gt;0,C51*C54,0)</f>
        <v>208738.93493750005</v>
      </c>
      <c r="D56" s="24"/>
      <c r="E56" s="24"/>
      <c r="F56" s="24"/>
      <c r="G56" s="117"/>
      <c r="H56" s="117"/>
      <c r="I56" s="300">
        <f>K56-C56</f>
        <v>-95459.93493750005</v>
      </c>
      <c r="J56" s="483" t="s">
        <v>485</v>
      </c>
      <c r="K56" s="297">
        <f>TAXREC!E144</f>
        <v>113279</v>
      </c>
      <c r="L56" s="503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8"/>
      <c r="D59" s="20"/>
      <c r="E59" s="20"/>
      <c r="F59" s="20"/>
      <c r="G59" s="150"/>
      <c r="H59" s="150"/>
      <c r="I59" s="300">
        <f>+K59-C59</f>
        <v>0</v>
      </c>
      <c r="J59" s="483" t="s">
        <v>485</v>
      </c>
      <c r="K59" s="303">
        <f>TAXREC!E145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9">
        <f>+C56-C59</f>
        <v>208738.93493750005</v>
      </c>
      <c r="D61" s="151"/>
      <c r="E61" s="151"/>
      <c r="F61" s="151"/>
      <c r="G61" s="152"/>
      <c r="H61" s="152"/>
      <c r="I61" s="302">
        <f>+I56-I59</f>
        <v>-95459.93493750005</v>
      </c>
      <c r="J61" s="483" t="s">
        <v>485</v>
      </c>
      <c r="K61" s="302">
        <f>+K56-K59</f>
        <v>113279</v>
      </c>
      <c r="L61" s="502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7">
        <f>Ratebase</f>
        <v>13535678</v>
      </c>
      <c r="D67" s="116"/>
      <c r="E67" s="116"/>
      <c r="F67" s="116"/>
      <c r="G67" s="117"/>
      <c r="H67" s="117"/>
      <c r="I67" s="300">
        <f>K67-C67</f>
        <v>-2762834</v>
      </c>
      <c r="J67" s="6"/>
      <c r="K67" s="300">
        <f>TAXREC!E219</f>
        <v>10772844</v>
      </c>
      <c r="L67" s="171"/>
    </row>
    <row r="68" spans="1:12" ht="12.75">
      <c r="A68" s="172" t="s">
        <v>477</v>
      </c>
      <c r="B68" s="143">
        <v>16</v>
      </c>
      <c r="C68" s="293">
        <f>IF(C67&gt;0,'Tax Rates'!C21,0)</f>
        <v>7500000</v>
      </c>
      <c r="D68" s="116"/>
      <c r="E68" s="116"/>
      <c r="F68" s="116"/>
      <c r="G68" s="117"/>
      <c r="H68" s="117"/>
      <c r="I68" s="300">
        <f>K68-C68</f>
        <v>0</v>
      </c>
      <c r="J68" s="6"/>
      <c r="K68" s="300">
        <f>TAXREC!E222</f>
        <v>7500000</v>
      </c>
      <c r="L68" s="171"/>
    </row>
    <row r="69" spans="1:12" ht="12.75">
      <c r="A69" s="172" t="s">
        <v>59</v>
      </c>
      <c r="B69" s="143"/>
      <c r="C69" s="297">
        <f>IF((C67-C68)&gt;0,C67-C68,0)</f>
        <v>6035678</v>
      </c>
      <c r="D69" s="116"/>
      <c r="E69" s="116"/>
      <c r="F69" s="116"/>
      <c r="G69" s="117"/>
      <c r="H69" s="117"/>
      <c r="I69" s="300">
        <f>SUM(I67:I68)</f>
        <v>-2762834</v>
      </c>
      <c r="J69" s="130"/>
      <c r="K69" s="297">
        <f>IF((K67-K68)&gt;0,K67-K68,0)</f>
        <v>3272844</v>
      </c>
      <c r="L69" s="502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TAXREC!E226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7">
        <f>IF(C69&gt;0,C69*C71,0)*REGINFO!$B$6/REGINFO!$B$7</f>
        <v>18107.034</v>
      </c>
      <c r="D73" s="114"/>
      <c r="E73" s="114"/>
      <c r="F73" s="114"/>
      <c r="G73" s="115"/>
      <c r="H73" s="115"/>
      <c r="I73" s="300">
        <f>+K73-C73</f>
        <v>-8024.034</v>
      </c>
      <c r="J73" s="130"/>
      <c r="K73" s="297">
        <f>TAXREC!E233</f>
        <v>10083</v>
      </c>
      <c r="L73" s="503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7">
        <f>Ratebase</f>
        <v>13535678</v>
      </c>
      <c r="D76" s="116"/>
      <c r="E76" s="116"/>
      <c r="F76" s="116"/>
      <c r="G76" s="117"/>
      <c r="H76" s="117"/>
      <c r="I76" s="300">
        <f>+K76-C76</f>
        <v>-2762834</v>
      </c>
      <c r="J76" s="6"/>
      <c r="K76" s="300">
        <f>TAXREC!E284</f>
        <v>10772844</v>
      </c>
      <c r="L76" s="171"/>
    </row>
    <row r="77" spans="1:12" ht="12.75">
      <c r="A77" s="172" t="s">
        <v>477</v>
      </c>
      <c r="B77" s="143">
        <v>19</v>
      </c>
      <c r="C77" s="293">
        <f>IF(C76&gt;0,'Tax Rates'!C22,0)</f>
        <v>50000000</v>
      </c>
      <c r="D77" s="20"/>
      <c r="E77" s="20"/>
      <c r="F77" s="20"/>
      <c r="G77" s="23"/>
      <c r="H77" s="23"/>
      <c r="I77" s="300">
        <f>+K77-C77</f>
        <v>0</v>
      </c>
      <c r="J77" s="6"/>
      <c r="K77" s="300">
        <f>TAXREC!E286</f>
        <v>50000000</v>
      </c>
      <c r="L77" s="171"/>
    </row>
    <row r="78" spans="1:12" ht="12.75">
      <c r="A78" s="172" t="s">
        <v>59</v>
      </c>
      <c r="B78" s="143"/>
      <c r="C78" s="297">
        <f>IF((C76-C77)&gt;0,C76-C77,0)</f>
        <v>0</v>
      </c>
      <c r="D78" s="24"/>
      <c r="E78" s="24"/>
      <c r="F78" s="24"/>
      <c r="G78" s="25"/>
      <c r="H78" s="25"/>
      <c r="I78" s="300">
        <f>SUM(I76:I77)</f>
        <v>-2762834</v>
      </c>
      <c r="J78" s="130"/>
      <c r="K78" s="297">
        <f>IF((K76-K77)&gt;0,K76-K77,0)</f>
        <v>0</v>
      </c>
      <c r="L78" s="502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TAXREC!E290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7">
        <f>IF(C78&gt;0,C78*C80,0)*REGINFO!$B$6/REGINFO!$B$7</f>
        <v>0</v>
      </c>
      <c r="D82" s="116"/>
      <c r="E82" s="116"/>
      <c r="F82" s="116"/>
      <c r="G82" s="117"/>
      <c r="H82" s="117"/>
      <c r="I82" s="300">
        <f>+K82-C82</f>
        <v>0</v>
      </c>
      <c r="J82" s="6"/>
      <c r="K82" s="297">
        <f>TAXREC!E295</f>
        <v>0</v>
      </c>
      <c r="L82" s="171"/>
    </row>
    <row r="83" spans="1:12" ht="12.75">
      <c r="A83" s="172" t="s">
        <v>429</v>
      </c>
      <c r="B83" s="143">
        <v>21</v>
      </c>
      <c r="C83" s="347">
        <f>IF(C78&gt;0,IF(C61&gt;0,C51*'Tax Rates'!C20,0),0)</f>
        <v>0</v>
      </c>
      <c r="D83" s="116"/>
      <c r="E83" s="116"/>
      <c r="F83" s="116"/>
      <c r="G83" s="117"/>
      <c r="H83" s="117"/>
      <c r="I83" s="300">
        <f>+K83-C83</f>
        <v>0</v>
      </c>
      <c r="J83" s="6"/>
      <c r="K83" s="297">
        <f>TAXREC!E299</f>
        <v>0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7">
        <f>IF(C82&gt;C83,C82-C83,0)</f>
        <v>0</v>
      </c>
      <c r="D85" s="21"/>
      <c r="E85" s="114"/>
      <c r="F85" s="21"/>
      <c r="G85" s="16"/>
      <c r="H85" s="16"/>
      <c r="I85" s="300">
        <f>+K85-C85</f>
        <v>0</v>
      </c>
      <c r="J85" s="118"/>
      <c r="K85" s="297">
        <f>IF(K82&gt;K83,K82-K83,0)</f>
        <v>0</v>
      </c>
      <c r="L85" s="503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585</v>
      </c>
      <c r="B89" s="143"/>
      <c r="C89" s="295">
        <f>IF($C$51=0,'Tax Rates'!F16,IF($C$51&gt;'Tax Rates'!$E$11,'Tax Rates'!$F$16,IF(AND($C$51&gt;='Tax Rates'!$C$11,$C$51&lt;='Tax Rates'!E11),'Tax Rates'!$E$16,'Tax Rates'!$C$16)))</f>
        <v>0.275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7">
        <f>C61/(1-C89)</f>
        <v>287915.77232758625</v>
      </c>
      <c r="D91" s="113"/>
      <c r="E91" s="113"/>
      <c r="F91" s="113"/>
      <c r="G91" s="26"/>
      <c r="H91" s="26"/>
      <c r="I91" s="159"/>
      <c r="J91" s="482" t="s">
        <v>496</v>
      </c>
      <c r="K91" s="303">
        <f>TAXREC!E307</f>
        <v>113279</v>
      </c>
      <c r="L91" s="171"/>
    </row>
    <row r="92" spans="1:12" ht="12.75">
      <c r="A92" s="178" t="s">
        <v>487</v>
      </c>
      <c r="B92" s="145">
        <v>23</v>
      </c>
      <c r="C92" s="297">
        <f>C85/(1-C89)</f>
        <v>0</v>
      </c>
      <c r="D92" s="113"/>
      <c r="E92" s="113"/>
      <c r="F92" s="113"/>
      <c r="G92" s="26"/>
      <c r="H92" s="26"/>
      <c r="I92" s="159"/>
      <c r="J92" s="482" t="s">
        <v>496</v>
      </c>
      <c r="K92" s="303">
        <f>TAXREC!E309</f>
        <v>0</v>
      </c>
      <c r="L92" s="171"/>
    </row>
    <row r="93" spans="1:12" ht="12.75">
      <c r="A93" s="178" t="s">
        <v>455</v>
      </c>
      <c r="B93" s="145">
        <v>24</v>
      </c>
      <c r="C93" s="297">
        <f>C73</f>
        <v>18107.034</v>
      </c>
      <c r="D93" s="113"/>
      <c r="E93" s="113"/>
      <c r="F93" s="113"/>
      <c r="G93" s="26"/>
      <c r="H93" s="26"/>
      <c r="I93" s="159"/>
      <c r="J93" s="482" t="s">
        <v>496</v>
      </c>
      <c r="K93" s="303">
        <f>TAXREC!E308</f>
        <v>10083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2">
        <f>SUM(C91:C94)</f>
        <v>306022.80632758624</v>
      </c>
      <c r="D96" s="99"/>
      <c r="E96" s="99"/>
      <c r="F96" s="99"/>
      <c r="G96" s="6"/>
      <c r="H96" s="6"/>
      <c r="I96" s="159"/>
      <c r="J96" s="482" t="s">
        <v>496</v>
      </c>
      <c r="K96" s="464">
        <f>SUM(K91:K95)</f>
        <v>123362</v>
      </c>
      <c r="L96" s="181"/>
    </row>
    <row r="97" spans="1:12" ht="12.75">
      <c r="A97" s="453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13250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0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0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37333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0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616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0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190913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0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0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7">
        <f>SUM(I103:I108)-SUM(I110:I119)</f>
        <v>-140330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549</v>
      </c>
      <c r="B123" s="145"/>
      <c r="C123" s="128"/>
      <c r="D123" s="3"/>
      <c r="E123" s="3"/>
      <c r="F123" s="3"/>
      <c r="G123" s="3"/>
      <c r="H123" s="3" t="s">
        <v>343</v>
      </c>
      <c r="I123" s="359">
        <f>K54</f>
        <v>0.3187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7">
        <f>I121*I123</f>
        <v>-44723.170999999995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7">
        <f>I125-I127</f>
        <v>-44723.170999999995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550</v>
      </c>
      <c r="B131" s="145"/>
      <c r="C131" s="128"/>
      <c r="D131" s="3"/>
      <c r="E131" s="3"/>
      <c r="F131" s="3"/>
      <c r="G131" s="3"/>
      <c r="H131" s="3"/>
      <c r="I131" s="359">
        <f>K54-1.12%</f>
        <v>0.3075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6">
        <f>I129/(1-I131)</f>
        <v>-64582.19638989169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9">
        <f>C51</f>
        <v>759050.6725000001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9">
        <f>IF($C$51=0,'Tax Rates'!F52,IF((C51)&gt;'Tax Rates'!E47,'Tax Rates'!F52,IF((C51)&gt;'Tax Rates'!D47,'Tax Rates'!E52,IF((C51)&gt;'Tax Rates'!C47,'Tax Rates'!D52,'Tax Rates'!C52))))</f>
        <v>0.3187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50">
        <f>IF(I137&gt;0,I137*I139,0)</f>
        <v>241909.44932575003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51">
        <f>TAXREC!E145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9">
        <f>I141-I143</f>
        <v>241909.44932575003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618</v>
      </c>
      <c r="B147" s="148"/>
      <c r="C147" s="128"/>
      <c r="D147" s="3"/>
      <c r="E147" s="3"/>
      <c r="F147" s="3"/>
      <c r="G147" s="135"/>
      <c r="H147" s="135" t="s">
        <v>273</v>
      </c>
      <c r="I147" s="349">
        <f>C61</f>
        <v>208738.93493750005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9">
        <f>I145-I147</f>
        <v>33170.51438824998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36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9">
        <f>C67</f>
        <v>13535678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2">
        <f>IF(I152&gt;0,'Tax Rates'!C39,0)</f>
        <v>7500000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9">
        <f>I152-I153</f>
        <v>6035678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9">
        <f>IF(I154&gt;0,I154*I156,0)</f>
        <v>18107.034</v>
      </c>
      <c r="J158" s="43"/>
      <c r="K158" s="220"/>
      <c r="L158" s="181"/>
    </row>
    <row r="159" spans="1:12" ht="25.5">
      <c r="A159" s="188" t="s">
        <v>619</v>
      </c>
      <c r="B159" s="148"/>
      <c r="C159" s="128"/>
      <c r="D159" s="3"/>
      <c r="E159" s="3"/>
      <c r="F159" s="3"/>
      <c r="G159" s="135"/>
      <c r="H159" s="135" t="s">
        <v>273</v>
      </c>
      <c r="I159" s="352">
        <f>C73</f>
        <v>18107.034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9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348</v>
      </c>
      <c r="B162" s="148"/>
      <c r="C162" s="128"/>
      <c r="D162" s="3"/>
      <c r="E162" s="3"/>
      <c r="F162" s="3"/>
      <c r="G162" s="136"/>
      <c r="H162" s="136"/>
      <c r="I162" s="525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9">
        <f>C76</f>
        <v>13535678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2">
        <f>IF(I163&gt;0,'Tax Rates'!C40,0)</f>
        <v>50000000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9">
        <f>I163-I164</f>
        <v>-36464322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539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0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4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9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552</v>
      </c>
      <c r="B173" s="148"/>
      <c r="C173" s="128"/>
      <c r="D173" s="3"/>
      <c r="E173" s="3"/>
      <c r="F173" s="3"/>
      <c r="G173" s="135"/>
      <c r="H173" s="135" t="s">
        <v>273</v>
      </c>
      <c r="I173" s="352">
        <f>C85</f>
        <v>0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551</v>
      </c>
      <c r="B176" s="148"/>
      <c r="C176" s="128"/>
      <c r="D176" s="3"/>
      <c r="E176" s="3"/>
      <c r="F176" s="3"/>
      <c r="G176" s="136"/>
      <c r="H176" s="136"/>
      <c r="I176" s="359">
        <f>K54-1.12%</f>
        <v>0.3075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9">
        <f>I149/(1-I176)</f>
        <v>47899.65976642597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9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9">
        <f>SUM(I178:I180)</f>
        <v>47899.65976642597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620</v>
      </c>
      <c r="B184" s="148"/>
      <c r="C184" s="128"/>
      <c r="D184" s="3"/>
      <c r="E184" s="3"/>
      <c r="F184" s="3"/>
      <c r="G184" s="136"/>
      <c r="H184" s="136" t="s">
        <v>272</v>
      </c>
      <c r="I184" s="349">
        <f>I133</f>
        <v>-64582.19638989169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9">
        <f>I182+I184</f>
        <v>-16682.53662346572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5">
        <f>REGINFO!D62</f>
        <v>490668.32749999996</v>
      </c>
      <c r="J194" s="3"/>
      <c r="K194" s="140"/>
      <c r="L194" s="181"/>
    </row>
    <row r="195" spans="1:12" ht="12.75">
      <c r="A195" s="175" t="s">
        <v>540</v>
      </c>
      <c r="B195" s="145"/>
      <c r="C195" s="128"/>
      <c r="D195" s="118"/>
      <c r="E195" s="118"/>
      <c r="F195" s="118"/>
      <c r="G195" s="137"/>
      <c r="H195" s="137"/>
      <c r="I195" s="355">
        <f>C38</f>
        <v>490668.32749999996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541</v>
      </c>
      <c r="B202" s="145"/>
      <c r="C202" s="128"/>
      <c r="D202" s="118"/>
      <c r="E202" s="118"/>
      <c r="F202" s="118"/>
      <c r="G202" s="137"/>
      <c r="H202" s="137"/>
      <c r="I202" s="355">
        <f>K38+K43</f>
        <v>0</v>
      </c>
      <c r="J202" s="3"/>
      <c r="K202" s="140"/>
      <c r="L202" s="181"/>
    </row>
    <row r="203" spans="1:12" ht="12.75">
      <c r="A203" s="175" t="s">
        <v>542</v>
      </c>
      <c r="B203" s="145"/>
      <c r="C203" s="128"/>
      <c r="D203" s="118"/>
      <c r="E203" s="118"/>
      <c r="F203" s="118"/>
      <c r="G203" s="137"/>
      <c r="H203" s="137"/>
      <c r="I203" s="355">
        <f>REGINFO!D62</f>
        <v>490668.32749999996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0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617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0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6">
        <f>+I197-I205</f>
        <v>0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zoomScalePageLayoutView="0" workbookViewId="0" topLeftCell="A236">
      <selection activeCell="C151" sqref="C151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0" t="s">
        <v>633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COLLUS Power Corp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319" t="s">
        <v>638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319" t="s">
        <v>639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6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1">
        <f>Ratebase*REGINFO!D33*0.25%</f>
        <v>16919.5975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19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19" t="s">
        <v>514</v>
      </c>
      <c r="D15" s="31"/>
      <c r="E15" s="31"/>
      <c r="F15" s="26"/>
      <c r="G15" s="3"/>
      <c r="H15" s="3"/>
      <c r="I15" s="3"/>
    </row>
    <row r="16" spans="1:9" ht="12.75">
      <c r="A16" s="346" t="s">
        <v>340</v>
      </c>
      <c r="B16" s="26" t="s">
        <v>142</v>
      </c>
      <c r="C16" s="319" t="s">
        <v>514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19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628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436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370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334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434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435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389</v>
      </c>
      <c r="B31" s="29" t="s">
        <v>272</v>
      </c>
      <c r="C31" s="319">
        <v>28376183</v>
      </c>
      <c r="D31" s="320"/>
      <c r="E31" s="318">
        <f>C31-D31</f>
        <v>28376183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9">
        <v>3784679</v>
      </c>
      <c r="D32" s="320"/>
      <c r="E32" s="318">
        <f>C32-D32</f>
        <v>3784679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19">
        <v>608233</v>
      </c>
      <c r="D33" s="320"/>
      <c r="E33" s="318">
        <f>C33-D33</f>
        <v>608233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9"/>
      <c r="D34" s="320"/>
      <c r="E34" s="318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19"/>
      <c r="D35" s="320"/>
      <c r="E35" s="318">
        <f>C35-D35</f>
        <v>0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9">
        <v>28376183</v>
      </c>
      <c r="D39" s="320"/>
      <c r="E39" s="318">
        <f>C39-D39</f>
        <v>28376183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9">
        <v>1288261</v>
      </c>
      <c r="D40" s="320"/>
      <c r="E40" s="318">
        <f aca="true" t="shared" si="0" ref="E40:E48">C40-D40</f>
        <v>1288261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9">
        <v>700465</v>
      </c>
      <c r="D41" s="320"/>
      <c r="E41" s="318">
        <f t="shared" si="0"/>
        <v>700465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9">
        <v>1115667</v>
      </c>
      <c r="D42" s="320"/>
      <c r="E42" s="318">
        <f t="shared" si="0"/>
        <v>1115667</v>
      </c>
      <c r="F42" s="11"/>
      <c r="G42" s="11"/>
      <c r="H42" s="6"/>
      <c r="I42" s="6"/>
    </row>
    <row r="43" spans="1:9" ht="12.75">
      <c r="A43" s="511" t="s">
        <v>577</v>
      </c>
      <c r="B43" s="29" t="s">
        <v>273</v>
      </c>
      <c r="C43" s="319">
        <v>788853</v>
      </c>
      <c r="D43" s="320"/>
      <c r="E43" s="318">
        <f t="shared" si="0"/>
        <v>788853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9">
        <v>0</v>
      </c>
      <c r="D44" s="320"/>
      <c r="E44" s="318">
        <f t="shared" si="0"/>
        <v>0</v>
      </c>
      <c r="F44" s="11"/>
      <c r="G44" s="11"/>
      <c r="H44" s="6"/>
      <c r="I44" s="6"/>
    </row>
    <row r="45" spans="1:11" ht="12.75">
      <c r="A45" s="511" t="s">
        <v>576</v>
      </c>
      <c r="B45" s="29" t="s">
        <v>273</v>
      </c>
      <c r="C45" s="319"/>
      <c r="D45" s="320"/>
      <c r="E45" s="318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19"/>
      <c r="D46" s="320"/>
      <c r="E46" s="318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273</v>
      </c>
      <c r="C47" s="319"/>
      <c r="D47" s="320"/>
      <c r="E47" s="318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5">
        <f>SUM(C31:C36)-SUM(C39:C49)</f>
        <v>499666</v>
      </c>
      <c r="D50" s="315">
        <f>SUM(D31:D36)-SUM(D39:D49)</f>
        <v>0</v>
      </c>
      <c r="E50" s="315">
        <f>SUM(E31:E35)-SUM(E39:E48)</f>
        <v>499666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19"/>
      <c r="D51" s="319"/>
      <c r="E51" s="316">
        <f>+C51-D51</f>
        <v>0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19">
        <v>136628</v>
      </c>
      <c r="D52" s="319"/>
      <c r="E52" s="317">
        <f>+C52-D52</f>
        <v>136628</v>
      </c>
      <c r="F52" s="8"/>
    </row>
    <row r="53" spans="1:6" ht="12.75">
      <c r="A53" s="2" t="s">
        <v>210</v>
      </c>
      <c r="B53" s="8" t="s">
        <v>275</v>
      </c>
      <c r="C53" s="315">
        <f>C50-C51-C52</f>
        <v>363038</v>
      </c>
      <c r="D53" s="315">
        <f>D50-D51-D52</f>
        <v>0</v>
      </c>
      <c r="E53" s="315">
        <f>E50-E51-E52</f>
        <v>363038</v>
      </c>
      <c r="F53" s="8"/>
    </row>
    <row r="54" spans="1:6" ht="36">
      <c r="A54" s="98" t="s">
        <v>624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1">
        <f>C52</f>
        <v>136628</v>
      </c>
      <c r="D59" s="321">
        <f>D52</f>
        <v>0</v>
      </c>
      <c r="E59" s="305">
        <f>+C59-D59</f>
        <v>136628</v>
      </c>
      <c r="F59" s="8"/>
    </row>
    <row r="60" spans="1:6" ht="12.75">
      <c r="A60" s="4" t="s">
        <v>629</v>
      </c>
      <c r="B60" s="8" t="s">
        <v>272</v>
      </c>
      <c r="C60" s="365">
        <v>0</v>
      </c>
      <c r="D60" s="365"/>
      <c r="E60" s="305">
        <f>+C60-D60</f>
        <v>0</v>
      </c>
      <c r="F60" s="8"/>
    </row>
    <row r="61" spans="1:6" ht="12.75">
      <c r="A61" t="s">
        <v>20</v>
      </c>
      <c r="B61" s="8" t="s">
        <v>272</v>
      </c>
      <c r="C61" s="321">
        <f>C43</f>
        <v>788853</v>
      </c>
      <c r="D61" s="321">
        <f>D43</f>
        <v>0</v>
      </c>
      <c r="E61" s="305">
        <f>+C61-D61</f>
        <v>788853</v>
      </c>
      <c r="F61" s="8"/>
    </row>
    <row r="62" spans="1:6" ht="12.75">
      <c r="A62" t="s">
        <v>22</v>
      </c>
      <c r="B62" s="8" t="s">
        <v>272</v>
      </c>
      <c r="C62" s="365">
        <v>13250</v>
      </c>
      <c r="D62" s="321">
        <v>0</v>
      </c>
      <c r="E62" s="305">
        <f>+C62-D62</f>
        <v>13250</v>
      </c>
      <c r="F62" s="8"/>
    </row>
    <row r="63" spans="1:6" ht="12.75">
      <c r="A63" s="37" t="s">
        <v>393</v>
      </c>
      <c r="B63" s="8" t="s">
        <v>272</v>
      </c>
      <c r="C63" s="363">
        <f>'Tax Reserves'!C22</f>
        <v>0</v>
      </c>
      <c r="D63" s="364">
        <f>'Tax Reserves'!D22</f>
        <v>0</v>
      </c>
      <c r="E63" s="305">
        <f>C63-D63</f>
        <v>0</v>
      </c>
      <c r="F63" s="8"/>
    </row>
    <row r="64" spans="1:6" ht="12.75">
      <c r="A64" s="4" t="s">
        <v>128</v>
      </c>
      <c r="B64" s="8" t="s">
        <v>272</v>
      </c>
      <c r="C64" s="363">
        <f>'Tax Reserves'!C63</f>
        <v>0</v>
      </c>
      <c r="D64" s="364">
        <f>'Tax Reserves'!D63</f>
        <v>0</v>
      </c>
      <c r="E64" s="305">
        <f>+C64-D64</f>
        <v>0</v>
      </c>
      <c r="F64" s="8"/>
    </row>
    <row r="65" spans="1:6" ht="12.75">
      <c r="A65" t="s">
        <v>372</v>
      </c>
      <c r="B65" s="8" t="s">
        <v>272</v>
      </c>
      <c r="C65" s="320"/>
      <c r="D65" s="320"/>
      <c r="E65" s="305">
        <f>+C65-D65</f>
        <v>0</v>
      </c>
      <c r="F65" s="8"/>
    </row>
    <row r="66" spans="1:6" ht="12.75">
      <c r="A66" t="s">
        <v>529</v>
      </c>
      <c r="B66" s="8" t="s">
        <v>272</v>
      </c>
      <c r="C66" s="320"/>
      <c r="D66" s="320"/>
      <c r="E66" s="305">
        <f>+C66-D66</f>
        <v>0</v>
      </c>
      <c r="F66" s="8"/>
    </row>
    <row r="67" spans="1:6" ht="12.75">
      <c r="A67" t="s">
        <v>241</v>
      </c>
      <c r="B67" s="8" t="s">
        <v>272</v>
      </c>
      <c r="C67" s="283">
        <f>'TAXREC 2'!C95</f>
        <v>37333</v>
      </c>
      <c r="D67" s="283">
        <f>'TAXREC 2'!D95</f>
        <v>0</v>
      </c>
      <c r="E67" s="305">
        <f>+C67-D67</f>
        <v>37333</v>
      </c>
      <c r="F67" s="8"/>
    </row>
    <row r="68" spans="1:11" ht="12.75">
      <c r="A68" t="s">
        <v>242</v>
      </c>
      <c r="B68" s="8" t="s">
        <v>272</v>
      </c>
      <c r="C68" s="283">
        <f>'TAXREC 2'!C96</f>
        <v>-8803</v>
      </c>
      <c r="D68" s="283">
        <f>'TAXREC 2'!D96</f>
        <v>0</v>
      </c>
      <c r="E68" s="305">
        <f>+C68-D68</f>
        <v>-8803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40"/>
      <c r="F69" s="8"/>
      <c r="G69" s="51"/>
      <c r="H69" s="51"/>
      <c r="I69" s="29"/>
      <c r="J69" s="29"/>
      <c r="K69" s="86"/>
    </row>
    <row r="70" spans="1:11" ht="12.75">
      <c r="A70" s="10" t="s">
        <v>185</v>
      </c>
      <c r="B70" s="8"/>
      <c r="C70" s="305">
        <f>SUM(C59:C68)</f>
        <v>967261</v>
      </c>
      <c r="D70" s="305">
        <f>SUM(D59:D68)</f>
        <v>0</v>
      </c>
      <c r="E70" s="305">
        <f>SUM(E59:E68)</f>
        <v>967261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0">
        <v>0</v>
      </c>
      <c r="D73" s="330"/>
      <c r="E73" s="305">
        <f aca="true" t="shared" si="1" ref="E73:E79">+C73-D73</f>
        <v>0</v>
      </c>
      <c r="F73" s="8"/>
      <c r="G73" s="87"/>
      <c r="H73" s="88"/>
      <c r="I73" s="89"/>
      <c r="J73" s="89"/>
      <c r="K73" s="89"/>
    </row>
    <row r="74" spans="1:11" ht="12.75">
      <c r="A74" t="s">
        <v>230</v>
      </c>
      <c r="B74" s="8" t="s">
        <v>272</v>
      </c>
      <c r="C74" s="330">
        <v>0</v>
      </c>
      <c r="D74" s="330"/>
      <c r="E74" s="305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t="s">
        <v>23</v>
      </c>
      <c r="B75" s="8" t="s">
        <v>272</v>
      </c>
      <c r="C75" s="330"/>
      <c r="D75" s="330"/>
      <c r="E75" s="305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272</v>
      </c>
      <c r="C76" s="330">
        <v>0</v>
      </c>
      <c r="D76" s="330"/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556</v>
      </c>
      <c r="B77" s="8" t="s">
        <v>272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4"/>
      <c r="B78" s="8" t="s">
        <v>272</v>
      </c>
      <c r="C78" s="330"/>
      <c r="D78" s="330"/>
      <c r="E78" s="305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80"/>
      <c r="B79" s="8" t="s">
        <v>272</v>
      </c>
      <c r="C79" s="330"/>
      <c r="D79" s="330"/>
      <c r="E79" s="305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73" t="s">
        <v>124</v>
      </c>
      <c r="B80" s="8" t="s">
        <v>275</v>
      </c>
      <c r="C80" s="283">
        <f>SUM(C73:C79)</f>
        <v>0</v>
      </c>
      <c r="D80" s="283">
        <f>SUM(D73:D79)</f>
        <v>0</v>
      </c>
      <c r="E80" s="283">
        <f>SUM(E73:E79)</f>
        <v>0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34</v>
      </c>
      <c r="B82" s="8" t="s">
        <v>275</v>
      </c>
      <c r="C82" s="283">
        <f>C70+C80</f>
        <v>967261</v>
      </c>
      <c r="D82" s="283">
        <f>D70+D80</f>
        <v>0</v>
      </c>
      <c r="E82" s="283">
        <f>E70+E80</f>
        <v>967261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4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2" t="str">
        <f aca="true" t="shared" si="2" ref="A85:A91">IF($E73&gt;$C$13,A73," ")</f>
        <v> </v>
      </c>
      <c r="B85" s="306"/>
      <c r="C85" s="324">
        <f aca="true" t="shared" si="3" ref="C85:E89">IF($E73&gt;$C$13,C73,)</f>
        <v>0</v>
      </c>
      <c r="D85" s="324">
        <f t="shared" si="3"/>
        <v>0</v>
      </c>
      <c r="E85" s="324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2" t="str">
        <f t="shared" si="2"/>
        <v> </v>
      </c>
      <c r="B86" s="306"/>
      <c r="C86" s="324">
        <f t="shared" si="3"/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aca="true" t="shared" si="4" ref="C90:E91">IF($E78&gt;$C$13,C78,)</f>
        <v>0</v>
      </c>
      <c r="D90" s="324">
        <f t="shared" si="4"/>
        <v>0</v>
      </c>
      <c r="E90" s="324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t="shared" si="4"/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3" t="s">
        <v>232</v>
      </c>
      <c r="B92" s="306"/>
      <c r="C92" s="313">
        <f>SUM(C85:C91)</f>
        <v>0</v>
      </c>
      <c r="D92" s="313">
        <f>SUM(D85:D91)</f>
        <v>0</v>
      </c>
      <c r="E92" s="313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6" t="s">
        <v>296</v>
      </c>
      <c r="B93" s="306"/>
      <c r="C93" s="283">
        <f>C80-C92</f>
        <v>0</v>
      </c>
      <c r="D93" s="283">
        <f>D80-D92</f>
        <v>0</v>
      </c>
      <c r="E93" s="283">
        <f>E80-E92</f>
        <v>0</v>
      </c>
      <c r="F93" s="8"/>
      <c r="G93" s="51"/>
      <c r="H93" s="51"/>
      <c r="I93" s="51"/>
      <c r="J93" s="51"/>
      <c r="K93" s="51"/>
    </row>
    <row r="94" spans="1:11" ht="12.75">
      <c r="A94" s="306" t="s">
        <v>297</v>
      </c>
      <c r="B94" s="306"/>
      <c r="C94" s="283">
        <f>C92+C93</f>
        <v>0</v>
      </c>
      <c r="D94" s="283">
        <f>D92+D93</f>
        <v>0</v>
      </c>
      <c r="E94" s="283">
        <f>E92+E93</f>
        <v>0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0">
        <v>635718</v>
      </c>
      <c r="D97" s="330"/>
      <c r="E97" s="305">
        <f>+C97-D97</f>
        <v>635718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0">
        <v>63041</v>
      </c>
      <c r="D98" s="330"/>
      <c r="E98" s="305">
        <f>+C98-D98</f>
        <v>63041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0"/>
      <c r="D99" s="330"/>
      <c r="E99" s="305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0"/>
      <c r="D101" s="330"/>
      <c r="E101" s="321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0"/>
      <c r="D102" s="330"/>
      <c r="E102" s="305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0"/>
      <c r="D103" s="330"/>
      <c r="E103" s="317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529</v>
      </c>
      <c r="B104" s="8"/>
      <c r="C104" s="330"/>
      <c r="D104" s="330"/>
      <c r="E104" s="317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6">
        <f>'Tax Reserves'!C35</f>
        <v>190913</v>
      </c>
      <c r="D105" s="366">
        <f>'Tax Reserves'!D35</f>
        <v>0</v>
      </c>
      <c r="E105" s="305">
        <f t="shared" si="5"/>
        <v>190913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6">
        <f>'Tax Reserves'!C50</f>
        <v>0</v>
      </c>
      <c r="D106" s="366">
        <f>'Tax Reserves'!D50</f>
        <v>0</v>
      </c>
      <c r="E106" s="316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0"/>
      <c r="D107" s="330"/>
      <c r="E107" s="30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0"/>
      <c r="D109" s="330"/>
      <c r="E109" s="317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3">
        <f>'TAXREC 2'!C146</f>
        <v>0</v>
      </c>
      <c r="D110" s="283">
        <f>'TAXREC 2'!D146</f>
        <v>0</v>
      </c>
      <c r="E110" s="283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3">
        <f>'TAXREC 2'!C147</f>
        <v>2015</v>
      </c>
      <c r="D111" s="283">
        <f>'TAXREC 2'!D147</f>
        <v>0</v>
      </c>
      <c r="E111" s="283">
        <f>'TAXREC 2'!E147</f>
        <v>2015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9"/>
      <c r="F112" s="8"/>
      <c r="G112" s="51"/>
      <c r="H112" s="51"/>
      <c r="I112" s="29"/>
      <c r="J112" s="51"/>
      <c r="K112" s="86"/>
    </row>
    <row r="113" spans="1:11" ht="12.75">
      <c r="A113" s="4" t="s">
        <v>245</v>
      </c>
      <c r="B113" s="8" t="s">
        <v>275</v>
      </c>
      <c r="C113" s="283">
        <f>SUM(C97:C111)</f>
        <v>891687</v>
      </c>
      <c r="D113" s="283">
        <f>SUM(D97:D111)</f>
        <v>0</v>
      </c>
      <c r="E113" s="283">
        <f>SUM(E97:E111)</f>
        <v>891687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0">
        <v>0</v>
      </c>
      <c r="D115" s="330"/>
      <c r="E115" s="305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8" t="s">
        <v>333</v>
      </c>
      <c r="B116" s="8" t="s">
        <v>273</v>
      </c>
      <c r="C116" s="330"/>
      <c r="D116" s="330"/>
      <c r="E116" s="305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8"/>
      <c r="B117" s="8" t="s">
        <v>273</v>
      </c>
      <c r="C117" s="330"/>
      <c r="D117" s="330"/>
      <c r="E117" s="305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8" t="s">
        <v>557</v>
      </c>
      <c r="B118" s="8"/>
      <c r="C118" s="330"/>
      <c r="D118" s="330"/>
      <c r="E118" s="305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505"/>
      <c r="B119" s="8" t="s">
        <v>273</v>
      </c>
      <c r="C119" s="330"/>
      <c r="D119" s="330"/>
      <c r="E119" s="305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125</v>
      </c>
      <c r="B120" s="8" t="s">
        <v>275</v>
      </c>
      <c r="C120" s="283">
        <f>SUM(C114:C119)</f>
        <v>0</v>
      </c>
      <c r="D120" s="283">
        <f>SUM(D114:D119)</f>
        <v>0</v>
      </c>
      <c r="E120" s="283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35</v>
      </c>
      <c r="B122" s="8" t="s">
        <v>275</v>
      </c>
      <c r="C122" s="283">
        <f>C113+C120</f>
        <v>891687</v>
      </c>
      <c r="D122" s="283">
        <f>D113+D120</f>
        <v>0</v>
      </c>
      <c r="E122" s="283">
        <f>+E113+E120</f>
        <v>891687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5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2" t="str">
        <f>IF($E115&gt;$C$13,A115," ")</f>
        <v> </v>
      </c>
      <c r="B125" s="306"/>
      <c r="C125" s="324">
        <f aca="true" t="shared" si="6" ref="C125:E129">IF($E115&gt;$C$13,C115,)</f>
        <v>0</v>
      </c>
      <c r="D125" s="324">
        <f>IF($E115&gt;$C$13,D115,)</f>
        <v>0</v>
      </c>
      <c r="E125" s="324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2" t="str">
        <f>IF($E116&gt;$C$13,A116," ")</f>
        <v> </v>
      </c>
      <c r="B126" s="306"/>
      <c r="C126" s="324">
        <f t="shared" si="6"/>
        <v>0</v>
      </c>
      <c r="D126" s="324">
        <f>IF($E116&gt;$C$13,D116,)</f>
        <v>0</v>
      </c>
      <c r="E126" s="324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2" t="str">
        <f>IF($E117&gt;$C$13,A117," ")</f>
        <v> </v>
      </c>
      <c r="B127" s="306"/>
      <c r="C127" s="324">
        <f t="shared" si="6"/>
        <v>0</v>
      </c>
      <c r="D127" s="324">
        <f t="shared" si="6"/>
        <v>0</v>
      </c>
      <c r="E127" s="324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2"/>
      <c r="B128" s="306"/>
      <c r="C128" s="324">
        <f t="shared" si="6"/>
        <v>0</v>
      </c>
      <c r="D128" s="324">
        <f t="shared" si="6"/>
        <v>0</v>
      </c>
      <c r="E128" s="324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2" t="str">
        <f>IF($E119&gt;$C$13,A119," ")</f>
        <v> </v>
      </c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3" t="s">
        <v>299</v>
      </c>
      <c r="B130" s="306"/>
      <c r="C130" s="283">
        <f>SUM(C125:C129)</f>
        <v>0</v>
      </c>
      <c r="D130" s="283">
        <f>SUM(D125:D129)</f>
        <v>0</v>
      </c>
      <c r="E130" s="283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6" t="s">
        <v>300</v>
      </c>
      <c r="B131" s="306"/>
      <c r="C131" s="283">
        <f>C120-C130</f>
        <v>0</v>
      </c>
      <c r="D131" s="283">
        <f>D120-D130</f>
        <v>0</v>
      </c>
      <c r="E131" s="283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06" t="s">
        <v>298</v>
      </c>
      <c r="B132" s="306"/>
      <c r="C132" s="283">
        <f>C130+C131</f>
        <v>0</v>
      </c>
      <c r="D132" s="283">
        <f>D130+D131</f>
        <v>0</v>
      </c>
      <c r="E132" s="283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3">
        <f>+C53+C82-C122</f>
        <v>438612</v>
      </c>
      <c r="D134" s="283">
        <f>D53+D82-D122</f>
        <v>0</v>
      </c>
      <c r="E134" s="283">
        <f>E53+E82-E122</f>
        <v>438612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593</v>
      </c>
      <c r="B136" s="8" t="s">
        <v>273</v>
      </c>
      <c r="C136" s="330"/>
      <c r="D136" s="330"/>
      <c r="E136" s="297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623</v>
      </c>
      <c r="B137" s="8" t="s">
        <v>273</v>
      </c>
      <c r="C137" s="357"/>
      <c r="D137" s="357"/>
      <c r="E137" s="443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57"/>
      <c r="D138" s="357"/>
      <c r="E138" s="443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4">
        <f>C134-C136-C137-C138</f>
        <v>438612</v>
      </c>
      <c r="D139" s="284">
        <f>D134-D136-D137-D138</f>
        <v>0</v>
      </c>
      <c r="E139" s="284">
        <f>E134-E136-E137-E138</f>
        <v>438612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594</v>
      </c>
      <c r="B142" s="8" t="s">
        <v>272</v>
      </c>
      <c r="C142" s="341">
        <v>75124</v>
      </c>
      <c r="D142" s="341"/>
      <c r="E142" s="284">
        <f>C142-D142</f>
        <v>75124</v>
      </c>
      <c r="F142" s="8"/>
      <c r="G142" s="51"/>
      <c r="H142" s="51"/>
      <c r="I142" s="51"/>
      <c r="J142" s="51"/>
      <c r="K142" s="51"/>
    </row>
    <row r="143" spans="1:11" ht="12.75">
      <c r="A143" s="52" t="s">
        <v>595</v>
      </c>
      <c r="B143" s="8" t="s">
        <v>272</v>
      </c>
      <c r="C143" s="341">
        <v>38155</v>
      </c>
      <c r="D143" s="341"/>
      <c r="E143" s="326">
        <f>C143-D143</f>
        <v>38155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4">
        <f>C142+C143</f>
        <v>113279</v>
      </c>
      <c r="D144" s="284">
        <f>D142+D143</f>
        <v>0</v>
      </c>
      <c r="E144" s="284">
        <f>E142+E143</f>
        <v>113279</v>
      </c>
      <c r="F144" s="8"/>
      <c r="G144" s="51"/>
      <c r="H144" s="51"/>
      <c r="I144" s="51"/>
      <c r="J144" s="51"/>
      <c r="K144" s="51"/>
    </row>
    <row r="145" spans="1:11" ht="12.75">
      <c r="A145" s="52" t="s">
        <v>596</v>
      </c>
      <c r="B145" s="8" t="s">
        <v>273</v>
      </c>
      <c r="C145" s="341"/>
      <c r="D145" s="341"/>
      <c r="E145" s="327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177</v>
      </c>
      <c r="B146" s="8" t="s">
        <v>275</v>
      </c>
      <c r="C146" s="284">
        <f>C144-C145</f>
        <v>113279</v>
      </c>
      <c r="D146" s="284">
        <f>D144-D145</f>
        <v>0</v>
      </c>
      <c r="E146" s="284">
        <f>E144-E145</f>
        <v>113279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558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597</v>
      </c>
      <c r="B149" s="8"/>
      <c r="C149" s="454">
        <v>0.2212</v>
      </c>
      <c r="D149" s="5"/>
      <c r="E149" s="455">
        <f>C149</f>
        <v>0.2212</v>
      </c>
      <c r="F149" s="8"/>
      <c r="G149" s="51"/>
      <c r="H149" s="51"/>
      <c r="I149" s="51"/>
      <c r="J149" s="51"/>
      <c r="K149" s="51"/>
    </row>
    <row r="150" spans="1:11" ht="12.75">
      <c r="A150" s="52" t="s">
        <v>598</v>
      </c>
      <c r="B150" s="8"/>
      <c r="C150" s="454">
        <v>0.0975</v>
      </c>
      <c r="D150" s="5"/>
      <c r="E150" s="455">
        <f>C150</f>
        <v>0.0975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5">
        <f>SUM(C149:C150)</f>
        <v>0.3187</v>
      </c>
      <c r="D151" s="5"/>
      <c r="E151" s="455">
        <f>SUM(E149:E150)</f>
        <v>0.3187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5" t="s">
        <v>272</v>
      </c>
      <c r="C159" s="330">
        <v>5101340</v>
      </c>
      <c r="D159" s="330"/>
      <c r="E159" s="305">
        <f>C159-D159</f>
        <v>5101340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5" t="s">
        <v>278</v>
      </c>
      <c r="C160" s="330">
        <v>605614</v>
      </c>
      <c r="D160" s="330"/>
      <c r="E160" s="305">
        <f aca="true" t="shared" si="7" ref="E160:E172">C160-D160</f>
        <v>605614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5" t="s">
        <v>272</v>
      </c>
      <c r="C161" s="330">
        <v>2966014</v>
      </c>
      <c r="D161" s="330"/>
      <c r="E161" s="305">
        <f t="shared" si="7"/>
        <v>2966014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5" t="s">
        <v>272</v>
      </c>
      <c r="C162" s="330"/>
      <c r="D162" s="330"/>
      <c r="E162" s="305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5" t="s">
        <v>272</v>
      </c>
      <c r="C163" s="330"/>
      <c r="D163" s="330"/>
      <c r="E163" s="305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5" t="s">
        <v>272</v>
      </c>
      <c r="C164" s="330">
        <v>2039876</v>
      </c>
      <c r="D164" s="330"/>
      <c r="E164" s="305">
        <f t="shared" si="7"/>
        <v>2039876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5" t="s">
        <v>272</v>
      </c>
      <c r="C165" s="330"/>
      <c r="D165" s="330"/>
      <c r="E165" s="305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5" t="s">
        <v>272</v>
      </c>
      <c r="C166" s="330">
        <v>60000</v>
      </c>
      <c r="D166" s="330"/>
      <c r="E166" s="305">
        <f t="shared" si="7"/>
        <v>60000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5" t="s">
        <v>272</v>
      </c>
      <c r="C167" s="330"/>
      <c r="D167" s="330"/>
      <c r="E167" s="305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5" t="s">
        <v>272</v>
      </c>
      <c r="C168" s="330"/>
      <c r="D168" s="330"/>
      <c r="E168" s="305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5" t="s">
        <v>272</v>
      </c>
      <c r="C169" s="330"/>
      <c r="D169" s="330"/>
      <c r="E169" s="305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5" t="s">
        <v>272</v>
      </c>
      <c r="C170" s="330"/>
      <c r="D170" s="330"/>
      <c r="E170" s="305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5" t="s">
        <v>272</v>
      </c>
      <c r="C171" s="330"/>
      <c r="D171" s="330"/>
      <c r="E171" s="305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5" t="s">
        <v>272</v>
      </c>
      <c r="C172" s="330"/>
      <c r="D172" s="330"/>
      <c r="E172" s="305">
        <f t="shared" si="7"/>
        <v>0</v>
      </c>
      <c r="F172" s="8"/>
    </row>
    <row r="173" spans="1:6" ht="12.75">
      <c r="A173" t="s">
        <v>75</v>
      </c>
      <c r="B173" s="75" t="s">
        <v>275</v>
      </c>
      <c r="C173" s="283">
        <f>SUM(C159:C172)</f>
        <v>10772844</v>
      </c>
      <c r="D173" s="283">
        <f>SUM(D159:D172)</f>
        <v>0</v>
      </c>
      <c r="E173" s="283">
        <f>SUM(E159:E172)</f>
        <v>10772844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4" t="s">
        <v>280</v>
      </c>
      <c r="B175" s="75" t="s">
        <v>273</v>
      </c>
      <c r="C175" s="331"/>
      <c r="D175" s="331"/>
      <c r="E175" s="328">
        <f>C175-D175</f>
        <v>0</v>
      </c>
      <c r="F175" s="8"/>
    </row>
    <row r="176" spans="1:6" ht="25.5">
      <c r="A176" s="91" t="s">
        <v>268</v>
      </c>
      <c r="B176" s="75" t="s">
        <v>273</v>
      </c>
      <c r="C176" s="331"/>
      <c r="D176" s="331"/>
      <c r="E176" s="328">
        <f>C176-D176</f>
        <v>0</v>
      </c>
      <c r="F176" s="8"/>
    </row>
    <row r="177" spans="1:6" ht="12.75">
      <c r="A177" s="2" t="s">
        <v>120</v>
      </c>
      <c r="B177" s="75" t="s">
        <v>275</v>
      </c>
      <c r="C177" s="329">
        <f>C173-C175-C176</f>
        <v>10772844</v>
      </c>
      <c r="D177" s="329">
        <f>D173-D175-D176</f>
        <v>0</v>
      </c>
      <c r="E177" s="283">
        <f>E173-E175-E176</f>
        <v>10772844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5" t="s">
        <v>272</v>
      </c>
      <c r="C181" s="330"/>
      <c r="D181" s="330"/>
      <c r="E181" s="305">
        <f aca="true" t="shared" si="8" ref="E181:E186">C181-D181</f>
        <v>0</v>
      </c>
      <c r="F181" s="8"/>
    </row>
    <row r="182" spans="1:6" ht="12.75">
      <c r="A182" t="s">
        <v>79</v>
      </c>
      <c r="B182" s="75" t="s">
        <v>272</v>
      </c>
      <c r="C182" s="330"/>
      <c r="D182" s="330"/>
      <c r="E182" s="305">
        <f t="shared" si="8"/>
        <v>0</v>
      </c>
      <c r="F182" s="8"/>
    </row>
    <row r="183" spans="1:6" ht="12.75">
      <c r="A183" t="s">
        <v>80</v>
      </c>
      <c r="B183" s="75" t="s">
        <v>272</v>
      </c>
      <c r="C183" s="330"/>
      <c r="D183" s="330"/>
      <c r="E183" s="305">
        <f t="shared" si="8"/>
        <v>0</v>
      </c>
      <c r="F183" s="8"/>
    </row>
    <row r="184" spans="1:6" ht="12.75">
      <c r="A184" t="s">
        <v>81</v>
      </c>
      <c r="B184" s="75" t="s">
        <v>272</v>
      </c>
      <c r="C184" s="330"/>
      <c r="D184" s="330"/>
      <c r="E184" s="305">
        <f t="shared" si="8"/>
        <v>0</v>
      </c>
      <c r="F184" s="8"/>
    </row>
    <row r="185" spans="1:6" ht="12.75">
      <c r="A185" t="s">
        <v>276</v>
      </c>
      <c r="B185" s="75" t="s">
        <v>272</v>
      </c>
      <c r="C185" s="330"/>
      <c r="D185" s="330"/>
      <c r="E185" s="305">
        <f t="shared" si="8"/>
        <v>0</v>
      </c>
      <c r="F185" s="8"/>
    </row>
    <row r="186" spans="1:6" ht="12.75">
      <c r="A186" t="s">
        <v>282</v>
      </c>
      <c r="B186" s="75" t="s">
        <v>272</v>
      </c>
      <c r="C186" s="330"/>
      <c r="D186" s="330"/>
      <c r="E186" s="305">
        <f t="shared" si="8"/>
        <v>0</v>
      </c>
      <c r="F186" s="8"/>
    </row>
    <row r="187" spans="2:6" ht="12.75">
      <c r="B187" s="8"/>
      <c r="C187" s="28"/>
      <c r="D187" s="28"/>
      <c r="E187" s="257"/>
      <c r="F187" s="8"/>
    </row>
    <row r="188" spans="1:6" ht="12.75">
      <c r="A188" s="2" t="s">
        <v>82</v>
      </c>
      <c r="B188" s="75" t="s">
        <v>275</v>
      </c>
      <c r="C188" s="283">
        <f>SUM(C181:C186)</f>
        <v>0</v>
      </c>
      <c r="D188" s="283">
        <f>SUM(D181:D187)</f>
        <v>0</v>
      </c>
      <c r="E188" s="283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5" t="s">
        <v>272</v>
      </c>
      <c r="C193" s="330">
        <v>18918833</v>
      </c>
      <c r="D193" s="330"/>
      <c r="E193" s="305">
        <f>C193-D193</f>
        <v>18918833</v>
      </c>
      <c r="F193" s="8"/>
    </row>
    <row r="194" spans="1:6" ht="12.75">
      <c r="A194" t="s">
        <v>269</v>
      </c>
      <c r="B194" s="75" t="s">
        <v>272</v>
      </c>
      <c r="C194" s="330"/>
      <c r="D194" s="330"/>
      <c r="E194" s="305">
        <f>C194-D194</f>
        <v>0</v>
      </c>
      <c r="F194" s="8"/>
    </row>
    <row r="195" spans="1:7" ht="12.75">
      <c r="A195" t="s">
        <v>270</v>
      </c>
      <c r="B195" s="75" t="s">
        <v>272</v>
      </c>
      <c r="C195" s="330"/>
      <c r="D195" s="330"/>
      <c r="E195" s="305">
        <f>C195-D195</f>
        <v>0</v>
      </c>
      <c r="F195" s="8"/>
      <c r="G195" s="28" t="s">
        <v>180</v>
      </c>
    </row>
    <row r="196" spans="1:6" ht="12.75">
      <c r="A196" t="s">
        <v>271</v>
      </c>
      <c r="B196" s="75" t="s">
        <v>273</v>
      </c>
      <c r="C196" s="330"/>
      <c r="D196" s="330"/>
      <c r="E196" s="305">
        <f>C196-D196</f>
        <v>0</v>
      </c>
      <c r="F196" s="8"/>
    </row>
    <row r="197" spans="2:6" ht="12.75">
      <c r="B197" s="8"/>
      <c r="C197" s="342"/>
      <c r="D197" s="342"/>
      <c r="E197" s="205"/>
      <c r="F197" s="8"/>
    </row>
    <row r="198" spans="1:6" ht="12.75">
      <c r="A198" s="2" t="s">
        <v>85</v>
      </c>
      <c r="B198" s="75" t="s">
        <v>275</v>
      </c>
      <c r="C198" s="283">
        <f>C193+C194+C195-C196</f>
        <v>18918833</v>
      </c>
      <c r="D198" s="283">
        <f>D193+D194+D195-D196</f>
        <v>0</v>
      </c>
      <c r="E198" s="283">
        <f>E193+E194+E195-E196</f>
        <v>18918833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5" t="s">
        <v>272</v>
      </c>
      <c r="C201" s="330"/>
      <c r="D201" s="330"/>
      <c r="E201" s="305">
        <f aca="true" t="shared" si="9" ref="E201:E207">C201-D201</f>
        <v>0</v>
      </c>
      <c r="F201" s="8"/>
    </row>
    <row r="202" spans="1:6" ht="12.75">
      <c r="A202" t="s">
        <v>87</v>
      </c>
      <c r="B202" s="75" t="s">
        <v>272</v>
      </c>
      <c r="C202" s="330"/>
      <c r="D202" s="330"/>
      <c r="E202" s="305">
        <f t="shared" si="9"/>
        <v>0</v>
      </c>
      <c r="F202" s="8"/>
    </row>
    <row r="203" spans="1:6" ht="12.75">
      <c r="A203" t="s">
        <v>88</v>
      </c>
      <c r="B203" s="8"/>
      <c r="C203" s="330"/>
      <c r="D203" s="330"/>
      <c r="E203" s="305">
        <f t="shared" si="9"/>
        <v>0</v>
      </c>
      <c r="F203" s="8"/>
    </row>
    <row r="204" spans="1:6" ht="25.5">
      <c r="A204" s="74" t="s">
        <v>280</v>
      </c>
      <c r="B204" s="77" t="s">
        <v>273</v>
      </c>
      <c r="C204" s="331"/>
      <c r="D204" s="331"/>
      <c r="E204" s="328">
        <f t="shared" si="9"/>
        <v>0</v>
      </c>
      <c r="F204" s="8"/>
    </row>
    <row r="205" spans="1:6" ht="25.5">
      <c r="A205" s="74" t="s">
        <v>279</v>
      </c>
      <c r="B205" s="75" t="s">
        <v>273</v>
      </c>
      <c r="C205" s="330"/>
      <c r="D205" s="330"/>
      <c r="E205" s="305">
        <f t="shared" si="9"/>
        <v>0</v>
      </c>
      <c r="F205" s="8"/>
    </row>
    <row r="206" spans="1:5" ht="12.75">
      <c r="A206" t="s">
        <v>89</v>
      </c>
      <c r="B206" s="75" t="s">
        <v>273</v>
      </c>
      <c r="C206" s="330"/>
      <c r="D206" s="330"/>
      <c r="E206" s="305">
        <f t="shared" si="9"/>
        <v>0</v>
      </c>
    </row>
    <row r="207" spans="1:5" ht="12.75">
      <c r="A207" t="s">
        <v>90</v>
      </c>
      <c r="B207" s="75" t="s">
        <v>278</v>
      </c>
      <c r="C207" s="330"/>
      <c r="D207" s="330"/>
      <c r="E207" s="305">
        <f t="shared" si="9"/>
        <v>0</v>
      </c>
    </row>
    <row r="208" spans="2:5" ht="12.75">
      <c r="B208" s="8"/>
      <c r="C208" s="28"/>
      <c r="D208" s="28"/>
      <c r="E208" s="205"/>
    </row>
    <row r="209" spans="1:5" ht="12.75">
      <c r="A209" s="2" t="s">
        <v>91</v>
      </c>
      <c r="B209" s="8" t="s">
        <v>275</v>
      </c>
      <c r="C209" s="329">
        <f>C198+C201+C202-C204-C205-C206+C207</f>
        <v>18918833</v>
      </c>
      <c r="D209" s="329">
        <f>D198+D201+D202-D204-D205-D206+D207</f>
        <v>0</v>
      </c>
      <c r="E209" s="283">
        <f>E198+E201+E202-E204-E205-E206+E207</f>
        <v>18918833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3">
        <f>IF(C209=0,0,IF(((C188/C209)*C177)&lt;0,0,IF((C188/C209)*C177&gt;C188,C188,C188/C209*C177)))</f>
        <v>0</v>
      </c>
      <c r="D212" s="283">
        <f>IF(D209=0,0,IF(((D188/D209)*D177)&lt;0,0,IF((D188/D209)*D177&gt;D188,D188,D188/D209*D177)))</f>
        <v>0</v>
      </c>
      <c r="E212" s="283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5" t="s">
        <v>272</v>
      </c>
      <c r="C216" s="313">
        <f>+C177</f>
        <v>10772844</v>
      </c>
      <c r="D216" s="313">
        <f>+D177</f>
        <v>0</v>
      </c>
      <c r="E216" s="317">
        <f>+C216-D216</f>
        <v>10772844</v>
      </c>
      <c r="F216" s="8"/>
    </row>
    <row r="217" spans="1:6" ht="12.75">
      <c r="A217" s="4" t="s">
        <v>94</v>
      </c>
      <c r="B217" s="75" t="s">
        <v>273</v>
      </c>
      <c r="C217" s="283">
        <f>C212</f>
        <v>0</v>
      </c>
      <c r="D217" s="283">
        <f>D212</f>
        <v>0</v>
      </c>
      <c r="E217" s="283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180</v>
      </c>
      <c r="F218" s="8"/>
    </row>
    <row r="219" spans="1:6" ht="12.75">
      <c r="A219" s="4" t="s">
        <v>95</v>
      </c>
      <c r="B219" s="8" t="s">
        <v>275</v>
      </c>
      <c r="C219" s="283">
        <f>IF(C216&gt;C217,C216-C217,0)</f>
        <v>10772844</v>
      </c>
      <c r="D219" s="283">
        <f>IF(D216&gt;D217,D216-D217,0)</f>
        <v>0</v>
      </c>
      <c r="E219" s="283">
        <f>IF(E216&gt;E217,E216-E217,0)</f>
        <v>10772844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519</v>
      </c>
      <c r="B222" s="8"/>
      <c r="C222" s="286">
        <f>IF(C219&gt;0,'Tax Rates'!C57,0)</f>
        <v>7500000</v>
      </c>
      <c r="D222" s="330">
        <v>0</v>
      </c>
      <c r="E222" s="305">
        <f>+C222-D222</f>
        <v>7500000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3">
        <f>IF(C219&gt;C222,C219-C222,0)</f>
        <v>3272844</v>
      </c>
      <c r="D224" s="283">
        <f>D219-D222</f>
        <v>0</v>
      </c>
      <c r="E224" s="283">
        <f>E219-E222</f>
        <v>3272844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2">
        <f>'Tax Rates'!C54</f>
        <v>0.003</v>
      </c>
      <c r="D226" s="332">
        <f>C226</f>
        <v>0.003</v>
      </c>
      <c r="E226" s="332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4">
        <f>C11</f>
        <v>365</v>
      </c>
      <c r="D228" s="284">
        <f>C228</f>
        <v>365</v>
      </c>
      <c r="E228" s="284">
        <f>C228</f>
        <v>365</v>
      </c>
      <c r="F228" s="8"/>
    </row>
    <row r="229" spans="1:6" ht="12.75">
      <c r="A229" s="4" t="s">
        <v>518</v>
      </c>
      <c r="B229" s="8"/>
      <c r="C229" s="333">
        <f>+C228/REGINFO!B7</f>
        <v>1</v>
      </c>
      <c r="D229" s="333">
        <f>+D228/REGINFO!B7</f>
        <v>1</v>
      </c>
      <c r="E229" s="333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547</v>
      </c>
      <c r="B231" s="8"/>
      <c r="C231" s="504">
        <f>C224*C226*C229</f>
        <v>9818.532000000001</v>
      </c>
      <c r="D231" s="283">
        <f>+D222*D224*D227</f>
        <v>0</v>
      </c>
      <c r="E231" s="283">
        <f>C231-D231</f>
        <v>9818.532000000001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592</v>
      </c>
      <c r="B233" s="8"/>
      <c r="C233" s="338">
        <v>10083</v>
      </c>
      <c r="D233" s="338">
        <f>+D224*D226*D229</f>
        <v>0</v>
      </c>
      <c r="E233" s="283">
        <f>C233-D233</f>
        <v>10083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630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631</v>
      </c>
      <c r="B237" s="8"/>
      <c r="C237" s="5"/>
      <c r="D237" s="5"/>
      <c r="E237" s="5"/>
      <c r="F237" s="8"/>
    </row>
    <row r="238" spans="1:6" ht="12.75">
      <c r="A238" s="101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4" t="s">
        <v>283</v>
      </c>
      <c r="B241" s="77" t="s">
        <v>272</v>
      </c>
      <c r="C241" s="334"/>
      <c r="D241" s="334"/>
      <c r="E241" s="328">
        <f>+C241-D241</f>
        <v>0</v>
      </c>
      <c r="F241" s="8"/>
    </row>
    <row r="242" spans="1:6" ht="12.75">
      <c r="A242" s="74" t="s">
        <v>100</v>
      </c>
      <c r="B242" s="77" t="s">
        <v>272</v>
      </c>
      <c r="C242" s="338">
        <v>5101340</v>
      </c>
      <c r="D242" s="338"/>
      <c r="E242" s="305">
        <f aca="true" t="shared" si="10" ref="E242:E250">+C242-D242</f>
        <v>5101340</v>
      </c>
      <c r="F242" s="8"/>
    </row>
    <row r="243" spans="1:6" ht="12.75">
      <c r="A243" s="74" t="s">
        <v>101</v>
      </c>
      <c r="B243" s="77" t="s">
        <v>272</v>
      </c>
      <c r="C243" s="335">
        <v>605614</v>
      </c>
      <c r="D243" s="335"/>
      <c r="E243" s="305">
        <f t="shared" si="10"/>
        <v>605614</v>
      </c>
      <c r="F243" s="8"/>
    </row>
    <row r="244" spans="1:6" ht="12.75">
      <c r="A244" s="74" t="s">
        <v>102</v>
      </c>
      <c r="B244" s="77" t="s">
        <v>272</v>
      </c>
      <c r="C244" s="336">
        <v>2966014</v>
      </c>
      <c r="D244" s="336"/>
      <c r="E244" s="305">
        <f t="shared" si="10"/>
        <v>2966014</v>
      </c>
      <c r="F244" s="8"/>
    </row>
    <row r="245" spans="1:6" ht="12.75">
      <c r="A245" s="74" t="s">
        <v>103</v>
      </c>
      <c r="B245" s="77" t="s">
        <v>272</v>
      </c>
      <c r="C245" s="336"/>
      <c r="D245" s="336"/>
      <c r="E245" s="305">
        <f t="shared" si="10"/>
        <v>0</v>
      </c>
      <c r="F245" s="8"/>
    </row>
    <row r="246" spans="1:6" ht="12.75">
      <c r="A246" s="74" t="s">
        <v>104</v>
      </c>
      <c r="B246" s="77" t="s">
        <v>272</v>
      </c>
      <c r="C246" s="336"/>
      <c r="D246" s="336"/>
      <c r="E246" s="305">
        <f t="shared" si="10"/>
        <v>0</v>
      </c>
      <c r="F246" s="8"/>
    </row>
    <row r="247" spans="1:6" ht="12.75">
      <c r="A247" s="74" t="s">
        <v>105</v>
      </c>
      <c r="B247" s="77" t="s">
        <v>272</v>
      </c>
      <c r="C247" s="336">
        <v>2039876</v>
      </c>
      <c r="D247" s="336"/>
      <c r="E247" s="305">
        <f t="shared" si="10"/>
        <v>2039876</v>
      </c>
      <c r="F247" s="8"/>
    </row>
    <row r="248" spans="1:6" ht="25.5">
      <c r="A248" s="74" t="s">
        <v>286</v>
      </c>
      <c r="B248" s="77" t="s">
        <v>272</v>
      </c>
      <c r="C248" s="334">
        <v>60000</v>
      </c>
      <c r="D248" s="334"/>
      <c r="E248" s="328">
        <f t="shared" si="10"/>
        <v>60000</v>
      </c>
      <c r="F248" s="8"/>
    </row>
    <row r="249" spans="1:6" ht="12.75">
      <c r="A249" s="74" t="s">
        <v>106</v>
      </c>
      <c r="B249" s="77" t="s">
        <v>272</v>
      </c>
      <c r="C249" s="336"/>
      <c r="D249" s="336"/>
      <c r="E249" s="305">
        <f t="shared" si="10"/>
        <v>0</v>
      </c>
      <c r="F249" s="8"/>
    </row>
    <row r="250" spans="1:6" ht="12.75">
      <c r="A250" s="74" t="s">
        <v>287</v>
      </c>
      <c r="B250" s="77" t="s">
        <v>272</v>
      </c>
      <c r="C250" s="336"/>
      <c r="D250" s="336"/>
      <c r="E250" s="305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3">
        <f>SUM(C241:C251)</f>
        <v>10772844</v>
      </c>
      <c r="D252" s="283">
        <f>SUM(D241:D251)</f>
        <v>0</v>
      </c>
      <c r="E252" s="283">
        <f>SUM(E241:E251)</f>
        <v>10772844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5" t="s">
        <v>273</v>
      </c>
      <c r="C255" s="330"/>
      <c r="D255" s="330"/>
      <c r="E255" s="305">
        <f>+C255-D255</f>
        <v>0</v>
      </c>
      <c r="F255" s="8"/>
    </row>
    <row r="256" spans="1:6" ht="12.75">
      <c r="A256" t="s">
        <v>284</v>
      </c>
      <c r="B256" s="75" t="s">
        <v>273</v>
      </c>
      <c r="C256" s="330"/>
      <c r="D256" s="330"/>
      <c r="E256" s="305">
        <f>+C256-D256</f>
        <v>0</v>
      </c>
      <c r="F256" s="8"/>
    </row>
    <row r="257" spans="1:6" ht="25.5">
      <c r="A257" s="76" t="s">
        <v>285</v>
      </c>
      <c r="B257" s="75" t="s">
        <v>273</v>
      </c>
      <c r="C257" s="331"/>
      <c r="D257" s="331"/>
      <c r="E257" s="328">
        <f>+C257-D257</f>
        <v>0</v>
      </c>
      <c r="F257" s="8"/>
    </row>
    <row r="258" spans="1:6" ht="12.75">
      <c r="A258" t="s">
        <v>109</v>
      </c>
      <c r="B258" s="75" t="s">
        <v>273</v>
      </c>
      <c r="C258" s="330"/>
      <c r="D258" s="330"/>
      <c r="E258" s="305">
        <f>+C258-D258</f>
        <v>0</v>
      </c>
      <c r="F258" s="8"/>
    </row>
    <row r="259" spans="2:6" ht="12.75">
      <c r="B259" s="8"/>
      <c r="C259" s="28"/>
      <c r="D259" s="28"/>
      <c r="E259" s="283"/>
      <c r="F259" s="8"/>
    </row>
    <row r="260" spans="1:6" ht="12.75">
      <c r="A260" t="s">
        <v>9</v>
      </c>
      <c r="B260" s="8" t="s">
        <v>275</v>
      </c>
      <c r="C260" s="283">
        <f>SUM(C255:C259)</f>
        <v>0</v>
      </c>
      <c r="D260" s="283">
        <f>SUM(D255:D259)</f>
        <v>0</v>
      </c>
      <c r="E260" s="283">
        <f>SUM(E255:E259)</f>
        <v>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3">
        <f>+C252-C260</f>
        <v>10772844</v>
      </c>
      <c r="D262" s="283">
        <f>+D252-D260</f>
        <v>0</v>
      </c>
      <c r="E262" s="283">
        <f>+E252-E260</f>
        <v>10772844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5" t="s">
        <v>272</v>
      </c>
      <c r="C266" s="330"/>
      <c r="D266" s="330"/>
      <c r="E266" s="305">
        <f>C266-D266</f>
        <v>0</v>
      </c>
      <c r="F266" s="8"/>
    </row>
    <row r="267" spans="1:6" ht="12.75">
      <c r="A267" s="4" t="s">
        <v>112</v>
      </c>
      <c r="B267" s="75" t="s">
        <v>272</v>
      </c>
      <c r="C267" s="330"/>
      <c r="D267" s="330"/>
      <c r="E267" s="305">
        <f aca="true" t="shared" si="11" ref="E267:E273">C267-D267</f>
        <v>0</v>
      </c>
      <c r="F267" s="8"/>
    </row>
    <row r="268" spans="1:6" ht="12.75">
      <c r="A268" s="4" t="s">
        <v>113</v>
      </c>
      <c r="B268" s="75" t="s">
        <v>272</v>
      </c>
      <c r="C268" s="330"/>
      <c r="D268" s="330"/>
      <c r="E268" s="305">
        <f t="shared" si="11"/>
        <v>0</v>
      </c>
      <c r="F268" s="8"/>
    </row>
    <row r="269" spans="1:6" ht="12.75">
      <c r="A269" s="4" t="s">
        <v>114</v>
      </c>
      <c r="B269" s="75" t="s">
        <v>272</v>
      </c>
      <c r="C269" s="330"/>
      <c r="D269" s="330"/>
      <c r="E269" s="305">
        <f t="shared" si="11"/>
        <v>0</v>
      </c>
      <c r="F269" s="8"/>
    </row>
    <row r="270" spans="1:6" ht="12.75">
      <c r="A270" s="4" t="s">
        <v>115</v>
      </c>
      <c r="B270" s="75" t="s">
        <v>272</v>
      </c>
      <c r="C270" s="330"/>
      <c r="D270" s="330"/>
      <c r="E270" s="305">
        <f t="shared" si="11"/>
        <v>0</v>
      </c>
      <c r="F270" s="8"/>
    </row>
    <row r="271" spans="1:6" ht="12.75">
      <c r="A271" s="4" t="s">
        <v>116</v>
      </c>
      <c r="B271" s="75" t="s">
        <v>272</v>
      </c>
      <c r="C271" s="330"/>
      <c r="D271" s="330"/>
      <c r="E271" s="305">
        <f t="shared" si="11"/>
        <v>0</v>
      </c>
      <c r="F271" s="8"/>
    </row>
    <row r="272" spans="1:6" ht="25.5">
      <c r="A272" s="78" t="s">
        <v>288</v>
      </c>
      <c r="B272" s="77" t="s">
        <v>272</v>
      </c>
      <c r="C272" s="331"/>
      <c r="D272" s="331"/>
      <c r="E272" s="328">
        <f t="shared" si="11"/>
        <v>0</v>
      </c>
      <c r="F272" s="8"/>
    </row>
    <row r="273" spans="1:6" ht="12.75">
      <c r="A273" s="4" t="s">
        <v>117</v>
      </c>
      <c r="B273" s="75" t="s">
        <v>272</v>
      </c>
      <c r="C273" s="330"/>
      <c r="D273" s="330"/>
      <c r="E273" s="305">
        <f t="shared" si="11"/>
        <v>0</v>
      </c>
      <c r="F273" s="8"/>
    </row>
    <row r="274" spans="1:6" ht="12.75">
      <c r="A274" s="4"/>
      <c r="B274" s="8"/>
      <c r="C274" s="28"/>
      <c r="D274" s="28"/>
      <c r="E274" s="283"/>
      <c r="F274" s="8"/>
    </row>
    <row r="275" spans="1:6" ht="12.75">
      <c r="A275" s="2" t="s">
        <v>10</v>
      </c>
      <c r="B275" s="8" t="s">
        <v>275</v>
      </c>
      <c r="C275" s="329">
        <f>SUM(C266:C274)</f>
        <v>0</v>
      </c>
      <c r="D275" s="337">
        <f>SUM(D266:D274)</f>
        <v>0</v>
      </c>
      <c r="E275" s="283">
        <f>SUM(E266:E274)</f>
        <v>0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3">
        <f>+C262</f>
        <v>10772844</v>
      </c>
      <c r="D280" s="283">
        <f>+D262</f>
        <v>0</v>
      </c>
      <c r="E280" s="305">
        <f>+E262</f>
        <v>10772844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14</v>
      </c>
      <c r="B282" s="8" t="s">
        <v>273</v>
      </c>
      <c r="C282" s="283">
        <f>+C275</f>
        <v>0</v>
      </c>
      <c r="D282" s="283">
        <f>+D275</f>
        <v>0</v>
      </c>
      <c r="E282" s="305">
        <f>+C282-D282</f>
        <v>0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" t="s">
        <v>15</v>
      </c>
      <c r="B284" s="75" t="s">
        <v>275</v>
      </c>
      <c r="C284" s="283">
        <f>IF(C280&gt;C282,C280-C282,0)</f>
        <v>10772844</v>
      </c>
      <c r="D284" s="283">
        <f>IF(D280&gt;D282,D280-D282,0)</f>
        <v>0</v>
      </c>
      <c r="E284" s="283">
        <f>IF(E280&gt;E282,E280-E282,0)</f>
        <v>10772844</v>
      </c>
      <c r="F284" s="8"/>
    </row>
    <row r="285" spans="1:6" ht="12.75">
      <c r="A285" s="4"/>
      <c r="B285" s="8"/>
      <c r="C285" s="71"/>
      <c r="D285" s="71"/>
      <c r="E285" s="71"/>
      <c r="F285" s="8"/>
    </row>
    <row r="286" spans="1:6" ht="12.75">
      <c r="A286" s="4" t="s">
        <v>419</v>
      </c>
      <c r="B286" s="75" t="s">
        <v>273</v>
      </c>
      <c r="C286" s="427">
        <f>IF(C284&gt;0,'Tax Rates'!C58,0)</f>
        <v>50000000</v>
      </c>
      <c r="D286" s="338">
        <v>0</v>
      </c>
      <c r="E286" s="305">
        <f>+C286-D286</f>
        <v>50000000</v>
      </c>
      <c r="F286" s="8"/>
    </row>
    <row r="287" spans="1:6" ht="12.75">
      <c r="A287" s="2" t="s">
        <v>591</v>
      </c>
      <c r="B287" s="8"/>
      <c r="C287" s="71"/>
      <c r="D287" s="71"/>
      <c r="E287" s="71"/>
      <c r="F287" s="8"/>
    </row>
    <row r="288" spans="1:6" ht="12.75">
      <c r="A288" s="2" t="s">
        <v>12</v>
      </c>
      <c r="B288" s="8" t="s">
        <v>275</v>
      </c>
      <c r="C288" s="283">
        <f>IF(C284&gt;C286,C284-C286,0)</f>
        <v>0</v>
      </c>
      <c r="D288" s="283">
        <f>IF(D284&gt;D286,D284-D286,0)</f>
        <v>0</v>
      </c>
      <c r="E288" s="283">
        <f>IF(E284&gt;E286,E284-E286,0)</f>
        <v>0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97" t="s">
        <v>520</v>
      </c>
      <c r="B290" s="8"/>
      <c r="C290" s="343">
        <f>'Tax Rates'!C55</f>
        <v>0.00175</v>
      </c>
      <c r="D290" s="343">
        <f>C290</f>
        <v>0.00175</v>
      </c>
      <c r="E290" s="344">
        <f>C290</f>
        <v>0.00175</v>
      </c>
      <c r="F290" s="8"/>
    </row>
    <row r="291" spans="1:6" ht="12.75">
      <c r="A291" s="4"/>
      <c r="B291" s="8"/>
      <c r="C291" s="72"/>
      <c r="D291" s="72"/>
      <c r="E291" s="72"/>
      <c r="F291" s="8"/>
    </row>
    <row r="292" spans="1:6" ht="12.75">
      <c r="A292" s="4" t="s">
        <v>127</v>
      </c>
      <c r="B292" s="8"/>
      <c r="C292" s="284">
        <f>C11</f>
        <v>365</v>
      </c>
      <c r="D292" s="284">
        <f>C11</f>
        <v>365</v>
      </c>
      <c r="E292" s="284">
        <f>C11</f>
        <v>365</v>
      </c>
      <c r="F292" s="8"/>
    </row>
    <row r="293" spans="1:6" ht="12.75">
      <c r="A293" s="4" t="s">
        <v>518</v>
      </c>
      <c r="B293" s="8"/>
      <c r="C293" s="345">
        <f>+C292/REGINFO!B7</f>
        <v>1</v>
      </c>
      <c r="D293" s="345">
        <f>+D292/REGINFO!B7</f>
        <v>1</v>
      </c>
      <c r="E293" s="345">
        <f>+E292/REGINFO!B7</f>
        <v>1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2" t="s">
        <v>590</v>
      </c>
      <c r="B295" s="8" t="s">
        <v>275</v>
      </c>
      <c r="C295" s="283">
        <f>C288*C290*C293</f>
        <v>0</v>
      </c>
      <c r="D295" s="283">
        <f>D288*D290*D293</f>
        <v>0</v>
      </c>
      <c r="E295" s="283">
        <f>E288*E290*E293</f>
        <v>0</v>
      </c>
      <c r="F295" s="8"/>
    </row>
    <row r="296" spans="1:6" ht="12.75">
      <c r="A296" s="4"/>
      <c r="B296" s="8"/>
      <c r="C296" s="72"/>
      <c r="D296" s="70"/>
      <c r="E296" s="72"/>
      <c r="F296" s="8"/>
    </row>
    <row r="297" spans="1:6" ht="12.75">
      <c r="A297" s="4" t="s">
        <v>129</v>
      </c>
      <c r="B297" s="8"/>
      <c r="C297" s="332">
        <f>'Tax Rates'!C56</f>
        <v>0.0112</v>
      </c>
      <c r="D297" s="332">
        <f>C297</f>
        <v>0.0112</v>
      </c>
      <c r="E297" s="332">
        <f>C297</f>
        <v>0.0112</v>
      </c>
      <c r="F297" s="8"/>
    </row>
    <row r="298" spans="2:6" ht="12.75">
      <c r="B298" s="8"/>
      <c r="C298" s="70"/>
      <c r="D298" s="70"/>
      <c r="E298" s="70"/>
      <c r="F298" s="8"/>
    </row>
    <row r="299" spans="1:6" ht="12.75">
      <c r="A299" t="s">
        <v>589</v>
      </c>
      <c r="B299" s="75" t="s">
        <v>273</v>
      </c>
      <c r="C299" s="338">
        <v>0</v>
      </c>
      <c r="D299" s="338"/>
      <c r="E299" s="283">
        <f>C299-D299</f>
        <v>0</v>
      </c>
      <c r="F299" s="8"/>
    </row>
    <row r="300" spans="2:6" ht="12.75">
      <c r="B300" s="8"/>
      <c r="C300" s="71"/>
      <c r="D300" s="71"/>
      <c r="E300" s="71"/>
      <c r="F300" s="8"/>
    </row>
    <row r="301" spans="1:6" ht="12.75">
      <c r="A301" s="2" t="s">
        <v>433</v>
      </c>
      <c r="B301" s="8" t="s">
        <v>275</v>
      </c>
      <c r="C301" s="283">
        <f>IF(C295&gt;C299,C295-C299,0)</f>
        <v>0</v>
      </c>
      <c r="D301" s="283">
        <f>IF(D295&gt;D299,D295-D299,0)</f>
        <v>0</v>
      </c>
      <c r="E301" s="283">
        <f>IF(E295&gt;E299,E295-E299,0)</f>
        <v>0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7" t="s">
        <v>272</v>
      </c>
      <c r="C307" s="283">
        <f>C146</f>
        <v>113279</v>
      </c>
      <c r="D307" s="283">
        <f>D146</f>
        <v>0</v>
      </c>
      <c r="E307" s="283">
        <f>E146</f>
        <v>113279</v>
      </c>
    </row>
    <row r="308" spans="1:5" ht="12.75">
      <c r="A308" t="s">
        <v>36</v>
      </c>
      <c r="B308" s="97" t="s">
        <v>272</v>
      </c>
      <c r="C308" s="283">
        <f>C233</f>
        <v>10083</v>
      </c>
      <c r="D308" s="283">
        <f>D233</f>
        <v>0</v>
      </c>
      <c r="E308" s="283">
        <f>E233</f>
        <v>10083</v>
      </c>
    </row>
    <row r="309" spans="1:5" ht="12.75">
      <c r="A309" t="s">
        <v>326</v>
      </c>
      <c r="B309" s="97" t="s">
        <v>272</v>
      </c>
      <c r="C309" s="283">
        <f>C301</f>
        <v>0</v>
      </c>
      <c r="D309" s="283">
        <f>D301</f>
        <v>0</v>
      </c>
      <c r="E309" s="283">
        <f>E301</f>
        <v>0</v>
      </c>
    </row>
    <row r="310" ht="12.75">
      <c r="B310" s="8"/>
    </row>
    <row r="311" spans="1:5" ht="12.75">
      <c r="A311" s="2" t="s">
        <v>412</v>
      </c>
      <c r="B311" s="75" t="s">
        <v>275</v>
      </c>
      <c r="C311" s="283">
        <f>C307+C308+C309</f>
        <v>123362</v>
      </c>
      <c r="D311" s="283">
        <f>D307+D308+D309</f>
        <v>0</v>
      </c>
      <c r="E311" s="283">
        <f>E307+E308+E309</f>
        <v>123362</v>
      </c>
    </row>
    <row r="312" ht="12.75">
      <c r="C312" s="96"/>
    </row>
    <row r="313" ht="12.75">
      <c r="C313" s="8"/>
    </row>
    <row r="314" ht="12.75">
      <c r="E314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7" r:id="rId1"/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0" t="s">
        <v>633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COLLUS Power Corp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9" t="s">
        <v>388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395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396</v>
      </c>
      <c r="B15" s="67"/>
      <c r="C15" s="330"/>
      <c r="D15" s="330"/>
      <c r="E15" s="283">
        <f t="shared" si="0"/>
        <v>0</v>
      </c>
    </row>
    <row r="16" spans="1:5" ht="12.75">
      <c r="A16" s="67" t="s">
        <v>397</v>
      </c>
      <c r="B16" s="67"/>
      <c r="C16" s="330"/>
      <c r="D16" s="330"/>
      <c r="E16" s="283">
        <f t="shared" si="0"/>
        <v>0</v>
      </c>
    </row>
    <row r="17" spans="1:5" ht="12.75">
      <c r="A17" s="67" t="s">
        <v>398</v>
      </c>
      <c r="B17" s="67"/>
      <c r="C17" s="330"/>
      <c r="D17" s="330"/>
      <c r="E17" s="283">
        <f t="shared" si="0"/>
        <v>0</v>
      </c>
    </row>
    <row r="18" spans="1:5" ht="12.75">
      <c r="A18" s="67" t="s">
        <v>385</v>
      </c>
      <c r="B18" s="67"/>
      <c r="C18" s="330">
        <v>0</v>
      </c>
      <c r="D18" s="330"/>
      <c r="E18" s="283">
        <f t="shared" si="0"/>
        <v>0</v>
      </c>
    </row>
    <row r="19" spans="1:5" ht="12.75">
      <c r="A19" s="67" t="s">
        <v>385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261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387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395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396</v>
      </c>
      <c r="B27" s="67"/>
      <c r="C27" s="330"/>
      <c r="D27" s="330"/>
      <c r="E27" s="283">
        <f t="shared" si="1"/>
        <v>0</v>
      </c>
    </row>
    <row r="28" spans="1:5" ht="12.75">
      <c r="A28" s="67" t="s">
        <v>397</v>
      </c>
      <c r="B28" s="67"/>
      <c r="C28" s="330"/>
      <c r="D28" s="330"/>
      <c r="E28" s="283">
        <f t="shared" si="1"/>
        <v>0</v>
      </c>
    </row>
    <row r="29" spans="1:5" ht="12.75">
      <c r="A29" s="67" t="s">
        <v>398</v>
      </c>
      <c r="B29" s="67"/>
      <c r="C29" s="330"/>
      <c r="D29" s="330"/>
      <c r="E29" s="283">
        <f t="shared" si="1"/>
        <v>0</v>
      </c>
    </row>
    <row r="30" spans="1:5" ht="12.75">
      <c r="A30" s="67" t="s">
        <v>385</v>
      </c>
      <c r="B30" s="67"/>
      <c r="C30" s="330">
        <v>190913</v>
      </c>
      <c r="D30" s="330"/>
      <c r="E30" s="283">
        <f t="shared" si="1"/>
        <v>190913</v>
      </c>
    </row>
    <row r="31" spans="1:5" ht="12.75">
      <c r="A31" s="67" t="s">
        <v>385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211</v>
      </c>
      <c r="C34" s="28"/>
      <c r="D34" s="28"/>
      <c r="E34" s="313"/>
    </row>
    <row r="35" spans="1:5" ht="12.75">
      <c r="A35" s="2" t="s">
        <v>261</v>
      </c>
      <c r="C35" s="283">
        <f>SUM(C25:C33)</f>
        <v>190913</v>
      </c>
      <c r="D35" s="283">
        <f>SUM(D25:D33)</f>
        <v>0</v>
      </c>
      <c r="E35" s="283">
        <f>SUM(E25:E33)</f>
        <v>190913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388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381</v>
      </c>
      <c r="B43" s="67"/>
      <c r="C43" s="330"/>
      <c r="D43" s="330"/>
      <c r="E43" s="283">
        <f t="shared" si="2"/>
        <v>0</v>
      </c>
    </row>
    <row r="44" spans="1:5" ht="12.75">
      <c r="A44" s="67" t="s">
        <v>382</v>
      </c>
      <c r="B44" s="67"/>
      <c r="C44" s="330"/>
      <c r="D44" s="330"/>
      <c r="E44" s="283">
        <f t="shared" si="2"/>
        <v>0</v>
      </c>
    </row>
    <row r="45" spans="1:5" ht="12.75">
      <c r="A45" s="67" t="s">
        <v>383</v>
      </c>
      <c r="B45" s="67"/>
      <c r="C45" s="330"/>
      <c r="D45" s="330"/>
      <c r="E45" s="283">
        <f t="shared" si="2"/>
        <v>0</v>
      </c>
    </row>
    <row r="46" spans="1:5" ht="12.75">
      <c r="A46" s="67" t="s">
        <v>384</v>
      </c>
      <c r="B46" s="67"/>
      <c r="C46" s="330"/>
      <c r="D46" s="330"/>
      <c r="E46" s="283">
        <f t="shared" si="2"/>
        <v>0</v>
      </c>
    </row>
    <row r="47" spans="1:5" ht="12.75">
      <c r="A47" s="67" t="s">
        <v>385</v>
      </c>
      <c r="B47" s="67"/>
      <c r="C47" s="330"/>
      <c r="D47" s="330"/>
      <c r="E47" s="283">
        <f t="shared" si="2"/>
        <v>0</v>
      </c>
    </row>
    <row r="48" spans="1:5" ht="12.75">
      <c r="A48" s="67" t="s">
        <v>385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261</v>
      </c>
      <c r="C50" s="283">
        <f>SUM(C41:C49)</f>
        <v>0</v>
      </c>
      <c r="D50" s="283">
        <f>SUM(D41:D49)</f>
        <v>0</v>
      </c>
      <c r="E50" s="283">
        <f>SUM(E41:E49)</f>
        <v>0</v>
      </c>
    </row>
    <row r="51" spans="3:5" ht="12.75">
      <c r="C51" s="28"/>
      <c r="D51" s="28"/>
      <c r="E51" s="28"/>
    </row>
    <row r="52" spans="1:5" ht="12.75">
      <c r="A52" s="279" t="s">
        <v>387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381</v>
      </c>
      <c r="B55" s="67"/>
      <c r="C55" s="330"/>
      <c r="D55" s="330"/>
      <c r="E55" s="283">
        <f t="shared" si="3"/>
        <v>0</v>
      </c>
    </row>
    <row r="56" spans="1:5" ht="12.75">
      <c r="A56" s="278" t="s">
        <v>382</v>
      </c>
      <c r="B56" s="67"/>
      <c r="C56" s="330"/>
      <c r="D56" s="330"/>
      <c r="E56" s="283">
        <f t="shared" si="3"/>
        <v>0</v>
      </c>
    </row>
    <row r="57" spans="1:5" ht="12.75">
      <c r="A57" s="278" t="s">
        <v>383</v>
      </c>
      <c r="B57" s="67"/>
      <c r="C57" s="330"/>
      <c r="D57" s="330"/>
      <c r="E57" s="283">
        <f t="shared" si="3"/>
        <v>0</v>
      </c>
    </row>
    <row r="58" spans="1:5" ht="12.75">
      <c r="A58" s="278" t="s">
        <v>384</v>
      </c>
      <c r="B58" s="67"/>
      <c r="C58" s="330"/>
      <c r="D58" s="330"/>
      <c r="E58" s="283">
        <f t="shared" si="3"/>
        <v>0</v>
      </c>
    </row>
    <row r="59" spans="1:5" ht="12.75">
      <c r="A59" s="67" t="s">
        <v>385</v>
      </c>
      <c r="B59" s="67"/>
      <c r="C59" s="330"/>
      <c r="D59" s="330"/>
      <c r="E59" s="283">
        <f t="shared" si="3"/>
        <v>0</v>
      </c>
    </row>
    <row r="60" spans="1:5" ht="12.75">
      <c r="A60" s="67" t="s">
        <v>385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211</v>
      </c>
      <c r="C62" s="28"/>
      <c r="D62" s="28"/>
      <c r="E62" s="313"/>
    </row>
    <row r="63" spans="1:5" ht="12.75">
      <c r="A63" s="2" t="s">
        <v>261</v>
      </c>
      <c r="C63" s="283">
        <f>SUM(C53:C61)</f>
        <v>0</v>
      </c>
      <c r="D63" s="283">
        <f>SUM(D53:D61)</f>
        <v>0</v>
      </c>
      <c r="E63" s="283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6" sqref="D4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0" t="s">
        <v>633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8" t="str">
        <f>REGINFO!A3</f>
        <v>Utility Name:  COLLUS Power Corp</v>
      </c>
      <c r="B8" s="26"/>
      <c r="C8" s="31"/>
      <c r="D8" s="31"/>
      <c r="E8" s="31"/>
      <c r="F8" s="26"/>
    </row>
    <row r="9" spans="1:6" ht="12.75">
      <c r="A9" s="528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5">
        <f>TAXREC!C13</f>
        <v>16919.5975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31">
        <v>-9750</v>
      </c>
      <c r="D15" s="331"/>
      <c r="E15" s="360">
        <f>C15-D15</f>
        <v>-9750</v>
      </c>
    </row>
    <row r="16" spans="1:5" ht="12.75">
      <c r="A16" s="78" t="s">
        <v>363</v>
      </c>
      <c r="B16" t="s">
        <v>272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31"/>
      <c r="D17" s="331"/>
      <c r="E17" s="360">
        <f t="shared" si="0"/>
        <v>0</v>
      </c>
    </row>
    <row r="18" spans="1:5" ht="12.75">
      <c r="A18" s="78" t="s">
        <v>213</v>
      </c>
      <c r="B18" t="s">
        <v>272</v>
      </c>
      <c r="C18" s="331"/>
      <c r="D18" s="361"/>
      <c r="E18" s="360">
        <f t="shared" si="0"/>
        <v>0</v>
      </c>
    </row>
    <row r="19" spans="1:5" ht="12.75">
      <c r="A19" s="78" t="s">
        <v>214</v>
      </c>
      <c r="B19" t="s">
        <v>272</v>
      </c>
      <c r="C19" s="331"/>
      <c r="D19" s="331"/>
      <c r="E19" s="360">
        <f t="shared" si="0"/>
        <v>0</v>
      </c>
    </row>
    <row r="20" spans="1:5" ht="12.75">
      <c r="A20" s="78" t="s">
        <v>215</v>
      </c>
      <c r="B20" t="s">
        <v>272</v>
      </c>
      <c r="C20" s="331"/>
      <c r="D20" s="331"/>
      <c r="E20" s="360">
        <f t="shared" si="0"/>
        <v>0</v>
      </c>
    </row>
    <row r="21" spans="1:5" ht="12.75">
      <c r="A21" s="78" t="s">
        <v>24</v>
      </c>
      <c r="B21" t="s">
        <v>272</v>
      </c>
      <c r="C21" s="331"/>
      <c r="D21" s="331"/>
      <c r="E21" s="360">
        <f t="shared" si="0"/>
        <v>0</v>
      </c>
    </row>
    <row r="22" spans="1:5" ht="12.75">
      <c r="A22" s="78" t="s">
        <v>216</v>
      </c>
      <c r="B22" t="s">
        <v>272</v>
      </c>
      <c r="C22" s="331"/>
      <c r="D22" s="331"/>
      <c r="E22" s="360">
        <f t="shared" si="0"/>
        <v>0</v>
      </c>
    </row>
    <row r="23" spans="1:5" ht="12.75">
      <c r="A23" s="78" t="s">
        <v>217</v>
      </c>
      <c r="B23" t="s">
        <v>272</v>
      </c>
      <c r="C23" s="331"/>
      <c r="D23" s="331"/>
      <c r="E23" s="360">
        <f t="shared" si="0"/>
        <v>0</v>
      </c>
    </row>
    <row r="24" spans="1:5" ht="12.75">
      <c r="A24" s="78" t="s">
        <v>218</v>
      </c>
      <c r="B24" t="s">
        <v>272</v>
      </c>
      <c r="C24" s="331"/>
      <c r="D24" s="331"/>
      <c r="E24" s="360">
        <f t="shared" si="0"/>
        <v>0</v>
      </c>
    </row>
    <row r="25" spans="1:5" ht="12.75">
      <c r="A25" s="78" t="s">
        <v>25</v>
      </c>
      <c r="B25" t="s">
        <v>272</v>
      </c>
      <c r="C25" s="331"/>
      <c r="D25" s="331"/>
      <c r="E25" s="360">
        <f t="shared" si="0"/>
        <v>0</v>
      </c>
    </row>
    <row r="26" spans="1:5" ht="12.75">
      <c r="A26" s="78" t="s">
        <v>219</v>
      </c>
      <c r="B26" t="s">
        <v>272</v>
      </c>
      <c r="C26" s="331"/>
      <c r="D26" s="331"/>
      <c r="E26" s="360">
        <f t="shared" si="0"/>
        <v>0</v>
      </c>
    </row>
    <row r="27" spans="1:5" ht="12.75">
      <c r="A27" s="78" t="s">
        <v>220</v>
      </c>
      <c r="B27" t="s">
        <v>272</v>
      </c>
      <c r="C27" s="331"/>
      <c r="D27" s="331"/>
      <c r="E27" s="360">
        <f t="shared" si="0"/>
        <v>0</v>
      </c>
    </row>
    <row r="28" spans="1:5" ht="12.75">
      <c r="A28" s="78" t="s">
        <v>364</v>
      </c>
      <c r="B28" t="s">
        <v>272</v>
      </c>
      <c r="C28" s="331"/>
      <c r="D28" s="331"/>
      <c r="E28" s="360">
        <f t="shared" si="0"/>
        <v>0</v>
      </c>
    </row>
    <row r="29" spans="1:5" ht="12.75">
      <c r="A29" s="78" t="s">
        <v>290</v>
      </c>
      <c r="B29" t="s">
        <v>272</v>
      </c>
      <c r="C29" s="331"/>
      <c r="D29" s="331"/>
      <c r="E29" s="360">
        <f t="shared" si="0"/>
        <v>0</v>
      </c>
    </row>
    <row r="30" spans="1:5" ht="12.75">
      <c r="A30" s="78" t="s">
        <v>414</v>
      </c>
      <c r="B30" t="s">
        <v>272</v>
      </c>
      <c r="C30" s="331">
        <v>947</v>
      </c>
      <c r="D30" s="331"/>
      <c r="E30" s="360">
        <f t="shared" si="0"/>
        <v>947</v>
      </c>
    </row>
    <row r="31" spans="1:5" ht="12.75">
      <c r="A31" s="78" t="s">
        <v>291</v>
      </c>
      <c r="B31" t="s">
        <v>272</v>
      </c>
      <c r="C31" s="331"/>
      <c r="D31" s="331"/>
      <c r="E31" s="360">
        <f t="shared" si="0"/>
        <v>0</v>
      </c>
    </row>
    <row r="32" spans="1:5" ht="12.75">
      <c r="A32" s="78" t="s">
        <v>23</v>
      </c>
      <c r="B32" t="s">
        <v>272</v>
      </c>
      <c r="C32" s="331"/>
      <c r="D32" s="331"/>
      <c r="E32" s="360">
        <f t="shared" si="0"/>
        <v>0</v>
      </c>
    </row>
    <row r="33" spans="1:5" ht="12.75">
      <c r="A33" s="78" t="s">
        <v>203</v>
      </c>
      <c r="B33" t="s">
        <v>272</v>
      </c>
      <c r="C33" s="331"/>
      <c r="D33" s="331"/>
      <c r="E33" s="360">
        <f t="shared" si="0"/>
        <v>0</v>
      </c>
    </row>
    <row r="34" spans="1:5" ht="12.75">
      <c r="A34" s="78" t="s">
        <v>204</v>
      </c>
      <c r="B34" t="s">
        <v>272</v>
      </c>
      <c r="C34" s="331"/>
      <c r="D34" s="331"/>
      <c r="E34" s="360">
        <f t="shared" si="0"/>
        <v>0</v>
      </c>
    </row>
    <row r="35" spans="1:5" ht="12.75">
      <c r="A35" s="78" t="s">
        <v>292</v>
      </c>
      <c r="B35" t="s">
        <v>272</v>
      </c>
      <c r="C35" s="331"/>
      <c r="D35" s="331"/>
      <c r="E35" s="360">
        <f t="shared" si="0"/>
        <v>0</v>
      </c>
    </row>
    <row r="36" spans="1:5" ht="12.75">
      <c r="A36" s="78" t="s">
        <v>221</v>
      </c>
      <c r="B36" t="s">
        <v>272</v>
      </c>
      <c r="C36" s="331"/>
      <c r="D36" s="331"/>
      <c r="E36" s="283">
        <f t="shared" si="0"/>
        <v>0</v>
      </c>
    </row>
    <row r="37" spans="1:5" ht="12.75">
      <c r="A37" s="78" t="s">
        <v>222</v>
      </c>
      <c r="B37" t="s">
        <v>272</v>
      </c>
      <c r="C37" s="331"/>
      <c r="D37" s="331"/>
      <c r="E37" s="283">
        <f t="shared" si="0"/>
        <v>0</v>
      </c>
    </row>
    <row r="38" spans="1:5" ht="12.75">
      <c r="A38" s="78" t="s">
        <v>365</v>
      </c>
      <c r="B38" t="s">
        <v>272</v>
      </c>
      <c r="C38" s="331"/>
      <c r="D38" s="331"/>
      <c r="E38" s="283">
        <f t="shared" si="0"/>
        <v>0</v>
      </c>
    </row>
    <row r="39" spans="1:5" ht="12.75">
      <c r="A39" s="78" t="s">
        <v>223</v>
      </c>
      <c r="B39" t="s">
        <v>272</v>
      </c>
      <c r="C39" s="331"/>
      <c r="D39" s="331"/>
      <c r="E39" s="283">
        <f t="shared" si="0"/>
        <v>0</v>
      </c>
    </row>
    <row r="40" spans="1:5" ht="12.75">
      <c r="A40" s="78" t="s">
        <v>224</v>
      </c>
      <c r="B40" t="s">
        <v>272</v>
      </c>
      <c r="C40" s="331"/>
      <c r="D40" s="331"/>
      <c r="E40" s="283">
        <f t="shared" si="0"/>
        <v>0</v>
      </c>
    </row>
    <row r="41" spans="1:5" ht="12.75">
      <c r="A41" s="78" t="s">
        <v>225</v>
      </c>
      <c r="B41" t="s">
        <v>272</v>
      </c>
      <c r="C41" s="330"/>
      <c r="D41" s="331"/>
      <c r="E41" s="283">
        <f t="shared" si="0"/>
        <v>0</v>
      </c>
    </row>
    <row r="42" spans="1:5" ht="12.75">
      <c r="A42" s="78" t="s">
        <v>293</v>
      </c>
      <c r="B42" t="s">
        <v>272</v>
      </c>
      <c r="C42" s="330"/>
      <c r="D42" s="331"/>
      <c r="E42" s="283">
        <f t="shared" si="0"/>
        <v>0</v>
      </c>
    </row>
    <row r="43" spans="1:5" ht="12.75">
      <c r="A43" s="79" t="s">
        <v>304</v>
      </c>
      <c r="B43" t="s">
        <v>272</v>
      </c>
      <c r="C43" s="330"/>
      <c r="D43" s="330"/>
      <c r="E43" s="283">
        <f t="shared" si="0"/>
        <v>0</v>
      </c>
    </row>
    <row r="44" spans="1:5" ht="12.75">
      <c r="A44" s="78" t="s">
        <v>415</v>
      </c>
      <c r="B44" t="s">
        <v>272</v>
      </c>
      <c r="C44" s="330"/>
      <c r="D44" s="330"/>
      <c r="E44" s="283">
        <f t="shared" si="0"/>
        <v>0</v>
      </c>
    </row>
    <row r="45" spans="1:5" ht="12.75">
      <c r="A45" s="78" t="s">
        <v>641</v>
      </c>
      <c r="B45" t="s">
        <v>272</v>
      </c>
      <c r="C45" s="330">
        <v>37333</v>
      </c>
      <c r="D45" s="330"/>
      <c r="E45" s="283">
        <f t="shared" si="0"/>
        <v>37333</v>
      </c>
    </row>
    <row r="46" spans="1:5" ht="12.75">
      <c r="A46" s="78"/>
      <c r="B46" t="s">
        <v>272</v>
      </c>
      <c r="C46" s="330"/>
      <c r="D46" s="330"/>
      <c r="E46" s="283">
        <f t="shared" si="0"/>
        <v>0</v>
      </c>
    </row>
    <row r="47" spans="1:5" ht="12.75">
      <c r="A47" s="78" t="s">
        <v>625</v>
      </c>
      <c r="B47" t="s">
        <v>272</v>
      </c>
      <c r="C47" s="330"/>
      <c r="D47" s="330"/>
      <c r="E47" s="283">
        <f t="shared" si="0"/>
        <v>0</v>
      </c>
    </row>
    <row r="48" spans="1:5" ht="12.75">
      <c r="A48" s="78"/>
      <c r="B48" t="s">
        <v>272</v>
      </c>
      <c r="C48" s="330"/>
      <c r="D48" s="330"/>
      <c r="E48" s="283">
        <f t="shared" si="0"/>
        <v>0</v>
      </c>
    </row>
    <row r="49" spans="1:5" ht="12.75">
      <c r="A49" s="78"/>
      <c r="B49" t="s">
        <v>272</v>
      </c>
      <c r="C49" s="330"/>
      <c r="D49" s="330"/>
      <c r="E49" s="283">
        <f t="shared" si="0"/>
        <v>0</v>
      </c>
    </row>
    <row r="50" spans="1:5" ht="12.75">
      <c r="A50" s="78"/>
      <c r="B50" t="s">
        <v>272</v>
      </c>
      <c r="C50" s="330"/>
      <c r="D50" s="330"/>
      <c r="E50" s="283">
        <f t="shared" si="0"/>
        <v>0</v>
      </c>
    </row>
    <row r="51" spans="1:5" ht="12.75">
      <c r="A51" s="78"/>
      <c r="B51" t="s">
        <v>272</v>
      </c>
      <c r="C51" s="330"/>
      <c r="D51" s="330"/>
      <c r="E51" s="283">
        <f t="shared" si="0"/>
        <v>0</v>
      </c>
    </row>
    <row r="52" spans="1:5" ht="12.75">
      <c r="A52" s="78"/>
      <c r="B52" t="s">
        <v>272</v>
      </c>
      <c r="C52" s="330"/>
      <c r="D52" s="330"/>
      <c r="E52" s="283">
        <f t="shared" si="0"/>
        <v>0</v>
      </c>
    </row>
    <row r="53" spans="1:5" ht="12.75">
      <c r="A53" s="78"/>
      <c r="B53" t="s">
        <v>272</v>
      </c>
      <c r="C53" s="330"/>
      <c r="D53" s="330"/>
      <c r="E53" s="313"/>
    </row>
    <row r="54" spans="1:5" ht="12.75">
      <c r="A54" s="81" t="s">
        <v>251</v>
      </c>
      <c r="B54" t="s">
        <v>275</v>
      </c>
      <c r="C54" s="283">
        <f>SUM(C15:C53)</f>
        <v>28530</v>
      </c>
      <c r="D54" s="283">
        <f>SUM(D15:D53)</f>
        <v>0</v>
      </c>
      <c r="E54" s="283">
        <f>SUM(E15:E53)</f>
        <v>28530</v>
      </c>
    </row>
    <row r="55" ht="12.75">
      <c r="A55" s="78"/>
    </row>
    <row r="56" ht="12.75">
      <c r="A56" s="78" t="s">
        <v>253</v>
      </c>
    </row>
    <row r="57" spans="1:5" ht="12.75">
      <c r="A57" s="308" t="str">
        <f aca="true" t="shared" si="1" ref="A57:A71">IF($E15&gt;$C$11,A15," ")</f>
        <v> </v>
      </c>
      <c r="B57" s="306"/>
      <c r="C57" s="283">
        <f aca="true" t="shared" si="2" ref="C57:E71">IF($E15&gt;$C$11,C15,)</f>
        <v>0</v>
      </c>
      <c r="D57" s="283">
        <f t="shared" si="2"/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 </v>
      </c>
      <c r="B62" s="306"/>
      <c r="C62" s="283">
        <f t="shared" si="2"/>
        <v>0</v>
      </c>
      <c r="D62" s="283">
        <f t="shared" si="2"/>
        <v>0</v>
      </c>
      <c r="E62" s="283">
        <f t="shared" si="2"/>
        <v>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Amortization in other expenses</v>
      </c>
      <c r="B86" s="306"/>
      <c r="C86" s="283">
        <f t="shared" si="5"/>
        <v>37333</v>
      </c>
      <c r="D86" s="283">
        <f t="shared" si="5"/>
        <v>0</v>
      </c>
      <c r="E86" s="283">
        <f t="shared" si="5"/>
        <v>37333</v>
      </c>
    </row>
    <row r="87" spans="1:5" ht="12.75">
      <c r="A87" s="308" t="str">
        <f t="shared" si="3"/>
        <v> </v>
      </c>
      <c r="B87" s="306"/>
      <c r="C87" s="283">
        <f t="shared" si="5"/>
        <v>0</v>
      </c>
      <c r="D87" s="283">
        <f t="shared" si="5"/>
        <v>0</v>
      </c>
      <c r="E87" s="283">
        <f t="shared" si="5"/>
        <v>0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226</v>
      </c>
      <c r="B95" s="306"/>
      <c r="C95" s="283">
        <f>SUM(C57:C93)</f>
        <v>37333</v>
      </c>
      <c r="D95" s="283">
        <f>SUM(D57:D93)</f>
        <v>0</v>
      </c>
      <c r="E95" s="283">
        <f>SUM(E57:E93)</f>
        <v>37333</v>
      </c>
    </row>
    <row r="96" spans="1:5" ht="12.75">
      <c r="A96" s="310" t="s">
        <v>303</v>
      </c>
      <c r="B96" s="311"/>
      <c r="C96" s="362">
        <f>C54-C95</f>
        <v>-8803</v>
      </c>
      <c r="D96" s="362">
        <f>D54-D95</f>
        <v>0</v>
      </c>
      <c r="E96" s="362">
        <f>E54-E95</f>
        <v>-8803</v>
      </c>
    </row>
    <row r="97" spans="1:5" ht="12.75">
      <c r="A97" s="310" t="s">
        <v>251</v>
      </c>
      <c r="B97" s="311"/>
      <c r="C97" s="362">
        <f>C95+C96</f>
        <v>28530</v>
      </c>
      <c r="D97" s="362">
        <f>D95+D96</f>
        <v>0</v>
      </c>
      <c r="E97" s="362">
        <f>E95+E96</f>
        <v>28530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30">
        <v>2015</v>
      </c>
      <c r="D100" s="330"/>
      <c r="E100" s="283">
        <f>C100-D100</f>
        <v>2015</v>
      </c>
    </row>
    <row r="101" spans="1:5" ht="12.75">
      <c r="A101" s="82" t="s">
        <v>233</v>
      </c>
      <c r="B101" s="8" t="s">
        <v>273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30"/>
      <c r="D102" s="330"/>
      <c r="E102" s="283">
        <f t="shared" si="7"/>
        <v>0</v>
      </c>
    </row>
    <row r="103" spans="1:5" ht="12.75">
      <c r="A103" s="82" t="s">
        <v>366</v>
      </c>
      <c r="B103" s="8" t="s">
        <v>273</v>
      </c>
      <c r="C103" s="330"/>
      <c r="D103" s="330"/>
      <c r="E103" s="283">
        <f t="shared" si="7"/>
        <v>0</v>
      </c>
    </row>
    <row r="104" spans="1:5" ht="12.75">
      <c r="A104" s="78" t="s">
        <v>294</v>
      </c>
      <c r="B104" s="8" t="s">
        <v>273</v>
      </c>
      <c r="C104" s="330"/>
      <c r="D104" s="330"/>
      <c r="E104" s="283">
        <f t="shared" si="7"/>
        <v>0</v>
      </c>
    </row>
    <row r="105" spans="1:5" ht="12.75">
      <c r="A105" s="78" t="s">
        <v>491</v>
      </c>
      <c r="B105" s="8" t="s">
        <v>273</v>
      </c>
      <c r="C105" s="330"/>
      <c r="D105" s="330"/>
      <c r="E105" s="283">
        <f t="shared" si="7"/>
        <v>0</v>
      </c>
    </row>
    <row r="106" spans="1:5" ht="12.75">
      <c r="A106" s="78" t="s">
        <v>295</v>
      </c>
      <c r="B106" s="8" t="s">
        <v>273</v>
      </c>
      <c r="C106" s="330"/>
      <c r="D106" s="330"/>
      <c r="E106" s="283">
        <f t="shared" si="7"/>
        <v>0</v>
      </c>
    </row>
    <row r="107" spans="1:5" ht="12.75">
      <c r="A107" s="78" t="s">
        <v>248</v>
      </c>
      <c r="B107" s="8" t="s">
        <v>273</v>
      </c>
      <c r="C107" s="330"/>
      <c r="D107" s="330"/>
      <c r="E107" s="283">
        <f t="shared" si="7"/>
        <v>0</v>
      </c>
    </row>
    <row r="108" spans="1:5" ht="12.75">
      <c r="A108" s="78" t="s">
        <v>249</v>
      </c>
      <c r="B108" s="8" t="s">
        <v>273</v>
      </c>
      <c r="C108" s="330"/>
      <c r="D108" s="330"/>
      <c r="E108" s="283">
        <f t="shared" si="7"/>
        <v>0</v>
      </c>
    </row>
    <row r="109" spans="1:5" ht="12.75">
      <c r="A109" s="78" t="s">
        <v>250</v>
      </c>
      <c r="B109" s="8" t="s">
        <v>273</v>
      </c>
      <c r="C109" s="330"/>
      <c r="D109" s="330"/>
      <c r="E109" s="283">
        <f t="shared" si="7"/>
        <v>0</v>
      </c>
    </row>
    <row r="110" spans="1:5" ht="12.75">
      <c r="A110" s="79" t="s">
        <v>305</v>
      </c>
      <c r="B110" s="8" t="s">
        <v>273</v>
      </c>
      <c r="C110" s="330"/>
      <c r="D110" s="330"/>
      <c r="E110" s="283"/>
    </row>
    <row r="111" spans="1:5" ht="12.75">
      <c r="A111" s="78" t="s">
        <v>416</v>
      </c>
      <c r="B111" s="8" t="s">
        <v>273</v>
      </c>
      <c r="C111" s="330"/>
      <c r="D111" s="330"/>
      <c r="E111" s="283">
        <f t="shared" si="7"/>
        <v>0</v>
      </c>
    </row>
    <row r="112" spans="1:5" ht="12.75">
      <c r="A112" s="78" t="s">
        <v>553</v>
      </c>
      <c r="B112" s="8" t="s">
        <v>273</v>
      </c>
      <c r="C112" s="330"/>
      <c r="D112" s="330"/>
      <c r="E112" s="283">
        <f t="shared" si="7"/>
        <v>0</v>
      </c>
    </row>
    <row r="113" spans="1:5" ht="12.75">
      <c r="A113" s="78" t="s">
        <v>554</v>
      </c>
      <c r="B113" s="8" t="s">
        <v>273</v>
      </c>
      <c r="C113" s="330"/>
      <c r="D113" s="330"/>
      <c r="E113" s="283">
        <f t="shared" si="7"/>
        <v>0</v>
      </c>
    </row>
    <row r="114" spans="1:5" ht="12.75">
      <c r="A114" s="78" t="s">
        <v>555</v>
      </c>
      <c r="B114" s="8" t="s">
        <v>273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273</v>
      </c>
      <c r="C115" s="330"/>
      <c r="D115" s="330"/>
      <c r="E115" s="283">
        <f t="shared" si="7"/>
        <v>0</v>
      </c>
    </row>
    <row r="116" spans="1:5" ht="12.75">
      <c r="A116" s="78" t="s">
        <v>626</v>
      </c>
      <c r="B116" s="8" t="s">
        <v>273</v>
      </c>
      <c r="C116" s="330"/>
      <c r="D116" s="330"/>
      <c r="E116" s="283">
        <f t="shared" si="7"/>
        <v>0</v>
      </c>
    </row>
    <row r="117" spans="1:5" ht="12.75">
      <c r="A117" s="78"/>
      <c r="B117" s="8" t="s">
        <v>273</v>
      </c>
      <c r="C117" s="330"/>
      <c r="D117" s="330"/>
      <c r="E117" s="283">
        <f t="shared" si="7"/>
        <v>0</v>
      </c>
    </row>
    <row r="118" spans="1:5" ht="12.75">
      <c r="A118" s="78"/>
      <c r="B118" s="8" t="s">
        <v>273</v>
      </c>
      <c r="C118" s="330"/>
      <c r="D118" s="330"/>
      <c r="E118" s="283">
        <f t="shared" si="7"/>
        <v>0</v>
      </c>
    </row>
    <row r="119" spans="1:5" ht="12.75">
      <c r="A119" s="78"/>
      <c r="B119" s="8" t="s">
        <v>273</v>
      </c>
      <c r="C119" s="330"/>
      <c r="D119" s="330"/>
      <c r="E119" s="283">
        <f t="shared" si="7"/>
        <v>0</v>
      </c>
    </row>
    <row r="120" spans="1:5" ht="12.75">
      <c r="A120" s="78"/>
      <c r="B120" s="8" t="s">
        <v>273</v>
      </c>
      <c r="C120" s="330"/>
      <c r="D120" s="330"/>
      <c r="E120" s="283">
        <f t="shared" si="7"/>
        <v>0</v>
      </c>
    </row>
    <row r="121" spans="1:5" ht="12.75">
      <c r="A121" s="78" t="s">
        <v>252</v>
      </c>
      <c r="B121" s="8" t="s">
        <v>275</v>
      </c>
      <c r="C121" s="283">
        <f>SUM(C100:C120)</f>
        <v>2015</v>
      </c>
      <c r="D121" s="283">
        <f>SUM(D100:D120)</f>
        <v>0</v>
      </c>
      <c r="E121" s="283">
        <f>SUM(E100:E120)</f>
        <v>2015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 </v>
      </c>
      <c r="B142" s="306"/>
      <c r="C142" s="283">
        <f t="shared" si="8"/>
        <v>0</v>
      </c>
      <c r="D142" s="283">
        <f t="shared" si="8"/>
        <v>0</v>
      </c>
      <c r="E142" s="283">
        <f t="shared" si="8"/>
        <v>0</v>
      </c>
    </row>
    <row r="143" spans="1:5" ht="12.75">
      <c r="A143" s="308" t="str">
        <f t="shared" si="9"/>
        <v> </v>
      </c>
      <c r="B143" s="306"/>
      <c r="C143" s="283">
        <f t="shared" si="8"/>
        <v>0</v>
      </c>
      <c r="D143" s="283">
        <f t="shared" si="8"/>
        <v>0</v>
      </c>
      <c r="E143" s="283">
        <f t="shared" si="8"/>
        <v>0</v>
      </c>
    </row>
    <row r="144" spans="1:5" ht="12.75">
      <c r="A144" s="308" t="str">
        <f t="shared" si="9"/>
        <v> </v>
      </c>
      <c r="B144" s="306"/>
      <c r="C144" s="283">
        <f aca="true" t="shared" si="10" ref="C144:E145">IF($E119&gt;$C$11,C119,)</f>
        <v>0</v>
      </c>
      <c r="D144" s="283">
        <f t="shared" si="10"/>
        <v>0</v>
      </c>
      <c r="E144" s="283">
        <f t="shared" si="10"/>
        <v>0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302</v>
      </c>
      <c r="B146" s="306"/>
      <c r="C146" s="283">
        <f>SUM(C125:C145)</f>
        <v>0</v>
      </c>
      <c r="D146" s="283">
        <f>SUM(D125:D145)</f>
        <v>0</v>
      </c>
      <c r="E146" s="283">
        <f>SUM(E125:E145)</f>
        <v>0</v>
      </c>
    </row>
    <row r="147" spans="1:5" ht="12.75">
      <c r="A147" s="312" t="s">
        <v>301</v>
      </c>
      <c r="B147" s="306"/>
      <c r="C147" s="283">
        <f>C121-C146</f>
        <v>2015</v>
      </c>
      <c r="D147" s="283">
        <f>D121-D146</f>
        <v>0</v>
      </c>
      <c r="E147" s="283">
        <f>E121-E146</f>
        <v>2015</v>
      </c>
    </row>
    <row r="148" spans="1:5" ht="12.75">
      <c r="A148" s="312" t="s">
        <v>252</v>
      </c>
      <c r="B148" s="306"/>
      <c r="C148" s="283">
        <f>C146+C147</f>
        <v>2015</v>
      </c>
      <c r="D148" s="283">
        <f>D146+D147</f>
        <v>0</v>
      </c>
      <c r="E148" s="283">
        <f>E146+E147</f>
        <v>2015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E5" sqref="E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186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418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45" t="str">
        <f>REGINFO!A3</f>
        <v>Utility Name:  COLLUS Power Corp</v>
      </c>
      <c r="B4" s="533"/>
      <c r="C4" s="533"/>
      <c r="D4" s="533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45" t="str">
        <f>REGINFO!A4</f>
        <v>Reporting period:   2005</v>
      </c>
      <c r="B5" s="533"/>
      <c r="C5" s="533"/>
      <c r="D5" s="533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447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502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191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8" t="s">
        <v>504</v>
      </c>
      <c r="B10" s="375"/>
      <c r="C10" s="375" t="s">
        <v>190</v>
      </c>
      <c r="D10" s="375"/>
      <c r="E10" s="375" t="s">
        <v>190</v>
      </c>
      <c r="F10" s="376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195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187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409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408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45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374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188</v>
      </c>
      <c r="B18" s="276"/>
      <c r="C18" s="385">
        <v>0.003</v>
      </c>
      <c r="D18" s="539" t="s">
        <v>569</v>
      </c>
      <c r="E18" s="540"/>
      <c r="F18" s="541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189</v>
      </c>
      <c r="B19" s="261"/>
      <c r="C19" s="386">
        <v>0.00175</v>
      </c>
      <c r="D19" s="539" t="s">
        <v>570</v>
      </c>
      <c r="E19" s="540"/>
      <c r="F19" s="541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192</v>
      </c>
      <c r="B20" s="261"/>
      <c r="C20" s="387">
        <v>0.0112</v>
      </c>
      <c r="D20" s="544" t="s">
        <v>571</v>
      </c>
      <c r="E20" s="540"/>
      <c r="F20" s="541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440</v>
      </c>
      <c r="B21" s="456" t="s">
        <v>503</v>
      </c>
      <c r="C21" s="410">
        <v>7500000</v>
      </c>
      <c r="D21" s="534" t="s">
        <v>572</v>
      </c>
      <c r="E21" s="535"/>
      <c r="F21" s="536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441</v>
      </c>
      <c r="B22" s="457" t="s">
        <v>421</v>
      </c>
      <c r="C22" s="411">
        <v>50000000</v>
      </c>
      <c r="D22" s="534" t="s">
        <v>573</v>
      </c>
      <c r="E22" s="535"/>
      <c r="F22" s="536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37" t="s">
        <v>505</v>
      </c>
      <c r="B23" s="538"/>
      <c r="C23" s="538"/>
      <c r="D23" s="538"/>
      <c r="E23" s="538"/>
      <c r="F23" s="538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498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191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8" t="s">
        <v>499</v>
      </c>
      <c r="B28" s="375"/>
      <c r="C28" s="423" t="s">
        <v>190</v>
      </c>
      <c r="D28" s="423" t="s">
        <v>190</v>
      </c>
      <c r="E28" s="423" t="s">
        <v>190</v>
      </c>
      <c r="F28" s="424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195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187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194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408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45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374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188</v>
      </c>
      <c r="B36" s="276"/>
      <c r="C36" s="385">
        <v>0.003</v>
      </c>
      <c r="D36" s="539" t="s">
        <v>564</v>
      </c>
      <c r="E36" s="540"/>
      <c r="F36" s="541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189</v>
      </c>
      <c r="B37" s="261"/>
      <c r="C37" s="386">
        <v>0.00175</v>
      </c>
      <c r="D37" s="539" t="s">
        <v>565</v>
      </c>
      <c r="E37" s="540"/>
      <c r="F37" s="541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192</v>
      </c>
      <c r="B38" s="261"/>
      <c r="C38" s="387">
        <v>0.0112</v>
      </c>
      <c r="D38" s="544" t="s">
        <v>566</v>
      </c>
      <c r="E38" s="540"/>
      <c r="F38" s="541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444</v>
      </c>
      <c r="B39" s="458" t="s">
        <v>501</v>
      </c>
      <c r="C39" s="410">
        <v>7500000</v>
      </c>
      <c r="D39" s="534" t="s">
        <v>567</v>
      </c>
      <c r="E39" s="535"/>
      <c r="F39" s="536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445</v>
      </c>
      <c r="B40" s="457" t="s">
        <v>421</v>
      </c>
      <c r="C40" s="411">
        <v>50000000</v>
      </c>
      <c r="D40" s="534" t="s">
        <v>568</v>
      </c>
      <c r="E40" s="535"/>
      <c r="F40" s="536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46" t="s">
        <v>443</v>
      </c>
      <c r="B41" s="547"/>
      <c r="C41" s="547"/>
      <c r="D41" s="547"/>
      <c r="E41" s="547"/>
      <c r="F41" s="547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48"/>
      <c r="B42" s="548"/>
      <c r="C42" s="548"/>
      <c r="D42" s="548"/>
      <c r="E42" s="548"/>
      <c r="F42" s="548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500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191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8"/>
      <c r="B46" s="375"/>
      <c r="C46" s="416" t="s">
        <v>190</v>
      </c>
      <c r="D46" s="416" t="s">
        <v>190</v>
      </c>
      <c r="E46" s="416" t="s">
        <v>190</v>
      </c>
      <c r="F46" s="417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195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187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194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408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45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374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188</v>
      </c>
      <c r="B54" s="276"/>
      <c r="C54" s="407">
        <v>0.003</v>
      </c>
      <c r="D54" s="539" t="s">
        <v>561</v>
      </c>
      <c r="E54" s="540"/>
      <c r="F54" s="541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189</v>
      </c>
      <c r="B55" s="261"/>
      <c r="C55" s="408">
        <v>0.00175</v>
      </c>
      <c r="D55" s="539" t="s">
        <v>562</v>
      </c>
      <c r="E55" s="540"/>
      <c r="F55" s="541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192</v>
      </c>
      <c r="B56" s="261"/>
      <c r="C56" s="409">
        <v>0.0112</v>
      </c>
      <c r="D56" s="544" t="s">
        <v>563</v>
      </c>
      <c r="E56" s="540"/>
      <c r="F56" s="541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456</v>
      </c>
      <c r="B57" s="458" t="s">
        <v>501</v>
      </c>
      <c r="C57" s="410">
        <v>7500000</v>
      </c>
      <c r="D57" s="534" t="s">
        <v>559</v>
      </c>
      <c r="E57" s="535"/>
      <c r="F57" s="536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457</v>
      </c>
      <c r="B58" s="457" t="s">
        <v>421</v>
      </c>
      <c r="C58" s="411">
        <v>50000000</v>
      </c>
      <c r="D58" s="534" t="s">
        <v>560</v>
      </c>
      <c r="E58" s="535"/>
      <c r="F58" s="536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37" t="s">
        <v>599</v>
      </c>
      <c r="B59" s="542"/>
      <c r="C59" s="542"/>
      <c r="D59" s="542"/>
      <c r="E59" s="542"/>
      <c r="F59" s="542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3"/>
      <c r="B60" s="543"/>
      <c r="C60" s="543"/>
      <c r="D60" s="543"/>
      <c r="E60" s="543"/>
      <c r="F60" s="543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49" t="str">
        <f>REGINFO!A3</f>
        <v>Utility Name:  COLLUS Power Corp</v>
      </c>
      <c r="B3" s="533"/>
      <c r="C3" s="533"/>
      <c r="O3" s="468" t="str">
        <f>REGINFO!E1</f>
        <v>Version 2005.1</v>
      </c>
    </row>
    <row r="4" spans="1:15" ht="12.75">
      <c r="A4" s="549" t="str">
        <f>REGINFO!A4</f>
        <v>Reporting period:   2005</v>
      </c>
      <c r="B4" s="533"/>
      <c r="C4" s="533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92969</v>
      </c>
      <c r="F11" s="472"/>
      <c r="G11" s="446">
        <f>E21</f>
        <v>134453</v>
      </c>
      <c r="H11" s="472"/>
      <c r="I11" s="446">
        <f>G21</f>
        <v>41966</v>
      </c>
      <c r="J11" s="440"/>
      <c r="K11" s="446">
        <f>I21</f>
        <v>-3619.25</v>
      </c>
      <c r="L11" s="440"/>
      <c r="M11" s="446">
        <f>K21</f>
        <v>137635.35474568966</v>
      </c>
      <c r="N11" s="440"/>
      <c r="O11" s="446">
        <f>C11</f>
        <v>0</v>
      </c>
    </row>
    <row r="12" spans="1:15" ht="27" customHeight="1">
      <c r="A12" s="92" t="s">
        <v>532</v>
      </c>
      <c r="B12" s="75" t="s">
        <v>278</v>
      </c>
      <c r="C12" s="445">
        <v>91859</v>
      </c>
      <c r="D12" s="441"/>
      <c r="E12" s="445">
        <v>321990</v>
      </c>
      <c r="F12" s="107"/>
      <c r="G12" s="471">
        <f>C12+E12</f>
        <v>413849</v>
      </c>
      <c r="H12" s="107"/>
      <c r="I12" s="471">
        <f>(E12/12*9)+(G12/12*3)</f>
        <v>344954.75</v>
      </c>
      <c r="J12" s="441"/>
      <c r="K12" s="471">
        <f>(E12/12*3)+(TAXCALC!C96/12*9)</f>
        <v>310014.60474568966</v>
      </c>
      <c r="L12" s="441"/>
      <c r="M12" s="471">
        <f>TAXCALC!C96/12*4</f>
        <v>102007.60210919542</v>
      </c>
      <c r="N12" s="441"/>
      <c r="O12" s="446">
        <f aca="true" t="shared" si="0" ref="O12:O19">SUM(C12:N12)</f>
        <v>1584674.9568548852</v>
      </c>
    </row>
    <row r="13" spans="1:15" ht="25.5">
      <c r="A13" s="92" t="s">
        <v>530</v>
      </c>
      <c r="B13" s="75" t="s">
        <v>278</v>
      </c>
      <c r="C13" s="445"/>
      <c r="D13" s="441"/>
      <c r="E13" s="445"/>
      <c r="F13" s="107"/>
      <c r="G13" s="445">
        <v>0</v>
      </c>
      <c r="H13" s="107"/>
      <c r="I13" s="445">
        <v>0</v>
      </c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535</v>
      </c>
      <c r="B14" s="75" t="s">
        <v>278</v>
      </c>
      <c r="C14" s="445"/>
      <c r="D14" s="441"/>
      <c r="E14" s="445"/>
      <c r="F14" s="107"/>
      <c r="G14" s="445">
        <v>12303</v>
      </c>
      <c r="H14" s="107"/>
      <c r="I14" s="445">
        <v>32404</v>
      </c>
      <c r="J14" s="441"/>
      <c r="K14" s="445">
        <v>-27891</v>
      </c>
      <c r="L14" s="441"/>
      <c r="M14" s="471">
        <f>TAXCALC!I133</f>
        <v>-64582.19638989169</v>
      </c>
      <c r="N14" s="441"/>
      <c r="O14" s="446">
        <f t="shared" si="0"/>
        <v>-47766.19638989169</v>
      </c>
    </row>
    <row r="15" spans="1:15" ht="27" customHeight="1">
      <c r="A15" s="92" t="s">
        <v>534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>
        <v>0</v>
      </c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536</v>
      </c>
      <c r="B16" s="75" t="s">
        <v>278</v>
      </c>
      <c r="C16" s="445"/>
      <c r="D16" s="441"/>
      <c r="E16" s="445"/>
      <c r="F16" s="107"/>
      <c r="G16" s="445"/>
      <c r="H16" s="107"/>
      <c r="I16" s="445"/>
      <c r="J16" s="441"/>
      <c r="K16" s="445">
        <v>-17555</v>
      </c>
      <c r="L16" s="441"/>
      <c r="M16" s="471">
        <f>TAXCALC!I182</f>
        <v>47899.65976642597</v>
      </c>
      <c r="N16" s="441"/>
      <c r="O16" s="446">
        <f t="shared" si="0"/>
        <v>30344.659766425968</v>
      </c>
    </row>
    <row r="17" spans="1:15" ht="25.5">
      <c r="A17" s="92" t="s">
        <v>531</v>
      </c>
      <c r="B17" s="75" t="s">
        <v>278</v>
      </c>
      <c r="C17" s="445"/>
      <c r="D17" s="441"/>
      <c r="E17" s="445"/>
      <c r="F17" s="107"/>
      <c r="G17" s="445">
        <v>-101436</v>
      </c>
      <c r="H17" s="107"/>
      <c r="I17" s="445">
        <v>-72045</v>
      </c>
      <c r="J17" s="441"/>
      <c r="K17" s="445">
        <v>173481</v>
      </c>
      <c r="L17" s="441"/>
      <c r="M17" s="445"/>
      <c r="N17" s="441"/>
      <c r="O17" s="446">
        <f t="shared" si="0"/>
        <v>0</v>
      </c>
    </row>
    <row r="18" spans="1:15" ht="24" customHeight="1">
      <c r="A18" s="484" t="s">
        <v>545</v>
      </c>
      <c r="B18" s="75" t="s">
        <v>278</v>
      </c>
      <c r="C18" s="445">
        <v>1110</v>
      </c>
      <c r="D18" s="441"/>
      <c r="E18" s="445">
        <v>10513</v>
      </c>
      <c r="F18" s="107"/>
      <c r="G18" s="445">
        <v>7981</v>
      </c>
      <c r="H18" s="107"/>
      <c r="I18" s="445">
        <v>8253</v>
      </c>
      <c r="J18" s="441"/>
      <c r="K18" s="445">
        <v>8113</v>
      </c>
      <c r="L18" s="441"/>
      <c r="M18" s="445">
        <v>5336</v>
      </c>
      <c r="N18" s="441"/>
      <c r="O18" s="446">
        <f t="shared" si="0"/>
        <v>41306</v>
      </c>
    </row>
    <row r="19" spans="1:15" ht="24.75" customHeight="1">
      <c r="A19" s="92" t="s">
        <v>546</v>
      </c>
      <c r="B19" s="75" t="s">
        <v>273</v>
      </c>
      <c r="C19" s="471">
        <v>0</v>
      </c>
      <c r="D19" s="441"/>
      <c r="E19" s="445">
        <v>-291019</v>
      </c>
      <c r="F19" s="107"/>
      <c r="G19" s="445">
        <v>-425184</v>
      </c>
      <c r="H19" s="107"/>
      <c r="I19" s="445">
        <v>-359152</v>
      </c>
      <c r="J19" s="441"/>
      <c r="K19" s="445">
        <v>-304908</v>
      </c>
      <c r="L19" s="441"/>
      <c r="M19" s="445">
        <v>-106689</v>
      </c>
      <c r="N19" s="441"/>
      <c r="O19" s="446">
        <f t="shared" si="0"/>
        <v>-1486952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92969</v>
      </c>
      <c r="D21" s="472"/>
      <c r="E21" s="447">
        <f>SUM(E11:E19)</f>
        <v>134453</v>
      </c>
      <c r="F21" s="472"/>
      <c r="G21" s="447">
        <f>SUM(G11:G19)</f>
        <v>41966</v>
      </c>
      <c r="H21" s="472"/>
      <c r="I21" s="447">
        <f>SUM(I11:I19)</f>
        <v>-3619.25</v>
      </c>
      <c r="J21" s="440"/>
      <c r="K21" s="447">
        <f>SUM(K11:K19)</f>
        <v>137635.35474568966</v>
      </c>
      <c r="L21" s="440"/>
      <c r="M21" s="447">
        <f>SUM(M11:M20)</f>
        <v>121607.42023141938</v>
      </c>
      <c r="N21" s="440"/>
      <c r="O21" s="447">
        <f>SUM(O11:O19)</f>
        <v>121607.42023141962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543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25.5">
      <c r="A27" s="501" t="s">
        <v>4</v>
      </c>
      <c r="B27" s="91"/>
      <c r="C27" s="91"/>
      <c r="D27" s="91"/>
      <c r="E27" s="91"/>
      <c r="F27" s="91"/>
      <c r="G27" s="91"/>
      <c r="H27" s="91"/>
      <c r="I27" s="531" t="s">
        <v>640</v>
      </c>
      <c r="J27" s="498"/>
      <c r="K27" s="498"/>
      <c r="L27" s="498"/>
      <c r="M27" s="498"/>
      <c r="N27" s="498"/>
      <c r="O27" s="498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1" t="s">
        <v>533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473"/>
      <c r="Q29" s="473"/>
      <c r="R29" s="473"/>
      <c r="S29" s="473"/>
    </row>
    <row r="30" spans="1:19" ht="12.75">
      <c r="A30" s="550" t="s">
        <v>610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473"/>
      <c r="Q30" s="473"/>
      <c r="R30" s="473"/>
      <c r="S30" s="473"/>
    </row>
    <row r="31" spans="1:19" ht="12.75">
      <c r="A31" s="550" t="s">
        <v>611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473"/>
      <c r="Q31" s="473"/>
      <c r="R31" s="473"/>
      <c r="S31" s="473"/>
    </row>
    <row r="32" spans="1:19" ht="12.75">
      <c r="A32" s="489" t="s">
        <v>488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489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544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609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612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613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538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614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615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538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537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600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525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521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522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523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526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527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524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50" t="s">
        <v>574</v>
      </c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</row>
    <row r="70" spans="1:15" ht="12.75">
      <c r="A70" s="552" t="s">
        <v>575</v>
      </c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</row>
    <row r="71" spans="1:15" ht="12.75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</row>
    <row r="72" spans="1:15" ht="12.75">
      <c r="A72" s="207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207"/>
      <c r="M72" s="207"/>
      <c r="N72" s="207"/>
      <c r="O72" s="207"/>
    </row>
    <row r="73" spans="1:17" ht="12.7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207"/>
      <c r="O73" s="207"/>
      <c r="P73" s="207"/>
      <c r="Q73" s="207"/>
    </row>
    <row r="74" spans="1:17" ht="12.75">
      <c r="A74" s="207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207"/>
      <c r="O74" s="207"/>
      <c r="P74" s="207"/>
      <c r="Q74" s="207"/>
    </row>
    <row r="75" spans="1:17" ht="12.75">
      <c r="A75" s="207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207"/>
      <c r="O75" s="207"/>
      <c r="P75" s="207"/>
      <c r="Q75" s="207"/>
    </row>
    <row r="76" spans="1:17" ht="12.7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07"/>
      <c r="O76" s="207"/>
      <c r="P76" s="207"/>
      <c r="Q76" s="207"/>
    </row>
    <row r="77" spans="1:17" ht="12.75">
      <c r="A77" s="207"/>
      <c r="B77" s="207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207"/>
      <c r="O77" s="207"/>
      <c r="P77" s="207"/>
      <c r="Q77" s="207"/>
    </row>
    <row r="78" spans="1:17" ht="12.75">
      <c r="A78" s="207"/>
      <c r="B78" s="207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207"/>
      <c r="O78" s="207"/>
      <c r="P78" s="207"/>
      <c r="Q78" s="207"/>
    </row>
    <row r="79" spans="1:17" ht="12.7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207"/>
      <c r="O79" s="207"/>
      <c r="P79" s="207"/>
      <c r="Q79" s="207"/>
    </row>
    <row r="80" spans="1:17" ht="12.75">
      <c r="A80" s="20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207"/>
      <c r="O80" s="207"/>
      <c r="P80" s="207"/>
      <c r="Q80" s="207"/>
    </row>
    <row r="81" spans="1:17" ht="12.75">
      <c r="A81" s="207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207"/>
      <c r="O81" s="207"/>
      <c r="P81" s="207"/>
      <c r="Q81" s="207"/>
    </row>
    <row r="82" spans="1:17" ht="12.75">
      <c r="A82" s="207"/>
      <c r="B82" s="207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07"/>
      <c r="O82" s="207"/>
      <c r="P82" s="207"/>
      <c r="Q82" s="207"/>
    </row>
    <row r="83" spans="1:17" ht="12.75">
      <c r="A83" s="207"/>
      <c r="B83" s="207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07"/>
      <c r="O83" s="207"/>
      <c r="P83" s="207"/>
      <c r="Q83" s="207"/>
    </row>
    <row r="84" spans="1:17" ht="12.75">
      <c r="A84" s="207"/>
      <c r="B84" s="207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207"/>
      <c r="O84" s="207"/>
      <c r="P84" s="207"/>
      <c r="Q84" s="207"/>
    </row>
    <row r="85" spans="1:17" ht="12.75">
      <c r="A85" s="207"/>
      <c r="B85" s="207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207"/>
      <c r="O85" s="207"/>
      <c r="P85" s="207"/>
      <c r="Q85" s="207"/>
    </row>
    <row r="86" spans="1:17" ht="12.75">
      <c r="A86" s="207"/>
      <c r="B86" s="207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207"/>
      <c r="O86" s="207"/>
      <c r="P86" s="207"/>
      <c r="Q86" s="207"/>
    </row>
    <row r="87" spans="1:17" ht="12.75">
      <c r="A87" s="207"/>
      <c r="B87" s="207"/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</row>
    <row r="88" spans="1:17" ht="12.75">
      <c r="A88" s="207"/>
      <c r="B88" s="207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1968503937007874" right="0.2362204724409449" top="0.1968503937007874" bottom="0.2362204724409449" header="0.5118110236220472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627</v>
      </c>
      <c r="C2" s="27" t="s">
        <v>581</v>
      </c>
      <c r="D2" s="8"/>
      <c r="E2" s="27" t="s">
        <v>497</v>
      </c>
    </row>
    <row r="3" spans="2:5" ht="12.75">
      <c r="B3" s="346" t="str">
        <f>REGINFO!A3</f>
        <v>Utility Name:  COLLUS Power Corp</v>
      </c>
      <c r="C3" s="27" t="s">
        <v>582</v>
      </c>
      <c r="D3" s="8"/>
      <c r="E3" s="27" t="s">
        <v>458</v>
      </c>
    </row>
    <row r="4" spans="1:6" ht="13.5" thickBot="1">
      <c r="A4" s="262"/>
      <c r="B4" s="529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20" t="s">
        <v>601</v>
      </c>
      <c r="C6" s="553" t="s">
        <v>634</v>
      </c>
      <c r="D6" s="553"/>
      <c r="E6" s="553"/>
    </row>
    <row r="7" spans="1:6" ht="12.75">
      <c r="A7" s="262"/>
      <c r="B7" s="521" t="s">
        <v>602</v>
      </c>
      <c r="C7" s="554" t="s">
        <v>635</v>
      </c>
      <c r="D7" s="553"/>
      <c r="E7" s="553"/>
      <c r="F7" s="270"/>
    </row>
    <row r="8" spans="1:6" ht="12.75">
      <c r="A8" s="262"/>
      <c r="B8" s="521" t="s">
        <v>603</v>
      </c>
      <c r="C8" s="522" t="s">
        <v>636</v>
      </c>
      <c r="D8" s="523"/>
      <c r="E8" s="524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308</v>
      </c>
      <c r="C10" s="266"/>
      <c r="D10" s="262"/>
      <c r="E10" s="262"/>
      <c r="F10" s="262"/>
    </row>
    <row r="11" spans="1:6" ht="12.75">
      <c r="A11" s="266"/>
      <c r="B11" s="266" t="s">
        <v>621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586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309</v>
      </c>
      <c r="B15" s="266" t="s">
        <v>459</v>
      </c>
      <c r="C15" s="268">
        <v>2</v>
      </c>
      <c r="D15" s="269" t="s">
        <v>642</v>
      </c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310</v>
      </c>
      <c r="B17" s="266" t="s">
        <v>460</v>
      </c>
      <c r="C17" s="268">
        <v>2</v>
      </c>
      <c r="D17" s="269" t="s">
        <v>642</v>
      </c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311</v>
      </c>
      <c r="B19" s="266" t="s">
        <v>167</v>
      </c>
      <c r="C19" s="268">
        <v>2</v>
      </c>
      <c r="D19" s="269" t="s">
        <v>642</v>
      </c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312</v>
      </c>
      <c r="B21" s="266" t="s">
        <v>461</v>
      </c>
      <c r="C21" s="268">
        <v>2</v>
      </c>
      <c r="D21" s="269" t="s">
        <v>642</v>
      </c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313</v>
      </c>
      <c r="B23" s="266" t="s">
        <v>463</v>
      </c>
      <c r="C23" s="268">
        <v>2</v>
      </c>
      <c r="D23" s="269" t="s">
        <v>642</v>
      </c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315</v>
      </c>
      <c r="B25" s="266" t="s">
        <v>462</v>
      </c>
      <c r="C25" s="268">
        <v>2</v>
      </c>
      <c r="D25" s="269" t="s">
        <v>642</v>
      </c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338</v>
      </c>
      <c r="B27" s="266" t="s">
        <v>584</v>
      </c>
      <c r="C27" s="268">
        <v>2</v>
      </c>
      <c r="D27" s="269" t="s">
        <v>642</v>
      </c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464</v>
      </c>
      <c r="B29" s="266" t="s">
        <v>314</v>
      </c>
      <c r="C29" s="268">
        <v>2</v>
      </c>
      <c r="D29" s="269" t="s">
        <v>642</v>
      </c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339</v>
      </c>
      <c r="B32" s="509" t="s">
        <v>606</v>
      </c>
      <c r="C32" s="516">
        <v>2</v>
      </c>
      <c r="D32" s="269"/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316</v>
      </c>
      <c r="B34" s="266" t="s">
        <v>632</v>
      </c>
      <c r="C34" s="268">
        <v>1</v>
      </c>
      <c r="D34" s="269" t="s">
        <v>642</v>
      </c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465</v>
      </c>
      <c r="B36" s="92" t="s">
        <v>583</v>
      </c>
      <c r="C36" s="517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 t="s">
        <v>642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269" t="s">
        <v>642</v>
      </c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 t="s">
        <v>642</v>
      </c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 t="s">
        <v>642</v>
      </c>
      <c r="E40" s="262"/>
      <c r="F40" s="262"/>
    </row>
    <row r="41" spans="1:6" ht="13.5" thickBot="1">
      <c r="A41" s="267"/>
      <c r="B41" s="466">
        <v>2005</v>
      </c>
      <c r="C41" s="268">
        <v>1</v>
      </c>
      <c r="D41" s="269" t="s">
        <v>642</v>
      </c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466</v>
      </c>
      <c r="B43" s="266" t="s">
        <v>604</v>
      </c>
      <c r="C43" s="268">
        <v>1</v>
      </c>
      <c r="D43" s="469" t="s">
        <v>642</v>
      </c>
      <c r="E43" s="262"/>
      <c r="F43" s="262"/>
    </row>
    <row r="44" spans="1:6" ht="13.5" thickBot="1">
      <c r="A44" s="268"/>
      <c r="B44" s="266"/>
      <c r="C44" s="518"/>
      <c r="D44" s="519"/>
      <c r="E44" s="270"/>
      <c r="F44" s="262"/>
    </row>
    <row r="45" spans="1:6" ht="13.5" thickBot="1">
      <c r="A45" s="268" t="s">
        <v>467</v>
      </c>
      <c r="B45" s="266" t="s">
        <v>605</v>
      </c>
      <c r="C45" s="268">
        <v>1</v>
      </c>
      <c r="D45" s="469" t="s">
        <v>642</v>
      </c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8" t="s">
        <v>607</v>
      </c>
      <c r="C47" s="262"/>
      <c r="D47" s="262"/>
      <c r="E47" s="262"/>
      <c r="F47" s="262"/>
    </row>
    <row r="48" spans="1:6" ht="12.75">
      <c r="A48" s="267"/>
      <c r="B48" s="508" t="s">
        <v>608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hyperlinks>
    <hyperlink ref="C8" r:id="rId1" display="tfryer@collus.com"/>
  </hyperlinks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88" r:id="rId2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tfryer</cp:lastModifiedBy>
  <cp:lastPrinted>2006-08-03T16:10:18Z</cp:lastPrinted>
  <dcterms:created xsi:type="dcterms:W3CDTF">2001-11-07T16:15:53Z</dcterms:created>
  <dcterms:modified xsi:type="dcterms:W3CDTF">2011-07-13T18:29:02Z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