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90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<sst xmlns="http://schemas.openxmlformats.org/spreadsheetml/2006/main" count="875" uniqueCount="506">
  <si>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</si>
  <si>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</si>
  <si>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</si>
  <si>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</si>
  <si>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</si>
  <si>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</si>
  <si>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</si>
  <si>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</si>
  <si>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</si>
  <si>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</si>
  <si>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</si>
  <si>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</si>
  <si>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</si>
  <si>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</si>
  <si>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</si>
  <si>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</si>
  <si>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</si>
  <si>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</si>
  <si>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</si>
  <si>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</si>
  <si>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</si>
  <si>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</si>
  <si>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</si>
  <si>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</si>
  <si>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</si>
  <si>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</si>
  <si>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</si>
  <si>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</si>
  <si>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</si>
  <si>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</si>
  <si>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</si>
  <si>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</si>
  <si>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</si>
  <si>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</si>
  <si>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</si>
  <si>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</si>
  <si>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</si>
  <si>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</si>
  <si>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</si>
  <si>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</si>
  <si>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</si>
  <si>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</si>
  <si>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</si>
  <si>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</si>
  <si>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</si>
  <si>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</si>
  <si>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</si>
  <si>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</si>
  <si>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</si>
  <si>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</si>
  <si>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</si>
  <si>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</si>
  <si>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</si>
  <si>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</si>
  <si>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</si>
  <si>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</si>
  <si>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</si>
  <si>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</si>
  <si>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</si>
  <si>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</si>
  <si>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</si>
  <si>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</si>
  <si>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</si>
  <si>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</si>
  <si>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</si>
  <si>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</si>
  <si>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</si>
  <si>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</si>
  <si>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</si>
  <si>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</si>
  <si>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</si>
  <si>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</si>
  <si>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</si>
  <si>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</si>
  <si>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</si>
  <si>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</si>
  <si>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</si>
  <si>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</si>
  <si>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</si>
  <si>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</si>
  <si>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</si>
  <si>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</si>
  <si>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</si>
  <si>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</si>
  <si>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</si>
  <si>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</si>
  <si>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</si>
  <si>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</si>
  <si>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</si>
  <si>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</si>
  <si>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</si>
  <si>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</si>
  <si>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</si>
  <si>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</si>
  <si>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</si>
  <si>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</si>
  <si>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</si>
  <si>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</si>
  <si>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</si>
  <si>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</si>
  <si>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</si>
  <si>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</si>
  <si>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</si>
  <si>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</si>
  <si>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</si>
  <si>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</si>
  <si>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</si>
  <si>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</si>
  <si>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</si>
  <si>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</si>
  <si>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</si>
  <si>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</si>
  <si>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</si>
  <si>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</si>
  <si>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</si>
  <si>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</si>
  <si>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</si>
  <si>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</si>
  <si>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</si>
  <si>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</si>
  <si>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</si>
  <si>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</si>
  <si>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</si>
  <si>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</si>
  <si>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</si>
  <si>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</si>
  <si>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</si>
  <si>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</si>
  <si>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</si>
  <si>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</si>
  <si>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</si>
  <si>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</si>
  <si>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</si>
  <si>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</si>
  <si>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</si>
  <si>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</si>
  <si>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</si>
  <si>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</si>
  <si>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</si>
  <si>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</si>
  <si>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</si>
  <si>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</si>
  <si>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</si>
  <si>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</si>
  <si>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</si>
  <si>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</si>
  <si>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</si>
  <si>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</si>
  <si>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</si>
  <si>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</si>
  <si>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</si>
  <si>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</si>
  <si>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</si>
  <si>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</si>
  <si>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</si>
  <si>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</si>
  <si>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</si>
  <si>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</si>
  <si>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</si>
  <si>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</si>
  <si>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</si>
  <si>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</si>
  <si>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</si>
  <si>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</si>
  <si>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</si>
  <si>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</si>
  <si>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</si>
  <si>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</si>
  <si>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</si>
  <si>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</si>
  <si>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</si>
  <si>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</si>
  <si>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</si>
  <si>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</si>
  <si>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</si>
  <si>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</si>
  <si>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</si>
  <si>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</si>
  <si>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</si>
  <si>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</si>
  <si>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</si>
  <si>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</si>
  <si>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</si>
  <si>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</si>
  <si>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</si>
  <si>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</si>
  <si>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</si>
  <si>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</si>
  <si>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</si>
  <si>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</si>
  <si>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</si>
  <si>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</si>
  <si>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</si>
  <si>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</si>
  <si>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</si>
  <si>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</si>
  <si>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</si>
  <si>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</si>
  <si>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</si>
  <si>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</si>
  <si>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</si>
  <si>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</si>
  <si>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</si>
  <si>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</si>
  <si>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</si>
  <si>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</si>
  <si>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</si>
  <si>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</si>
  <si>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</si>
  <si>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</si>
  <si>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</si>
  <si>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</si>
  <si>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</si>
  <si>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</si>
  <si>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</si>
  <si>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</si>
  <si>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</si>
  <si>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</si>
  <si>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</si>
  <si>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</si>
  <si>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</si>
  <si>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</si>
  <si>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</si>
  <si>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</si>
  <si>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</si>
  <si>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</si>
  <si>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</si>
  <si>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</si>
  <si>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</si>
  <si>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</si>
  <si>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</si>
  <si>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</si>
  <si>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</si>
  <si>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</si>
  <si>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</si>
  <si>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</si>
  <si>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</si>
  <si>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</si>
  <si>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</si>
  <si>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</si>
  <si>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</si>
  <si>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</si>
  <si>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</si>
  <si>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</si>
  <si>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</si>
  <si>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</si>
  <si>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</si>
  <si>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</si>
  <si>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</si>
  <si>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</si>
  <si>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</si>
  <si>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</si>
  <si>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</si>
  <si>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</si>
  <si>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</si>
  <si>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</si>
  <si>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</si>
  <si>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</si>
  <si>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</si>
  <si>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</si>
  <si>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</si>
  <si>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</si>
  <si>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</si>
  <si>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</si>
  <si>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</si>
  <si>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</si>
  <si>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</si>
  <si>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</si>
  <si>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</si>
  <si>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</si>
  <si>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</si>
  <si>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</si>
  <si>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</si>
  <si>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</si>
  <si>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</si>
  <si>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</si>
  <si>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</si>
  <si>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</si>
  <si>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</si>
  <si>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</si>
  <si>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</si>
  <si>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</si>
  <si>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</si>
  <si>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</si>
  <si>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</si>
  <si>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</si>
  <si>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</si>
  <si>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</si>
  <si>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</si>
  <si>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</si>
  <si>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</si>
  <si>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</si>
  <si>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</si>
  <si>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</si>
  <si>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</si>
  <si>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</si>
  <si>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</si>
  <si>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</si>
  <si>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</si>
  <si>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</si>
  <si>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</si>
  <si>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</si>
  <si>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</si>
  <si>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</si>
  <si>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</si>
  <si>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</si>
  <si>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</si>
  <si>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</si>
  <si>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</si>
  <si>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</si>
  <si>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</si>
  <si>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</si>
  <si>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</si>
  <si>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</si>
  <si>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</si>
  <si>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</si>
  <si>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</si>
  <si>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</si>
  <si>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</si>
  <si>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</si>
  <si>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</si>
  <si>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</si>
  <si>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</si>
  <si>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</si>
  <si>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</si>
  <si>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</si>
  <si>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</si>
  <si>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</si>
  <si>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</si>
  <si>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</si>
  <si>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</si>
  <si>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</si>
  <si>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</si>
  <si>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</si>
  <si>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</si>
  <si>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</si>
  <si>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</si>
  <si>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</si>
  <si>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</si>
  <si>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</si>
  <si>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</si>
  <si>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</si>
  <si>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</si>
  <si>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</si>
  <si>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</si>
  <si>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</si>
  <si>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</si>
  <si>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</si>
  <si>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</si>
  <si>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</si>
  <si>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</si>
  <si>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</si>
  <si>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</si>
  <si>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</si>
  <si>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</si>
  <si>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</si>
  <si>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</si>
  <si>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</si>
  <si>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</si>
  <si>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</si>
  <si>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</si>
  <si>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</si>
  <si>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</si>
  <si>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</si>
  <si>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</si>
  <si>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</si>
  <si>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</si>
  <si>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</si>
  <si>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</si>
  <si>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</si>
  <si>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</si>
  <si>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</si>
  <si>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</si>
  <si>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</si>
  <si>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</si>
  <si>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</si>
  <si>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</si>
  <si>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</si>
  <si>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</si>
  <si>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</si>
  <si>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</si>
  <si>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</si>
  <si>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</si>
  <si>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</si>
  <si>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</si>
  <si>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</si>
  <si>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</si>
  <si>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</si>
  <si>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</si>
  <si>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</si>
  <si>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</si>
  <si>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</si>
  <si>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</si>
  <si>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</si>
  <si>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</si>
  <si>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</si>
  <si>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</si>
  <si>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</si>
  <si>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</si>
  <si>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</si>
  <si>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</si>
  <si>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</si>
  <si>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</si>
  <si>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</si>
  <si>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</si>
  <si>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</si>
  <si>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</si>
  <si>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</si>
  <si>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</si>
  <si>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</si>
  <si>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</si>
  <si>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</si>
  <si>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</si>
  <si>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</si>
  <si>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</si>
  <si>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</si>
  <si>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</si>
  <si>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</si>
  <si>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</si>
  <si>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</si>
  <si>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</si>
  <si>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</si>
  <si>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</si>
  <si>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</si>
  <si>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</si>
  <si>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</si>
  <si>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</si>
  <si>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</si>
  <si>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</si>
  <si>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</si>
  <si>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</si>
  <si>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</si>
  <si>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</si>
  <si>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</si>
  <si>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</si>
  <si>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</si>
  <si>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</si>
  <si>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</si>
  <si>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</si>
  <si>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</si>
  <si>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</si>
  <si>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</si>
  <si>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</si>
  <si>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</si>
  <si>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</si>
  <si>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</si>
  <si>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</si>
  <si>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</si>
  <si>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</si>
  <si>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</si>
  <si>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</si>
  <si>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</si>
  <si>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</si>
  <si>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</si>
  <si>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</si>
  <si>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</si>
  <si>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</si>
  <si>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</si>
  <si>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</si>
  <si>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</si>
  <si>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</si>
  <si>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</si>
  <si>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</si>
  <si>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</si>
  <si>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</si>
  <si>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</si>
  <si>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</si>
  <si>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</si>
  <si>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</si>
  <si>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</si>
  <si>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</si>
  <si>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</si>
  <si>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</si>
  <si>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</si>
  <si>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</si>
  <si>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</si>
  <si>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Overpaid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</si>
  <si>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</si>
  <si>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</si>
  <si>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</si>
  <si>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</si>
  <si>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</si>
  <si>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</si>
  <si>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</si>
  <si>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</si>
  <si>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</si>
  <si>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</si>
  <si>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</si>
  <si>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</si>
  <si>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</si>
  <si>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</si>
  <si>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</si>
  <si>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</si>
  <si>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</si>
  <si>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</si>
  <si>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y</t>
  </si>
  <si>
    <t>n</t>
  </si>
  <si>
    <t>Y</t>
  </si>
  <si>
    <t>N</t>
  </si>
  <si>
    <t>Allowable amount of restructuring costs</t>
  </si>
  <si>
    <t>Utility Name: COLLUS Power Harmonized</t>
  </si>
  <si>
    <t>Gain or Sale</t>
  </si>
  <si>
    <t xml:space="preserve">      Miscellaneous income (Interest $34622 - Misc (loss) $32837)</t>
  </si>
  <si>
    <t>Amortization of Unrecovered Plant &amp; Reg ulatory Costs</t>
  </si>
  <si>
    <t>Allowable amortization of restructuring costs</t>
  </si>
  <si>
    <t>PILs TAXES - EB-????-??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</si>
</sst>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31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31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31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19" fillId="0" borderId="17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31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57" fillId="0" borderId="0" xfId="0" applyFont="1" applyFill="1" applyAlignment="1">
      <alignment vertical="top"/>
    </xf>
    <xf numFmtId="180" fontId="0" fillId="41" borderId="0" xfId="0" applyNumberFormat="1" applyFill="1" applyAlignment="1">
      <alignment horizontal="center" vertical="top"/>
    </xf>
    <xf numFmtId="178" fontId="0" fillId="41" borderId="0" xfId="0" applyNumberForma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0" fontId="0" fillId="45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top"/>
    </xf>
    <xf numFmtId="3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left" vertical="top"/>
    </xf>
    <xf numFmtId="0" fontId="0" fillId="0" borderId="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7" xfId="42" applyNumberFormat="1" applyFont="1" applyFill="1" applyBorder="1" applyAlignment="1" applyProtection="1">
      <alignment vertical="top"/>
      <protection/>
    </xf>
    <xf numFmtId="0" fontId="0" fillId="0" borderId="31" xfId="0" applyFill="1" applyBorder="1" applyAlignment="1">
      <alignment vertical="top"/>
    </xf>
    <xf numFmtId="0" fontId="0" fillId="0" borderId="30" xfId="0" applyFill="1" applyBorder="1" applyAlignment="1" applyProtection="1">
      <alignment vertical="top"/>
      <protection/>
    </xf>
    <xf numFmtId="0" fontId="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ill="1" applyAlignment="1" quotePrefix="1">
      <alignment horizontal="center" vertical="top"/>
    </xf>
    <xf numFmtId="37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37" fontId="0" fillId="0" borderId="0" xfId="0" applyNumberFormat="1" applyFont="1" applyFill="1" applyBorder="1" applyAlignment="1">
      <alignment horizontal="center" vertical="top"/>
    </xf>
    <xf numFmtId="10" fontId="0" fillId="0" borderId="44" xfId="0" applyNumberFormat="1" applyFill="1" applyBorder="1" applyAlignment="1" applyProtection="1">
      <alignment horizontal="center" vertical="top"/>
      <protection locked="0"/>
    </xf>
    <xf numFmtId="10" fontId="0" fillId="0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31" xfId="0" applyFont="1" applyFill="1" applyBorder="1" applyAlignment="1" applyProtection="1">
      <alignment vertical="top"/>
      <protection locked="0"/>
    </xf>
    <xf numFmtId="0" fontId="8" fillId="0" borderId="31" xfId="0" applyFont="1" applyBorder="1" applyAlignment="1">
      <alignment vertical="top"/>
    </xf>
    <xf numFmtId="0" fontId="3" fillId="37" borderId="31" xfId="0" applyFont="1" applyFill="1" applyBorder="1" applyAlignment="1" applyProtection="1">
      <alignment vertical="top"/>
      <protection locked="0"/>
    </xf>
    <xf numFmtId="0" fontId="0" fillId="0" borderId="31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3">
      <selection activeCell="F49" activeCellId="1" sqref="E19:E20 F49:F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505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1" t="s">
        <v>449</v>
      </c>
      <c r="E3" s="8"/>
      <c r="F3" s="8"/>
      <c r="G3" s="8"/>
      <c r="H3" s="8"/>
    </row>
    <row r="4" spans="1:8" ht="12.75">
      <c r="A4" s="2" t="s">
        <v>477</v>
      </c>
      <c r="C4" s="8"/>
      <c r="D4" s="450" t="s">
        <v>444</v>
      </c>
      <c r="E4" s="424"/>
      <c r="H4" s="8"/>
    </row>
    <row r="5" spans="1:8" ht="12.75">
      <c r="A5" s="52"/>
      <c r="C5" s="8"/>
      <c r="D5" s="449" t="s">
        <v>445</v>
      </c>
      <c r="E5" s="395"/>
      <c r="H5" s="8"/>
    </row>
    <row r="6" spans="1:8" ht="12.75">
      <c r="A6" s="2" t="s">
        <v>126</v>
      </c>
      <c r="B6" s="385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6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1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1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1" t="s">
        <v>496</v>
      </c>
    </row>
    <row r="18" spans="1:4" ht="15" customHeight="1">
      <c r="A18" s="386" t="s">
        <v>314</v>
      </c>
      <c r="C18" s="8"/>
      <c r="D18" s="8"/>
    </row>
    <row r="19" spans="1:5" ht="15" customHeight="1">
      <c r="A19" s="512" t="s">
        <v>315</v>
      </c>
      <c r="B19" s="8" t="s">
        <v>312</v>
      </c>
      <c r="C19" s="8" t="s">
        <v>64</v>
      </c>
      <c r="D19" s="482" t="s">
        <v>495</v>
      </c>
      <c r="E19" s="488"/>
    </row>
    <row r="20" spans="1:5" ht="13.5" thickBot="1">
      <c r="A20" s="513"/>
      <c r="B20" s="8" t="s">
        <v>313</v>
      </c>
      <c r="C20" s="8" t="s">
        <v>64</v>
      </c>
      <c r="D20" s="481" t="s">
        <v>495</v>
      </c>
      <c r="E20" s="488"/>
    </row>
    <row r="21" spans="1:4" ht="12.75">
      <c r="A21" s="512" t="s">
        <v>311</v>
      </c>
      <c r="B21" s="8" t="s">
        <v>312</v>
      </c>
      <c r="C21" s="8"/>
      <c r="D21" s="486">
        <v>0.992</v>
      </c>
    </row>
    <row r="22" spans="1:4" ht="12.75">
      <c r="A22" s="512"/>
      <c r="B22" s="8" t="s">
        <v>313</v>
      </c>
      <c r="C22" s="8"/>
      <c r="D22" s="487">
        <v>0.99998</v>
      </c>
    </row>
    <row r="23" spans="1:4" ht="7.5" customHeight="1">
      <c r="A23" s="45"/>
      <c r="C23" s="8"/>
      <c r="D23" s="385"/>
    </row>
    <row r="24" spans="1:4" ht="12.75">
      <c r="A24" s="45" t="s">
        <v>212</v>
      </c>
      <c r="C24" s="8" t="s">
        <v>213</v>
      </c>
      <c r="D24" s="420" t="s">
        <v>478</v>
      </c>
    </row>
    <row r="25" ht="6.75" customHeight="1" thickBot="1">
      <c r="A25" s="12"/>
    </row>
    <row r="26" spans="1:5" ht="12.75">
      <c r="A26" s="252" t="s">
        <v>67</v>
      </c>
      <c r="C26" s="8"/>
      <c r="E26" s="439" t="s">
        <v>296</v>
      </c>
    </row>
    <row r="27" spans="1:5" ht="12.75">
      <c r="A27" s="253" t="s">
        <v>68</v>
      </c>
      <c r="C27" s="8"/>
      <c r="E27" s="440" t="s">
        <v>297</v>
      </c>
    </row>
    <row r="28" spans="1:3" ht="12.75">
      <c r="A28" s="253" t="s">
        <v>69</v>
      </c>
      <c r="C28" s="38"/>
    </row>
    <row r="29" ht="12.75">
      <c r="A29" s="254" t="s">
        <v>70</v>
      </c>
    </row>
    <row r="30" ht="12.75">
      <c r="A30" s="35"/>
    </row>
    <row r="31" spans="1:8" ht="12.75">
      <c r="A31" t="s">
        <v>286</v>
      </c>
      <c r="D31" s="418">
        <v>13535678</v>
      </c>
      <c r="H31" s="5"/>
    </row>
    <row r="32" ht="6" customHeight="1"/>
    <row r="33" spans="1:8" ht="12.75">
      <c r="A33" t="s">
        <v>71</v>
      </c>
      <c r="D33" s="419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9">
        <v>0.0988</v>
      </c>
      <c r="H37" s="41"/>
    </row>
    <row r="38" ht="4.5" customHeight="1">
      <c r="H38" s="34"/>
    </row>
    <row r="39" spans="1:8" ht="12.75">
      <c r="A39" t="s">
        <v>74</v>
      </c>
      <c r="D39" s="419">
        <v>0.0725</v>
      </c>
      <c r="H39" s="41"/>
    </row>
    <row r="40" ht="6" customHeight="1">
      <c r="H40" s="34"/>
    </row>
    <row r="41" spans="1:8" ht="12.75">
      <c r="A41" t="s">
        <v>75</v>
      </c>
      <c r="D41" s="248">
        <f>D31*((D33*D37)+(D35*D39))</f>
        <v>1159330.8207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30182</v>
      </c>
      <c r="E43" s="384">
        <f>D43</f>
        <v>30182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8">
        <f>D41-D43</f>
        <v>1129148.8207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2">
        <v>376383</v>
      </c>
      <c r="E47" s="384">
        <f aca="true" t="shared" si="0" ref="E47:E53">D47</f>
        <v>376383</v>
      </c>
      <c r="H47" s="40"/>
      <c r="J47" s="5"/>
      <c r="K47" s="5"/>
    </row>
    <row r="48" spans="1:11" ht="12.75">
      <c r="A48" t="s">
        <v>289</v>
      </c>
      <c r="D48" s="422">
        <v>376383</v>
      </c>
      <c r="E48" s="384">
        <f>D48</f>
        <v>376383</v>
      </c>
      <c r="F48" s="22"/>
      <c r="H48" s="40"/>
      <c r="J48" s="5"/>
      <c r="K48" s="5"/>
    </row>
    <row r="49" spans="1:11" ht="12.75">
      <c r="A49" t="s">
        <v>290</v>
      </c>
      <c r="D49" s="423">
        <v>0</v>
      </c>
      <c r="E49" s="384">
        <v>0</v>
      </c>
      <c r="F49" s="493"/>
      <c r="H49" s="40"/>
      <c r="J49" s="5"/>
      <c r="K49" s="5"/>
    </row>
    <row r="50" spans="1:11" ht="12.75">
      <c r="A50" t="s">
        <v>291</v>
      </c>
      <c r="D50" s="424"/>
      <c r="E50" s="384">
        <f t="shared" si="0"/>
        <v>0</v>
      </c>
      <c r="F50" s="488"/>
      <c r="H50" s="40"/>
      <c r="J50" s="5"/>
      <c r="K50" s="5"/>
    </row>
    <row r="51" spans="1:11" ht="12.75">
      <c r="A51" t="s">
        <v>441</v>
      </c>
      <c r="D51" s="424"/>
      <c r="E51" s="384">
        <f t="shared" si="0"/>
        <v>0</v>
      </c>
      <c r="F51" s="34"/>
      <c r="H51" s="40"/>
      <c r="J51" s="5"/>
      <c r="K51" s="5"/>
    </row>
    <row r="52" spans="1:11" ht="12.75">
      <c r="A52" t="s">
        <v>464</v>
      </c>
      <c r="D52" s="424"/>
      <c r="E52" s="384">
        <f t="shared" si="0"/>
        <v>0</v>
      </c>
      <c r="H52" s="40"/>
      <c r="J52" s="5"/>
      <c r="K52" s="5"/>
    </row>
    <row r="53" spans="4:11" ht="12.75">
      <c r="D53" s="424"/>
      <c r="E53" s="384">
        <f t="shared" si="0"/>
        <v>0</v>
      </c>
      <c r="H53" s="40"/>
      <c r="J53" s="5"/>
      <c r="K53" s="5"/>
    </row>
    <row r="54" spans="1:11" ht="12.75">
      <c r="A54" s="2" t="s">
        <v>292</v>
      </c>
      <c r="E54" s="251">
        <f>SUM(E43:E53)</f>
        <v>782948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9">
        <f>D31*D33</f>
        <v>6767839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9">
        <f>D56*D37</f>
        <v>668662.4932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9">
        <f>D31*D35</f>
        <v>6767839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49">
        <f>D60*D39</f>
        <v>490668.32749999996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0">
        <f>IF(D41&gt;0,(((D43+D47)/D41)*D62),0)</f>
        <v>172072.1687098657</v>
      </c>
      <c r="E64" s="488"/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E65" s="34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0">
        <f>IF(D41&gt;0,(((D43+D47+D48)/D41)*D62),0)</f>
        <v>331370.2860478692</v>
      </c>
      <c r="E66" s="488"/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E67" s="34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0">
        <f>IF(D41&gt;0,(((D43+D47+D48)/D41)*D62),0)</f>
        <v>331370.2860478692</v>
      </c>
      <c r="E68" s="488"/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0">
        <f>D62</f>
        <v>490668.32749999996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36">
      <selection activeCell="F72" sqref="F7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tr">
        <f>REGINFO!A1</f>
        <v>PILs TAXES - EB-????-??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466</v>
      </c>
      <c r="H1" s="207"/>
    </row>
    <row r="2" spans="1:8" ht="12.75">
      <c r="A2" s="208" t="s">
        <v>465</v>
      </c>
      <c r="B2" s="209"/>
      <c r="C2" s="210" t="s">
        <v>35</v>
      </c>
      <c r="D2" s="211"/>
      <c r="E2" s="212" t="s">
        <v>24</v>
      </c>
      <c r="F2" s="213" t="s">
        <v>24</v>
      </c>
      <c r="G2" s="182" t="s">
        <v>467</v>
      </c>
      <c r="H2" s="214"/>
    </row>
    <row r="3" spans="1:8" ht="12.75">
      <c r="A3" s="208" t="s">
        <v>49</v>
      </c>
      <c r="B3" s="215"/>
      <c r="C3" s="216"/>
      <c r="D3" s="211"/>
      <c r="E3" s="136" t="s">
        <v>21</v>
      </c>
      <c r="F3" s="217" t="s">
        <v>21</v>
      </c>
      <c r="G3" s="136"/>
      <c r="H3" s="214"/>
    </row>
    <row r="4" spans="1:8" ht="12.75">
      <c r="A4" s="218" t="s">
        <v>41</v>
      </c>
      <c r="B4" s="219"/>
      <c r="C4" s="216"/>
      <c r="D4" s="211"/>
      <c r="E4" s="136" t="s">
        <v>249</v>
      </c>
      <c r="F4" s="217" t="s">
        <v>22</v>
      </c>
      <c r="G4" s="136"/>
      <c r="H4" s="214"/>
    </row>
    <row r="5" spans="1:8" ht="12.75">
      <c r="A5" s="208">
        <f>REGINFO!E2</f>
        <v>0</v>
      </c>
      <c r="B5" s="219"/>
      <c r="C5" s="216"/>
      <c r="D5" s="211"/>
      <c r="E5" s="136"/>
      <c r="F5" s="217"/>
      <c r="G5" s="182" t="str">
        <f>REGINFO!E1</f>
        <v>Version 2009.1</v>
      </c>
      <c r="H5" s="214"/>
    </row>
    <row r="6" spans="1:8" ht="12.75">
      <c r="A6" s="208" t="str">
        <f>REGINFO!A3</f>
        <v>Utility Name: COLLUS Power Harmonized</v>
      </c>
      <c r="B6" s="114"/>
      <c r="D6" s="136"/>
      <c r="E6" s="114"/>
      <c r="G6" s="114"/>
      <c r="H6" s="461"/>
    </row>
    <row r="7" spans="1:8" ht="12.75">
      <c r="A7" s="208" t="str">
        <f>REGINFO!A4</f>
        <v>Reporting period:  2002</v>
      </c>
      <c r="B7" s="114"/>
      <c r="D7" s="136"/>
      <c r="E7" s="114"/>
      <c r="G7" s="114"/>
      <c r="H7" s="461"/>
    </row>
    <row r="8" spans="2:12" ht="12.75">
      <c r="B8" s="219"/>
      <c r="C8" s="227"/>
      <c r="D8" s="211"/>
      <c r="E8" s="136"/>
      <c r="F8" s="217"/>
      <c r="G8" s="182" t="s">
        <v>87</v>
      </c>
      <c r="H8" s="214"/>
      <c r="J8" s="47" t="s">
        <v>129</v>
      </c>
      <c r="K8" s="47"/>
      <c r="L8" s="47"/>
    </row>
    <row r="9" spans="1:8" ht="12.75">
      <c r="A9" s="208" t="s">
        <v>126</v>
      </c>
      <c r="B9" s="425">
        <f>REGINFO!B6</f>
        <v>365</v>
      </c>
      <c r="C9" s="228" t="s">
        <v>127</v>
      </c>
      <c r="D9" s="211"/>
      <c r="E9" s="136"/>
      <c r="F9" s="217"/>
      <c r="G9" s="182" t="s">
        <v>90</v>
      </c>
      <c r="H9" s="214"/>
    </row>
    <row r="10" spans="1:8" ht="12.75">
      <c r="A10" s="208" t="s">
        <v>255</v>
      </c>
      <c r="B10" s="425">
        <f>REGINFO!B7</f>
        <v>365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9"/>
      <c r="B13" s="220"/>
      <c r="C13" s="221"/>
      <c r="D13" s="222"/>
      <c r="E13" s="223"/>
      <c r="F13" s="224"/>
      <c r="G13" s="225"/>
      <c r="H13" s="226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342</v>
      </c>
      <c r="B16" s="124">
        <v>1</v>
      </c>
      <c r="C16" s="256">
        <f>REGINFO!E54</f>
        <v>782948</v>
      </c>
      <c r="D16" s="17"/>
      <c r="E16" s="264">
        <f>G16-C16</f>
        <v>-335254</v>
      </c>
      <c r="F16" s="3"/>
      <c r="G16" s="264">
        <f>TAXREC!E50</f>
        <v>447694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8">
        <v>770854</v>
      </c>
      <c r="D20" s="18"/>
      <c r="E20" s="264">
        <f>G20-C20</f>
        <v>-4646</v>
      </c>
      <c r="F20" s="6"/>
      <c r="G20" s="264">
        <f>TAXREC!E61</f>
        <v>766208</v>
      </c>
      <c r="H20" s="150"/>
    </row>
    <row r="21" spans="1:8" ht="12.75">
      <c r="A21" s="157" t="s">
        <v>56</v>
      </c>
      <c r="B21" s="126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0"/>
    </row>
    <row r="22" spans="1:8" ht="12.75">
      <c r="A22" s="157" t="s">
        <v>263</v>
      </c>
      <c r="B22" s="126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0"/>
    </row>
    <row r="23" spans="1:8" ht="12.75">
      <c r="A23" s="157" t="s">
        <v>262</v>
      </c>
      <c r="B23" s="126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50"/>
    </row>
    <row r="24" spans="1:8" ht="12.75">
      <c r="A24" s="157" t="s">
        <v>264</v>
      </c>
      <c r="B24" s="126">
        <v>5</v>
      </c>
      <c r="C24" s="258">
        <v>12792</v>
      </c>
      <c r="D24" s="18"/>
      <c r="E24" s="264">
        <f>G24-C24</f>
        <v>-12792</v>
      </c>
      <c r="F24" s="6"/>
      <c r="G24" s="264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50"/>
    </row>
    <row r="27" spans="1:8" ht="12.75">
      <c r="A27" s="157" t="s">
        <v>159</v>
      </c>
      <c r="B27" s="126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0"/>
    </row>
    <row r="28" spans="1:8" ht="12.75">
      <c r="A28" s="157" t="s">
        <v>158</v>
      </c>
      <c r="B28" s="126">
        <v>6</v>
      </c>
      <c r="C28" s="258"/>
      <c r="D28" s="18"/>
      <c r="E28" s="264">
        <f>G28-C28</f>
        <v>0</v>
      </c>
      <c r="F28" s="6"/>
      <c r="G28" s="264">
        <f>TAXREC!E67</f>
        <v>0</v>
      </c>
      <c r="H28" s="150"/>
    </row>
    <row r="29" spans="1:8" ht="12.75">
      <c r="A29" s="157" t="s">
        <v>157</v>
      </c>
      <c r="B29" s="126">
        <v>6</v>
      </c>
      <c r="C29" s="258"/>
      <c r="D29" s="18"/>
      <c r="E29" s="264">
        <f>G29-C29</f>
        <v>-2375</v>
      </c>
      <c r="F29" s="6"/>
      <c r="G29" s="264">
        <f>TAXREC!E68</f>
        <v>-2375</v>
      </c>
      <c r="H29" s="150"/>
    </row>
    <row r="30" spans="1:8" ht="15.75">
      <c r="A30" s="477" t="s">
        <v>397</v>
      </c>
      <c r="B30" s="126"/>
      <c r="C30" s="256"/>
      <c r="D30" s="18"/>
      <c r="E30" s="264">
        <f>G30-C30</f>
        <v>55188</v>
      </c>
      <c r="F30" s="6"/>
      <c r="G30" s="264">
        <f>TAXREC!E66</f>
        <v>55188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8">
        <v>657583</v>
      </c>
      <c r="D33" s="131"/>
      <c r="E33" s="264">
        <f aca="true" t="shared" si="0" ref="E33:E42">G33-C33</f>
        <v>133613</v>
      </c>
      <c r="F33" s="6"/>
      <c r="G33" s="264">
        <f>TAXREC!E97+TAXREC!E98</f>
        <v>791196</v>
      </c>
      <c r="H33" s="150"/>
    </row>
    <row r="34" spans="1:8" ht="12.75">
      <c r="A34" s="157" t="s">
        <v>57</v>
      </c>
      <c r="B34" s="126">
        <v>8</v>
      </c>
      <c r="C34" s="258"/>
      <c r="D34" s="131"/>
      <c r="E34" s="264">
        <f t="shared" si="0"/>
        <v>0</v>
      </c>
      <c r="F34" s="6"/>
      <c r="G34" s="264">
        <f>TAXREC!E99</f>
        <v>0</v>
      </c>
      <c r="H34" s="150"/>
    </row>
    <row r="35" spans="1:8" ht="12.75">
      <c r="A35" s="157" t="s">
        <v>45</v>
      </c>
      <c r="B35" s="126">
        <v>9</v>
      </c>
      <c r="C35" s="258">
        <v>0</v>
      </c>
      <c r="D35" s="131"/>
      <c r="E35" s="264">
        <f t="shared" si="0"/>
        <v>0</v>
      </c>
      <c r="F35" s="6"/>
      <c r="G35" s="264">
        <f>TAXREC!E100</f>
        <v>0</v>
      </c>
      <c r="H35" s="150"/>
    </row>
    <row r="36" spans="1:8" ht="12.75">
      <c r="A36" s="157" t="s">
        <v>265</v>
      </c>
      <c r="B36" s="126">
        <v>10</v>
      </c>
      <c r="C36" s="258">
        <v>0</v>
      </c>
      <c r="D36" s="131"/>
      <c r="E36" s="264">
        <f t="shared" si="0"/>
        <v>0</v>
      </c>
      <c r="F36" s="6"/>
      <c r="G36" s="264">
        <f>TAXREC!E102+TAXREC!E103</f>
        <v>0</v>
      </c>
      <c r="H36" s="150"/>
    </row>
    <row r="37" spans="1:9" ht="12.75">
      <c r="A37" s="154" t="s">
        <v>86</v>
      </c>
      <c r="B37" s="124">
        <v>11</v>
      </c>
      <c r="C37" s="257">
        <f>REGINFO!D66</f>
        <v>331370.2860478692</v>
      </c>
      <c r="D37" s="131"/>
      <c r="E37" s="264">
        <f t="shared" si="0"/>
        <v>5108.713952130813</v>
      </c>
      <c r="F37" s="6"/>
      <c r="G37" s="264">
        <f>TAXREC!E51</f>
        <v>336479</v>
      </c>
      <c r="H37" s="150"/>
      <c r="I37" s="488"/>
    </row>
    <row r="38" spans="1:8" ht="12.75">
      <c r="A38" s="154" t="s">
        <v>261</v>
      </c>
      <c r="B38" s="124">
        <v>4</v>
      </c>
      <c r="C38" s="258"/>
      <c r="D38" s="131"/>
      <c r="E38" s="264">
        <f t="shared" si="0"/>
        <v>0</v>
      </c>
      <c r="F38" s="6"/>
      <c r="G38" s="264">
        <f>TAXREC!E104</f>
        <v>0</v>
      </c>
      <c r="H38" s="150"/>
    </row>
    <row r="39" spans="1:8" ht="12.75">
      <c r="A39" s="154" t="s">
        <v>260</v>
      </c>
      <c r="B39" s="124">
        <v>4</v>
      </c>
      <c r="C39" s="258"/>
      <c r="D39" s="131"/>
      <c r="E39" s="264">
        <f t="shared" si="0"/>
        <v>0</v>
      </c>
      <c r="F39" s="6"/>
      <c r="G39" s="264">
        <f>TAXREC!E105</f>
        <v>0</v>
      </c>
      <c r="H39" s="150"/>
    </row>
    <row r="40" spans="1:8" ht="12.75">
      <c r="A40" s="154" t="s">
        <v>12</v>
      </c>
      <c r="B40" s="124">
        <v>3</v>
      </c>
      <c r="C40" s="258"/>
      <c r="D40" s="131"/>
      <c r="E40" s="264">
        <f t="shared" si="0"/>
        <v>0</v>
      </c>
      <c r="F40" s="6"/>
      <c r="G40" s="264">
        <f>TAXREC!E106</f>
        <v>0</v>
      </c>
      <c r="H40" s="150"/>
    </row>
    <row r="41" spans="1:8" ht="12.75">
      <c r="A41" s="154" t="s">
        <v>13</v>
      </c>
      <c r="B41" s="124">
        <v>3</v>
      </c>
      <c r="C41" s="258"/>
      <c r="D41" s="131"/>
      <c r="E41" s="264">
        <f t="shared" si="0"/>
        <v>0</v>
      </c>
      <c r="F41" s="6"/>
      <c r="G41" s="264">
        <f>TAXREC!E107</f>
        <v>0</v>
      </c>
      <c r="H41" s="150"/>
    </row>
    <row r="42" spans="1:8" ht="12.75">
      <c r="A42" s="154" t="s">
        <v>184</v>
      </c>
      <c r="B42" s="124">
        <v>11</v>
      </c>
      <c r="C42" s="258"/>
      <c r="D42" s="131"/>
      <c r="E42" s="264">
        <f t="shared" si="0"/>
        <v>0</v>
      </c>
      <c r="F42" s="6"/>
      <c r="G42" s="264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58"/>
      <c r="D44" s="131"/>
      <c r="E44" s="264">
        <f>G44-C44</f>
        <v>0</v>
      </c>
      <c r="F44" s="6"/>
      <c r="G44" s="248">
        <f>TAXREC!E130</f>
        <v>0</v>
      </c>
      <c r="H44" s="150"/>
    </row>
    <row r="45" spans="1:8" ht="12.75">
      <c r="A45" s="157" t="s">
        <v>153</v>
      </c>
      <c r="B45" s="126">
        <v>12</v>
      </c>
      <c r="C45" s="258"/>
      <c r="D45" s="131"/>
      <c r="E45" s="264">
        <f>G45-C45</f>
        <v>0</v>
      </c>
      <c r="F45" s="6"/>
      <c r="G45" s="248">
        <f>TAXREC!E131</f>
        <v>0</v>
      </c>
      <c r="H45" s="150"/>
    </row>
    <row r="46" spans="1:8" ht="12.75">
      <c r="A46" s="157" t="s">
        <v>155</v>
      </c>
      <c r="B46" s="126">
        <v>12</v>
      </c>
      <c r="C46" s="258"/>
      <c r="D46" s="131"/>
      <c r="E46" s="264">
        <f>G46-C46</f>
        <v>2375</v>
      </c>
      <c r="F46" s="6"/>
      <c r="G46" s="248">
        <f>TAXREC!E110</f>
        <v>2375</v>
      </c>
      <c r="H46" s="150"/>
    </row>
    <row r="47" spans="1:8" ht="12.75">
      <c r="A47" s="157" t="s">
        <v>154</v>
      </c>
      <c r="B47" s="126">
        <v>12</v>
      </c>
      <c r="C47" s="258"/>
      <c r="D47" s="131"/>
      <c r="E47" s="264">
        <f>G47-C47</f>
        <v>0</v>
      </c>
      <c r="F47" s="6"/>
      <c r="G47" s="248">
        <f>TAXREC!E111</f>
        <v>0</v>
      </c>
      <c r="H47" s="150"/>
    </row>
    <row r="48" spans="1:8" ht="15.75">
      <c r="A48" s="477" t="s">
        <v>397</v>
      </c>
      <c r="B48" s="126"/>
      <c r="C48" s="256"/>
      <c r="D48" s="131"/>
      <c r="E48" s="264">
        <f>G48-C48</f>
        <v>15013</v>
      </c>
      <c r="F48" s="6"/>
      <c r="G48" s="248">
        <f>TAXREC!E108</f>
        <v>15013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10" ht="12.75">
      <c r="A50" s="151" t="s">
        <v>329</v>
      </c>
      <c r="B50" s="124"/>
      <c r="C50" s="260">
        <f>C16+SUM(C20:C30)-SUM(C33:C48)</f>
        <v>577640.7139521309</v>
      </c>
      <c r="D50" s="101"/>
      <c r="E50" s="260">
        <f>E16+SUM(E20:E30)-SUM(E33:E48)</f>
        <v>-455988.7139521308</v>
      </c>
      <c r="F50" s="427"/>
      <c r="G50" s="260">
        <f>G16+SUM(G20:G30)-SUM(G33:G48)</f>
        <v>121652</v>
      </c>
      <c r="H50" s="159"/>
      <c r="I50" s="34"/>
      <c r="J50" s="34"/>
    </row>
    <row r="51" spans="1:10" ht="12.75">
      <c r="A51" s="158"/>
      <c r="B51" s="124"/>
      <c r="C51" s="106"/>
      <c r="D51" s="131"/>
      <c r="E51" s="106"/>
      <c r="F51" s="6"/>
      <c r="G51" s="106"/>
      <c r="H51" s="150"/>
      <c r="I51" s="115"/>
      <c r="J51" s="34"/>
    </row>
    <row r="52" spans="1:10" ht="12.75">
      <c r="A52" s="157" t="s">
        <v>337</v>
      </c>
      <c r="B52" s="126"/>
      <c r="C52" s="107"/>
      <c r="D52" s="131"/>
      <c r="E52" s="138"/>
      <c r="F52" s="6"/>
      <c r="G52" s="138"/>
      <c r="H52" s="150"/>
      <c r="I52" s="34"/>
      <c r="J52" s="34"/>
    </row>
    <row r="53" spans="1:10" ht="12.75">
      <c r="A53" s="157" t="s">
        <v>341</v>
      </c>
      <c r="B53" s="126">
        <v>13</v>
      </c>
      <c r="C53" s="259">
        <f>IF($C$50&gt;'Tax Rates'!$E$11,'Tax Rates'!$F$16,IF($C$50&gt;'Tax Rates'!$C$11,'Tax Rates'!$E$16,'Tax Rates'!$C$16))</f>
        <v>0.3412</v>
      </c>
      <c r="D53" s="101"/>
      <c r="E53" s="265">
        <f>+G53-C53</f>
        <v>-0.3412</v>
      </c>
      <c r="F53" s="113"/>
      <c r="G53" s="468">
        <v>0</v>
      </c>
      <c r="H53" s="150"/>
      <c r="I53" s="494"/>
      <c r="J53" s="488"/>
    </row>
    <row r="54" spans="1:10" ht="12.75">
      <c r="A54" s="157"/>
      <c r="B54" s="126"/>
      <c r="C54" s="104"/>
      <c r="D54" s="131"/>
      <c r="E54" s="138"/>
      <c r="F54" s="6"/>
      <c r="G54" s="138"/>
      <c r="H54" s="150"/>
      <c r="I54" s="34"/>
      <c r="J54" s="34"/>
    </row>
    <row r="55" spans="1:10" ht="12.75">
      <c r="A55" s="157" t="s">
        <v>28</v>
      </c>
      <c r="B55" s="126"/>
      <c r="C55" s="261">
        <f>IF(C50&gt;0,C50*C53,0)</f>
        <v>197091.01160046706</v>
      </c>
      <c r="D55" s="101"/>
      <c r="E55" s="264">
        <f>G55-C55</f>
        <v>-197091.01160046706</v>
      </c>
      <c r="F55" s="427" t="s">
        <v>370</v>
      </c>
      <c r="G55" s="261">
        <f>TAXREC!E144</f>
        <v>0</v>
      </c>
      <c r="H55" s="160"/>
      <c r="I55" s="34"/>
      <c r="J55" s="488"/>
    </row>
    <row r="56" spans="1:10" ht="12.75">
      <c r="A56" s="157"/>
      <c r="B56" s="126"/>
      <c r="C56" s="104"/>
      <c r="D56" s="131"/>
      <c r="E56" s="138"/>
      <c r="F56" s="113"/>
      <c r="G56" s="138"/>
      <c r="H56" s="150"/>
      <c r="I56" s="34"/>
      <c r="J56" s="34"/>
    </row>
    <row r="57" spans="1:10" ht="12.75">
      <c r="A57" s="157"/>
      <c r="B57" s="126"/>
      <c r="C57" s="104"/>
      <c r="D57" s="131"/>
      <c r="E57" s="138"/>
      <c r="F57" s="6"/>
      <c r="G57" s="138"/>
      <c r="H57" s="150"/>
      <c r="I57" s="34"/>
      <c r="J57" s="34"/>
    </row>
    <row r="58" spans="1:10" ht="12.75">
      <c r="A58" s="157" t="s">
        <v>36</v>
      </c>
      <c r="B58" s="126">
        <v>14</v>
      </c>
      <c r="C58" s="262"/>
      <c r="D58" s="131"/>
      <c r="E58" s="264">
        <f>+G58-C58</f>
        <v>0</v>
      </c>
      <c r="F58" s="427" t="s">
        <v>370</v>
      </c>
      <c r="G58" s="267">
        <f>TAXREC!E145</f>
        <v>0</v>
      </c>
      <c r="H58" s="150"/>
      <c r="I58" s="34"/>
      <c r="J58" s="34"/>
    </row>
    <row r="59" spans="1:10" ht="13.5" thickBot="1">
      <c r="A59" s="157"/>
      <c r="B59" s="126"/>
      <c r="C59" s="104"/>
      <c r="D59" s="18"/>
      <c r="E59" s="138"/>
      <c r="F59" s="6"/>
      <c r="G59" s="138"/>
      <c r="H59" s="150"/>
      <c r="I59" s="34"/>
      <c r="J59" s="34"/>
    </row>
    <row r="60" spans="1:10" ht="13.5" thickBot="1">
      <c r="A60" s="149" t="s">
        <v>37</v>
      </c>
      <c r="B60" s="133"/>
      <c r="C60" s="263">
        <f>+C55-C58</f>
        <v>197091.01160046706</v>
      </c>
      <c r="D60" s="132"/>
      <c r="E60" s="266">
        <f>+E55-E58</f>
        <v>-197091.01160046706</v>
      </c>
      <c r="F60" s="427" t="s">
        <v>370</v>
      </c>
      <c r="G60" s="266">
        <f>+G55-G58</f>
        <v>0</v>
      </c>
      <c r="H60" s="134"/>
      <c r="I60" s="34"/>
      <c r="J60" s="488"/>
    </row>
    <row r="61" spans="1:10" ht="12.75">
      <c r="A61" s="157"/>
      <c r="B61" s="126"/>
      <c r="C61" s="104"/>
      <c r="D61" s="18"/>
      <c r="E61" s="138"/>
      <c r="F61" s="6"/>
      <c r="G61" s="138"/>
      <c r="H61" s="150"/>
      <c r="I61" s="34"/>
      <c r="J61" s="34"/>
    </row>
    <row r="62" spans="1:10" ht="12.75">
      <c r="A62" s="157"/>
      <c r="B62" s="122"/>
      <c r="C62" s="104"/>
      <c r="D62" s="18"/>
      <c r="E62" s="138"/>
      <c r="F62" s="6"/>
      <c r="G62" s="138"/>
      <c r="H62" s="150"/>
      <c r="I62" s="34"/>
      <c r="J62" s="34"/>
    </row>
    <row r="63" spans="1:10" ht="12.75">
      <c r="A63" s="153" t="s">
        <v>31</v>
      </c>
      <c r="B63" s="127"/>
      <c r="C63" s="104"/>
      <c r="D63" s="18"/>
      <c r="E63" s="138"/>
      <c r="F63" s="6"/>
      <c r="G63" s="138"/>
      <c r="H63" s="150"/>
      <c r="I63" s="34"/>
      <c r="J63" s="34"/>
    </row>
    <row r="64" spans="1:10" ht="12.75">
      <c r="A64" s="157"/>
      <c r="B64" s="126"/>
      <c r="C64" s="104"/>
      <c r="D64" s="18"/>
      <c r="E64" s="138"/>
      <c r="F64" s="6"/>
      <c r="G64" s="138"/>
      <c r="H64" s="150"/>
      <c r="I64" s="34"/>
      <c r="J64" s="34"/>
    </row>
    <row r="65" spans="1:10" ht="12.75">
      <c r="A65" s="155" t="s">
        <v>29</v>
      </c>
      <c r="B65" s="125"/>
      <c r="C65" s="104"/>
      <c r="D65" s="18"/>
      <c r="E65" s="138"/>
      <c r="F65" s="6"/>
      <c r="G65" s="138"/>
      <c r="H65" s="150"/>
      <c r="I65" s="34"/>
      <c r="J65" s="34"/>
    </row>
    <row r="66" spans="1:10" ht="12.75">
      <c r="A66" s="151" t="s">
        <v>17</v>
      </c>
      <c r="B66" s="124">
        <v>15</v>
      </c>
      <c r="C66" s="261">
        <f>Ratebase</f>
        <v>13535678</v>
      </c>
      <c r="D66" s="101"/>
      <c r="E66" s="264">
        <f>G66-C66</f>
        <v>-910737</v>
      </c>
      <c r="F66" s="6"/>
      <c r="G66" s="470">
        <v>12624941</v>
      </c>
      <c r="H66" s="150"/>
      <c r="I66" s="502"/>
      <c r="J66" s="34"/>
    </row>
    <row r="67" spans="1:10" ht="12.75">
      <c r="A67" s="151" t="s">
        <v>363</v>
      </c>
      <c r="B67" s="124">
        <v>16</v>
      </c>
      <c r="C67" s="257">
        <f>IF(C66&gt;0,'Tax Rates'!C21,0)</f>
        <v>5000000</v>
      </c>
      <c r="D67" s="101"/>
      <c r="E67" s="264">
        <f>G67-C67</f>
        <v>-39100</v>
      </c>
      <c r="F67" s="6"/>
      <c r="G67" s="470">
        <v>4960900</v>
      </c>
      <c r="H67" s="150"/>
      <c r="I67" s="502"/>
      <c r="J67" s="503"/>
    </row>
    <row r="68" spans="1:10" ht="12.75">
      <c r="A68" s="151" t="s">
        <v>42</v>
      </c>
      <c r="B68" s="124"/>
      <c r="C68" s="261">
        <f>IF((C66-C67)&gt;0,C66-C67,0)</f>
        <v>8535678</v>
      </c>
      <c r="D68" s="101"/>
      <c r="E68" s="264">
        <f>SUM(E66:E67)</f>
        <v>-949837</v>
      </c>
      <c r="F68" s="113"/>
      <c r="G68" s="261">
        <f>G66-G67</f>
        <v>7664041</v>
      </c>
      <c r="H68" s="159"/>
      <c r="I68" s="34"/>
      <c r="J68" s="34"/>
    </row>
    <row r="69" spans="1:10" ht="12.75">
      <c r="A69" s="151"/>
      <c r="B69" s="124"/>
      <c r="C69" s="109"/>
      <c r="D69" s="18"/>
      <c r="E69" s="138"/>
      <c r="F69" s="6"/>
      <c r="G69" s="138"/>
      <c r="H69" s="150"/>
      <c r="I69" s="34"/>
      <c r="J69" s="34"/>
    </row>
    <row r="70" spans="1:10" ht="12.75">
      <c r="A70" s="151" t="s">
        <v>364</v>
      </c>
      <c r="B70" s="124">
        <v>17</v>
      </c>
      <c r="C70" s="298">
        <f>'Tax Rates'!C18</f>
        <v>0.003</v>
      </c>
      <c r="D70" s="101"/>
      <c r="E70" s="265">
        <f>+G70-C70</f>
        <v>0</v>
      </c>
      <c r="F70" s="6"/>
      <c r="G70" s="298">
        <v>0.003</v>
      </c>
      <c r="H70" s="150"/>
      <c r="I70" s="34"/>
      <c r="J70" s="34"/>
    </row>
    <row r="71" spans="1:10" ht="12.75">
      <c r="A71" s="151"/>
      <c r="B71" s="124"/>
      <c r="C71" s="184"/>
      <c r="D71" s="18"/>
      <c r="E71" s="139"/>
      <c r="F71" s="6"/>
      <c r="G71" s="184"/>
      <c r="H71" s="150"/>
      <c r="I71" s="34"/>
      <c r="J71" s="34"/>
    </row>
    <row r="72" spans="1:10" ht="12.75">
      <c r="A72" s="151" t="s">
        <v>316</v>
      </c>
      <c r="B72" s="124"/>
      <c r="C72" s="261">
        <f>IF(C68&gt;0,C68*C70,0)*REGINFO!$B$6/REGINFO!$B$7</f>
        <v>25607.034</v>
      </c>
      <c r="D72" s="100"/>
      <c r="E72" s="264">
        <f>+G72-C72</f>
        <v>-2614.911</v>
      </c>
      <c r="F72" s="471" t="s">
        <v>476</v>
      </c>
      <c r="G72" s="261">
        <f>IF(G68&gt;0,G68*G70,0)*REGINFO!$B$6/REGINFO!$B$7</f>
        <v>22992.123</v>
      </c>
      <c r="H72" s="160"/>
      <c r="I72" s="34"/>
      <c r="J72" s="34"/>
    </row>
    <row r="73" spans="1:10" ht="12.75">
      <c r="A73" s="149"/>
      <c r="B73" s="128"/>
      <c r="C73" s="109"/>
      <c r="D73" s="135"/>
      <c r="E73" s="138"/>
      <c r="F73" s="6"/>
      <c r="G73" s="138"/>
      <c r="H73" s="150"/>
      <c r="I73" s="34"/>
      <c r="J73" s="34"/>
    </row>
    <row r="74" spans="1:10" ht="12.75">
      <c r="A74" s="155" t="s">
        <v>218</v>
      </c>
      <c r="B74" s="125"/>
      <c r="C74" s="109"/>
      <c r="D74" s="18"/>
      <c r="E74" s="138"/>
      <c r="F74" s="6"/>
      <c r="G74" s="138"/>
      <c r="H74" s="150"/>
      <c r="I74" s="34"/>
      <c r="J74" s="34"/>
    </row>
    <row r="75" spans="1:10" ht="12.75">
      <c r="A75" s="151" t="s">
        <v>17</v>
      </c>
      <c r="B75" s="124">
        <v>18</v>
      </c>
      <c r="C75" s="261">
        <f>Ratebase</f>
        <v>13535678</v>
      </c>
      <c r="D75" s="101"/>
      <c r="E75" s="264">
        <f>+G75-C75</f>
        <v>-910737</v>
      </c>
      <c r="F75" s="6"/>
      <c r="G75" s="470">
        <v>12624941</v>
      </c>
      <c r="H75" s="150"/>
      <c r="I75" s="502"/>
      <c r="J75" s="34"/>
    </row>
    <row r="76" spans="1:10" ht="12.75">
      <c r="A76" s="151" t="s">
        <v>363</v>
      </c>
      <c r="B76" s="124">
        <v>19</v>
      </c>
      <c r="C76" s="257">
        <f>IF(C75&gt;0,'Tax Rates'!C22,0)</f>
        <v>10000000</v>
      </c>
      <c r="D76" s="18"/>
      <c r="E76" s="264">
        <f>+G76-C76</f>
        <v>-200</v>
      </c>
      <c r="F76" s="6"/>
      <c r="G76" s="470">
        <f>'Tax Rates'!C58</f>
        <v>9999800</v>
      </c>
      <c r="H76" s="150"/>
      <c r="I76" s="502"/>
      <c r="J76" s="34"/>
    </row>
    <row r="77" spans="1:10" ht="12.75">
      <c r="A77" s="151" t="s">
        <v>42</v>
      </c>
      <c r="B77" s="124"/>
      <c r="C77" s="261">
        <f>IF((C75-C76)&gt;0,C75-C76,0)</f>
        <v>3535678</v>
      </c>
      <c r="D77" s="19"/>
      <c r="E77" s="264">
        <f>SUM(E75:E76)</f>
        <v>-910937</v>
      </c>
      <c r="F77" s="113"/>
      <c r="G77" s="261">
        <f>G75-G76</f>
        <v>2625141</v>
      </c>
      <c r="H77" s="159"/>
      <c r="I77" s="34"/>
      <c r="J77" s="34"/>
    </row>
    <row r="78" spans="1:10" ht="12.75">
      <c r="A78" s="151"/>
      <c r="B78" s="124"/>
      <c r="C78" s="109"/>
      <c r="D78" s="18"/>
      <c r="E78" s="138"/>
      <c r="F78" s="6"/>
      <c r="G78" s="138"/>
      <c r="H78" s="150"/>
      <c r="I78" s="34"/>
      <c r="J78" s="34"/>
    </row>
    <row r="79" spans="1:10" ht="12.75">
      <c r="A79" s="151" t="s">
        <v>364</v>
      </c>
      <c r="B79" s="124">
        <v>20</v>
      </c>
      <c r="C79" s="298">
        <f>'Tax Rates'!C19</f>
        <v>0.00225</v>
      </c>
      <c r="D79" s="101"/>
      <c r="E79" s="265">
        <f>G79-C79</f>
        <v>0</v>
      </c>
      <c r="F79" s="6"/>
      <c r="G79" s="265">
        <f>'Tax Rates'!C55</f>
        <v>0.00225</v>
      </c>
      <c r="H79" s="150"/>
      <c r="I79" s="34"/>
      <c r="J79" s="34"/>
    </row>
    <row r="80" spans="1:10" ht="12.75">
      <c r="A80" s="151"/>
      <c r="B80" s="124"/>
      <c r="C80" s="109"/>
      <c r="D80" s="18"/>
      <c r="E80" s="138"/>
      <c r="F80" s="6"/>
      <c r="G80" s="138"/>
      <c r="H80" s="150"/>
      <c r="I80" s="34"/>
      <c r="J80" s="34"/>
    </row>
    <row r="81" spans="1:10" ht="12.75">
      <c r="A81" s="151" t="s">
        <v>317</v>
      </c>
      <c r="B81" s="124"/>
      <c r="C81" s="261">
        <f>IF(C77&gt;0,C77*C79,0)*REGINFO!$B$6/REGINFO!$B$7</f>
        <v>7955.275500000001</v>
      </c>
      <c r="D81" s="101"/>
      <c r="E81" s="264">
        <f>+G81-C81</f>
        <v>-2048.7082500000015</v>
      </c>
      <c r="F81" s="6"/>
      <c r="G81" s="261">
        <f>G77*G79*B9/B10</f>
        <v>5906.567249999999</v>
      </c>
      <c r="H81" s="150"/>
      <c r="I81" s="34"/>
      <c r="J81" s="34"/>
    </row>
    <row r="82" spans="1:10" ht="12.75">
      <c r="A82" s="151" t="s">
        <v>318</v>
      </c>
      <c r="B82" s="124">
        <v>21</v>
      </c>
      <c r="C82" s="297">
        <f>IF(C77&gt;0,IF(C60&gt;0,C50*'Tax Rates'!C20,0),0)</f>
        <v>6469.575996263866</v>
      </c>
      <c r="D82" s="101"/>
      <c r="E82" s="264">
        <f>+G82-C82</f>
        <v>-234.57599626386582</v>
      </c>
      <c r="F82" s="6"/>
      <c r="G82" s="297">
        <v>6235</v>
      </c>
      <c r="H82" s="150"/>
      <c r="I82" s="34"/>
      <c r="J82" s="488"/>
    </row>
    <row r="83" spans="1:10" ht="12.75">
      <c r="A83" s="151"/>
      <c r="B83" s="124"/>
      <c r="C83" s="109"/>
      <c r="D83" s="18"/>
      <c r="E83" s="138"/>
      <c r="F83" s="6"/>
      <c r="G83" s="138"/>
      <c r="H83" s="150"/>
      <c r="I83" s="34"/>
      <c r="J83" s="34"/>
    </row>
    <row r="84" spans="1:12" ht="12.75">
      <c r="A84" s="151" t="s">
        <v>32</v>
      </c>
      <c r="B84" s="124"/>
      <c r="C84" s="261">
        <f>C81-C82</f>
        <v>1485.6995037361348</v>
      </c>
      <c r="D84" s="16"/>
      <c r="E84" s="264">
        <f>E81-E82</f>
        <v>-1814.1322537361357</v>
      </c>
      <c r="F84" s="102"/>
      <c r="G84" s="261">
        <f>G81-G82</f>
        <v>-328.43275000000085</v>
      </c>
      <c r="H84" s="160"/>
      <c r="I84" s="34"/>
      <c r="J84" s="34"/>
      <c r="L84" s="22"/>
    </row>
    <row r="85" spans="1:10" ht="12.75">
      <c r="A85" s="151"/>
      <c r="B85" s="124"/>
      <c r="C85" s="104"/>
      <c r="D85" s="11"/>
      <c r="E85" s="140"/>
      <c r="F85" s="6"/>
      <c r="G85" s="140"/>
      <c r="H85" s="162"/>
      <c r="I85" s="34"/>
      <c r="J85" s="34"/>
    </row>
    <row r="86" spans="1:10" ht="12.75">
      <c r="A86" s="153" t="s">
        <v>118</v>
      </c>
      <c r="B86" s="127"/>
      <c r="C86" s="104"/>
      <c r="D86" s="11"/>
      <c r="E86" s="114"/>
      <c r="F86" s="3"/>
      <c r="G86" s="122"/>
      <c r="H86" s="150"/>
      <c r="I86" s="34"/>
      <c r="J86" s="34"/>
    </row>
    <row r="87" spans="1:10" ht="12.75">
      <c r="A87" s="153"/>
      <c r="B87" s="127"/>
      <c r="C87" s="104"/>
      <c r="D87" s="11"/>
      <c r="E87" s="113"/>
      <c r="F87" s="6"/>
      <c r="G87" s="196"/>
      <c r="H87" s="150"/>
      <c r="I87" s="34"/>
      <c r="J87" s="34"/>
    </row>
    <row r="88" spans="1:10" ht="12.75">
      <c r="A88" s="151" t="s">
        <v>226</v>
      </c>
      <c r="B88" s="124"/>
      <c r="C88" s="259">
        <f>IF($C$50&gt;'Tax Rates'!$E$11,'Tax Rates'!$F$16,IF(AND($C$50&gt;='Tax Rates'!$C$11,$C$50&lt;='Tax Rates'!E11),'Tax Rates'!$E$16,'Tax Rates'!$C$16))-1.12%</f>
        <v>0.33</v>
      </c>
      <c r="D88" s="11"/>
      <c r="E88" s="113"/>
      <c r="F88" s="6"/>
      <c r="G88" s="196"/>
      <c r="H88" s="150"/>
      <c r="I88" s="34"/>
      <c r="J88" s="488"/>
    </row>
    <row r="89" spans="1:10" ht="12.75">
      <c r="A89" s="149"/>
      <c r="B89" s="128"/>
      <c r="C89" s="109"/>
      <c r="D89" s="11"/>
      <c r="E89" s="113"/>
      <c r="F89" s="6"/>
      <c r="G89" s="196"/>
      <c r="H89" s="150"/>
      <c r="I89" s="34"/>
      <c r="J89" s="34"/>
    </row>
    <row r="90" spans="1:10" ht="12.75">
      <c r="A90" s="157" t="s">
        <v>371</v>
      </c>
      <c r="B90" s="126">
        <v>22</v>
      </c>
      <c r="C90" s="261">
        <f>C60/(1-C88)</f>
        <v>294165.68895592104</v>
      </c>
      <c r="D90" s="20"/>
      <c r="E90" s="138"/>
      <c r="F90" s="426" t="s">
        <v>486</v>
      </c>
      <c r="G90" s="267">
        <f>TAXREC!E156</f>
        <v>0</v>
      </c>
      <c r="H90" s="150"/>
      <c r="I90" s="34"/>
      <c r="J90" s="488"/>
    </row>
    <row r="91" spans="1:10" ht="12.75">
      <c r="A91" s="157" t="s">
        <v>372</v>
      </c>
      <c r="B91" s="126">
        <v>23</v>
      </c>
      <c r="C91" s="261">
        <f>C84/(1-C88)</f>
        <v>2217.4619458748284</v>
      </c>
      <c r="D91" s="20"/>
      <c r="E91" s="138"/>
      <c r="F91" s="426" t="s">
        <v>486</v>
      </c>
      <c r="G91" s="267">
        <f>TAXREC!E158</f>
        <v>5907</v>
      </c>
      <c r="H91" s="150"/>
      <c r="I91" s="34"/>
      <c r="J91" s="488"/>
    </row>
    <row r="92" spans="1:10" ht="12.75">
      <c r="A92" s="157" t="s">
        <v>351</v>
      </c>
      <c r="B92" s="126">
        <v>24</v>
      </c>
      <c r="C92" s="261">
        <f>C72</f>
        <v>25607.034</v>
      </c>
      <c r="D92" s="20"/>
      <c r="E92" s="138"/>
      <c r="F92" s="426" t="s">
        <v>486</v>
      </c>
      <c r="G92" s="267">
        <f>TAXREC!E157</f>
        <v>22992</v>
      </c>
      <c r="H92" s="150"/>
      <c r="I92" s="34"/>
      <c r="J92" s="34"/>
    </row>
    <row r="93" spans="1:10" ht="12.75">
      <c r="A93" s="157"/>
      <c r="B93" s="126"/>
      <c r="C93" s="109"/>
      <c r="D93" s="11"/>
      <c r="E93" s="138"/>
      <c r="F93" s="6"/>
      <c r="G93" s="138"/>
      <c r="H93" s="150"/>
      <c r="I93" s="34"/>
      <c r="J93" s="34"/>
    </row>
    <row r="94" spans="1:10" ht="13.5" thickBot="1">
      <c r="A94" s="157"/>
      <c r="B94" s="126"/>
      <c r="C94" s="109"/>
      <c r="D94" s="11"/>
      <c r="E94" s="138"/>
      <c r="F94" s="6"/>
      <c r="G94" s="138"/>
      <c r="H94" s="150"/>
      <c r="I94" s="34"/>
      <c r="J94" s="34"/>
    </row>
    <row r="95" spans="1:10" ht="13.5" thickBot="1">
      <c r="A95" s="155" t="s">
        <v>487</v>
      </c>
      <c r="B95" s="124">
        <v>25</v>
      </c>
      <c r="C95" s="266">
        <f>SUM(C90:C93)</f>
        <v>321990.1849017959</v>
      </c>
      <c r="D95" s="6"/>
      <c r="E95" s="138"/>
      <c r="F95" s="426" t="s">
        <v>486</v>
      </c>
      <c r="G95" s="410">
        <f>SUM(G90:G94)</f>
        <v>28899</v>
      </c>
      <c r="H95" s="163"/>
      <c r="I95" s="34"/>
      <c r="J95" s="488"/>
    </row>
    <row r="96" spans="1:10" ht="12.75">
      <c r="A96" s="400" t="s">
        <v>307</v>
      </c>
      <c r="B96" s="124"/>
      <c r="C96" s="104"/>
      <c r="D96" s="6"/>
      <c r="E96" s="108"/>
      <c r="F96" s="6"/>
      <c r="G96" s="138"/>
      <c r="H96" s="163"/>
      <c r="I96" s="34"/>
      <c r="J96" s="488"/>
    </row>
    <row r="97" spans="1:10" ht="13.5" thickBot="1">
      <c r="A97" s="151"/>
      <c r="B97" s="124"/>
      <c r="C97" s="104"/>
      <c r="D97" s="6"/>
      <c r="E97" s="108"/>
      <c r="F97" s="6"/>
      <c r="G97" s="138"/>
      <c r="H97" s="181"/>
      <c r="I97" s="34"/>
      <c r="J97" s="488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8"/>
      <c r="H100" s="163"/>
    </row>
    <row r="101" spans="1:8" ht="12.75">
      <c r="A101" s="155" t="s">
        <v>349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8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8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8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8">
        <f>E24</f>
        <v>-12792</v>
      </c>
      <c r="F105" s="37"/>
      <c r="G105" s="199"/>
      <c r="H105" s="163"/>
    </row>
    <row r="106" spans="1:8" ht="12.75">
      <c r="A106" s="157" t="s">
        <v>366</v>
      </c>
      <c r="B106" s="126">
        <v>6</v>
      </c>
      <c r="C106" s="111"/>
      <c r="D106" s="3"/>
      <c r="E106" s="248">
        <f>E26</f>
        <v>0</v>
      </c>
      <c r="F106" s="37"/>
      <c r="G106" s="199"/>
      <c r="H106" s="163"/>
    </row>
    <row r="107" spans="1:8" ht="12.75">
      <c r="A107" s="157" t="s">
        <v>367</v>
      </c>
      <c r="B107" s="126">
        <v>6</v>
      </c>
      <c r="C107" s="111"/>
      <c r="D107" s="3"/>
      <c r="E107" s="248">
        <f>E28</f>
        <v>0</v>
      </c>
      <c r="F107" s="37"/>
      <c r="G107" s="199"/>
      <c r="H107" s="163"/>
    </row>
    <row r="108" spans="1:8" ht="12.75">
      <c r="A108" s="155" t="s">
        <v>365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8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8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8">
        <f>E36</f>
        <v>0</v>
      </c>
      <c r="F111" s="37"/>
      <c r="G111" s="199"/>
      <c r="H111" s="163"/>
    </row>
    <row r="112" spans="1:8" ht="12.75">
      <c r="A112" s="154" t="s">
        <v>321</v>
      </c>
      <c r="B112" s="126">
        <v>11</v>
      </c>
      <c r="C112" s="111"/>
      <c r="D112" s="3"/>
      <c r="E112" s="467">
        <f>E206</f>
        <v>0</v>
      </c>
      <c r="F112" s="186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8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8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8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8">
        <f>E41</f>
        <v>0</v>
      </c>
      <c r="F116" s="37"/>
      <c r="G116" s="199"/>
      <c r="H116" s="163"/>
    </row>
    <row r="117" spans="1:8" ht="12.75">
      <c r="A117" s="157" t="s">
        <v>368</v>
      </c>
      <c r="B117" s="126">
        <v>12</v>
      </c>
      <c r="C117" s="111"/>
      <c r="D117" s="3"/>
      <c r="E117" s="248">
        <f>E44</f>
        <v>0</v>
      </c>
      <c r="F117" s="37"/>
      <c r="G117" s="199"/>
      <c r="H117" s="163"/>
    </row>
    <row r="118" spans="1:8" ht="12.75">
      <c r="A118" s="157" t="s">
        <v>369</v>
      </c>
      <c r="B118" s="126">
        <v>12</v>
      </c>
      <c r="C118" s="111"/>
      <c r="D118" s="3"/>
      <c r="E118" s="248">
        <f>E46</f>
        <v>2375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1">
        <f>SUM(E102:E107)-SUM(E109:E118)</f>
        <v>-15167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156" t="s">
        <v>489</v>
      </c>
      <c r="B122" s="126"/>
      <c r="C122" s="111"/>
      <c r="D122" s="3" t="s">
        <v>230</v>
      </c>
      <c r="E122" s="465">
        <v>0.3862</v>
      </c>
      <c r="F122" s="494"/>
      <c r="G122" s="495"/>
      <c r="H122" s="163"/>
    </row>
    <row r="123" spans="1:8" ht="12.75">
      <c r="A123" s="157"/>
      <c r="B123" s="126"/>
      <c r="C123" s="111"/>
      <c r="D123" s="3"/>
      <c r="E123" s="109"/>
      <c r="F123" s="82"/>
      <c r="G123" s="109"/>
      <c r="H123" s="163"/>
    </row>
    <row r="124" spans="1:8" ht="12.75">
      <c r="A124" s="157" t="s">
        <v>245</v>
      </c>
      <c r="B124" s="126"/>
      <c r="C124" s="111"/>
      <c r="D124" s="3" t="s">
        <v>189</v>
      </c>
      <c r="E124" s="261">
        <f>E120*E122</f>
        <v>-5857.4954</v>
      </c>
      <c r="F124" s="82"/>
      <c r="G124" s="109"/>
      <c r="H124" s="163"/>
    </row>
    <row r="125" spans="1:8" ht="12.75">
      <c r="A125" s="157"/>
      <c r="B125" s="126"/>
      <c r="C125" s="111"/>
      <c r="D125" s="3"/>
      <c r="E125" s="109"/>
      <c r="F125" s="82"/>
      <c r="G125" s="109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1">
        <f>E58</f>
        <v>0</v>
      </c>
      <c r="F126" s="82"/>
      <c r="G126" s="109"/>
      <c r="H126" s="163"/>
    </row>
    <row r="127" spans="1:8" ht="12.75">
      <c r="A127" s="157"/>
      <c r="B127" s="126"/>
      <c r="C127" s="111"/>
      <c r="D127" s="3"/>
      <c r="E127" s="109"/>
      <c r="F127" s="82"/>
      <c r="G127" s="109"/>
      <c r="H127" s="163"/>
    </row>
    <row r="128" spans="1:8" ht="12.75">
      <c r="A128" s="157" t="s">
        <v>117</v>
      </c>
      <c r="B128" s="126"/>
      <c r="C128" s="111"/>
      <c r="D128" s="3"/>
      <c r="E128" s="261">
        <f>E124-E126</f>
        <v>-5857.4954</v>
      </c>
      <c r="F128" s="82"/>
      <c r="G128" s="109"/>
      <c r="H128" s="163"/>
    </row>
    <row r="129" spans="1:8" ht="12.75">
      <c r="A129" s="166"/>
      <c r="B129" s="126"/>
      <c r="C129" s="111"/>
      <c r="D129" s="3"/>
      <c r="E129" s="109"/>
      <c r="F129" s="82"/>
      <c r="G129" s="109"/>
      <c r="H129" s="163"/>
    </row>
    <row r="130" spans="1:8" ht="12.75">
      <c r="A130" s="151" t="s">
        <v>196</v>
      </c>
      <c r="B130" s="126"/>
      <c r="C130" s="111"/>
      <c r="D130" s="3"/>
      <c r="E130" s="465">
        <f>E122-0.0112</f>
        <v>0.375</v>
      </c>
      <c r="F130" s="496"/>
      <c r="G130" s="109"/>
      <c r="H130" s="163"/>
    </row>
    <row r="131" spans="1:8" ht="12.75">
      <c r="A131" s="149"/>
      <c r="B131" s="126"/>
      <c r="C131" s="111"/>
      <c r="D131" s="3"/>
      <c r="E131" s="109"/>
      <c r="F131" s="82"/>
      <c r="G131" s="109"/>
      <c r="H131" s="163"/>
    </row>
    <row r="132" spans="1:8" ht="12.75">
      <c r="A132" s="167" t="s">
        <v>355</v>
      </c>
      <c r="B132" s="129"/>
      <c r="C132" s="111"/>
      <c r="D132" s="3"/>
      <c r="E132" s="260">
        <f>E128/(1-E130)</f>
        <v>-9371.99264</v>
      </c>
      <c r="F132" s="82"/>
      <c r="G132" s="109"/>
      <c r="H132" s="163"/>
    </row>
    <row r="133" spans="1:8" ht="12.75">
      <c r="A133" s="167"/>
      <c r="B133" s="129"/>
      <c r="C133" s="111"/>
      <c r="D133" s="3"/>
      <c r="E133" s="106"/>
      <c r="F133" s="82"/>
      <c r="G133" s="109"/>
      <c r="H133" s="163"/>
    </row>
    <row r="134" spans="1:8" ht="30">
      <c r="A134" s="168" t="s">
        <v>358</v>
      </c>
      <c r="B134" s="129"/>
      <c r="C134" s="111"/>
      <c r="D134" s="3"/>
      <c r="E134" s="106"/>
      <c r="F134" s="82"/>
      <c r="G134" s="109"/>
      <c r="H134" s="163"/>
    </row>
    <row r="135" spans="1:8" ht="12.75">
      <c r="A135" s="169"/>
      <c r="B135" s="129"/>
      <c r="C135" s="111"/>
      <c r="D135" s="3"/>
      <c r="E135" s="106"/>
      <c r="F135" s="82"/>
      <c r="G135" s="109"/>
      <c r="H135" s="163"/>
    </row>
    <row r="136" spans="1:8" ht="25.5">
      <c r="A136" s="170" t="s">
        <v>234</v>
      </c>
      <c r="B136" s="129"/>
      <c r="C136" s="111"/>
      <c r="D136" s="117" t="s">
        <v>189</v>
      </c>
      <c r="E136" s="299">
        <f>C50</f>
        <v>577640.7139521309</v>
      </c>
      <c r="F136" s="82"/>
      <c r="G136" s="109"/>
      <c r="H136" s="163"/>
    </row>
    <row r="137" spans="1:8" ht="12.75">
      <c r="A137" s="170"/>
      <c r="B137" s="129"/>
      <c r="C137" s="111"/>
      <c r="D137" s="118"/>
      <c r="E137" s="144"/>
      <c r="F137" s="82"/>
      <c r="G137" s="109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465">
        <f>E122</f>
        <v>0.3862</v>
      </c>
      <c r="F138" s="496"/>
      <c r="G138" s="109"/>
      <c r="H138" s="163"/>
    </row>
    <row r="139" spans="1:8" ht="12.75">
      <c r="A139" s="170"/>
      <c r="B139" s="129"/>
      <c r="C139" s="111"/>
      <c r="D139" s="118"/>
      <c r="E139" s="143"/>
      <c r="F139" s="82"/>
      <c r="G139" s="109"/>
      <c r="H139" s="163"/>
    </row>
    <row r="140" spans="1:8" ht="12.75">
      <c r="A140" s="170" t="s">
        <v>228</v>
      </c>
      <c r="B140" s="129"/>
      <c r="C140" s="111"/>
      <c r="D140" s="117" t="s">
        <v>189</v>
      </c>
      <c r="E140" s="300">
        <f>IF(E136&gt;0,E136*E138,0)</f>
        <v>223084.84372831293</v>
      </c>
      <c r="F140" s="82"/>
      <c r="G140" s="109"/>
      <c r="H140" s="163"/>
    </row>
    <row r="141" spans="1:8" ht="12.75">
      <c r="A141" s="170"/>
      <c r="B141" s="129"/>
      <c r="C141" s="111"/>
      <c r="D141" s="118"/>
      <c r="E141" s="143"/>
      <c r="F141" s="82"/>
      <c r="G141" s="109"/>
      <c r="H141" s="163"/>
    </row>
    <row r="142" spans="1:8" ht="12.75">
      <c r="A142" s="170" t="s">
        <v>237</v>
      </c>
      <c r="B142" s="129"/>
      <c r="C142" s="111"/>
      <c r="D142" s="117" t="s">
        <v>188</v>
      </c>
      <c r="E142" s="301">
        <f>TAXREC!E145</f>
        <v>0</v>
      </c>
      <c r="F142" s="82"/>
      <c r="G142" s="109"/>
      <c r="H142" s="163"/>
    </row>
    <row r="143" spans="1:8" ht="12.75">
      <c r="A143" s="170"/>
      <c r="B143" s="129"/>
      <c r="C143" s="111"/>
      <c r="D143" s="118"/>
      <c r="E143" s="143"/>
      <c r="F143" s="82"/>
      <c r="G143" s="109"/>
      <c r="H143" s="163"/>
    </row>
    <row r="144" spans="1:8" ht="12.75">
      <c r="A144" s="170" t="s">
        <v>229</v>
      </c>
      <c r="B144" s="129"/>
      <c r="C144" s="111"/>
      <c r="D144" s="118" t="s">
        <v>189</v>
      </c>
      <c r="E144" s="299">
        <f>E140-E142</f>
        <v>223084.84372831293</v>
      </c>
      <c r="F144" s="82"/>
      <c r="G144" s="109"/>
      <c r="H144" s="163"/>
    </row>
    <row r="145" spans="1:8" ht="12.75">
      <c r="A145" s="170"/>
      <c r="B145" s="129"/>
      <c r="C145" s="111"/>
      <c r="D145" s="118"/>
      <c r="E145" s="143"/>
      <c r="F145" s="82"/>
      <c r="G145" s="109"/>
      <c r="H145" s="163"/>
    </row>
    <row r="146" spans="1:8" ht="25.5">
      <c r="A146" s="170" t="s">
        <v>238</v>
      </c>
      <c r="B146" s="129"/>
      <c r="C146" s="111"/>
      <c r="D146" s="117" t="s">
        <v>188</v>
      </c>
      <c r="E146" s="299">
        <f>C60</f>
        <v>197091.01160046706</v>
      </c>
      <c r="F146" s="82"/>
      <c r="G146" s="109"/>
      <c r="H146" s="163"/>
    </row>
    <row r="147" spans="1:8" ht="12.75">
      <c r="A147" s="170"/>
      <c r="B147" s="129"/>
      <c r="C147" s="111"/>
      <c r="D147" s="118"/>
      <c r="E147" s="143"/>
      <c r="F147" s="82"/>
      <c r="G147" s="109"/>
      <c r="H147" s="163"/>
    </row>
    <row r="148" spans="1:8" ht="12.75">
      <c r="A148" s="170" t="s">
        <v>231</v>
      </c>
      <c r="B148" s="129"/>
      <c r="C148" s="111"/>
      <c r="D148" s="117" t="s">
        <v>189</v>
      </c>
      <c r="E148" s="299">
        <f>E144-E146</f>
        <v>25993.832127845875</v>
      </c>
      <c r="F148" s="82"/>
      <c r="G148" s="109"/>
      <c r="H148" s="163"/>
    </row>
    <row r="149" spans="1:8" ht="12.75">
      <c r="A149" s="170"/>
      <c r="B149" s="129"/>
      <c r="C149" s="111"/>
      <c r="D149" s="118"/>
      <c r="E149" s="143"/>
      <c r="F149" s="82"/>
      <c r="G149" s="109"/>
      <c r="H149" s="163"/>
    </row>
    <row r="150" spans="1:8" ht="12.75">
      <c r="A150" s="383" t="s">
        <v>20</v>
      </c>
      <c r="B150" s="129"/>
      <c r="C150" s="111"/>
      <c r="D150" s="118"/>
      <c r="E150" s="476"/>
      <c r="F150" s="82"/>
      <c r="G150" s="10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299">
        <f>C66</f>
        <v>13535678</v>
      </c>
      <c r="F151" s="82"/>
      <c r="G151" s="109"/>
      <c r="H151" s="163"/>
    </row>
    <row r="152" spans="1:8" ht="12.75">
      <c r="A152" s="170" t="s">
        <v>361</v>
      </c>
      <c r="B152" s="129"/>
      <c r="C152" s="111"/>
      <c r="D152" s="117" t="s">
        <v>188</v>
      </c>
      <c r="E152" s="302">
        <f>IF(E151&gt;0,'Tax Rates'!C39,0)</f>
        <v>5000000</v>
      </c>
      <c r="F152" s="82"/>
      <c r="G152" s="109"/>
      <c r="H152" s="163"/>
    </row>
    <row r="153" spans="1:8" ht="12.75">
      <c r="A153" s="170" t="s">
        <v>232</v>
      </c>
      <c r="B153" s="129"/>
      <c r="C153" s="111"/>
      <c r="D153" s="117" t="s">
        <v>189</v>
      </c>
      <c r="E153" s="299">
        <f>E151-E152</f>
        <v>8535678</v>
      </c>
      <c r="F153" s="82"/>
      <c r="G153" s="109"/>
      <c r="H153" s="163"/>
    </row>
    <row r="154" spans="1:8" ht="12.75">
      <c r="A154" s="170"/>
      <c r="B154" s="129"/>
      <c r="C154" s="111"/>
      <c r="D154" s="118"/>
      <c r="E154" s="143"/>
      <c r="F154" s="82"/>
      <c r="G154" s="109"/>
      <c r="H154" s="163"/>
    </row>
    <row r="155" spans="1:8" ht="12.75">
      <c r="A155" s="170" t="s">
        <v>362</v>
      </c>
      <c r="B155" s="129"/>
      <c r="C155" s="111"/>
      <c r="D155" s="118" t="s">
        <v>230</v>
      </c>
      <c r="E155" s="303">
        <f>'Tax Rates'!C54</f>
        <v>0.003</v>
      </c>
      <c r="F155" s="82"/>
      <c r="G155" s="109"/>
      <c r="H155" s="163"/>
    </row>
    <row r="156" spans="1:8" ht="12.75">
      <c r="A156" s="170"/>
      <c r="B156" s="129"/>
      <c r="C156" s="111"/>
      <c r="D156" s="118"/>
      <c r="E156" s="143"/>
      <c r="F156" s="82"/>
      <c r="G156" s="109"/>
      <c r="H156" s="163"/>
    </row>
    <row r="157" spans="1:8" ht="12.75">
      <c r="A157" s="170" t="s">
        <v>233</v>
      </c>
      <c r="B157" s="129"/>
      <c r="C157" s="111"/>
      <c r="D157" s="118" t="s">
        <v>189</v>
      </c>
      <c r="E157" s="299">
        <f>IF(E153&gt;0,E153*E155*B9/B10,0)</f>
        <v>25607.034</v>
      </c>
      <c r="F157" s="82"/>
      <c r="G157" s="109"/>
      <c r="H157" s="163"/>
    </row>
    <row r="158" spans="1:8" ht="25.5">
      <c r="A158" s="170" t="s">
        <v>308</v>
      </c>
      <c r="B158" s="129"/>
      <c r="C158" s="111"/>
      <c r="D158" s="117" t="s">
        <v>188</v>
      </c>
      <c r="E158" s="302">
        <f>C72</f>
        <v>25607.034</v>
      </c>
      <c r="F158" s="82"/>
      <c r="G158" s="109"/>
      <c r="H158" s="163"/>
    </row>
    <row r="159" spans="1:8" ht="12.75" customHeight="1">
      <c r="A159" s="171" t="s">
        <v>243</v>
      </c>
      <c r="B159" s="129"/>
      <c r="C159" s="111"/>
      <c r="D159" s="117" t="s">
        <v>189</v>
      </c>
      <c r="E159" s="469">
        <f>E157-E158</f>
        <v>0</v>
      </c>
      <c r="F159" s="82"/>
      <c r="G159" s="109"/>
      <c r="H159" s="163"/>
    </row>
    <row r="160" spans="1:8" ht="12.75">
      <c r="A160" s="170"/>
      <c r="B160" s="129"/>
      <c r="C160" s="111"/>
      <c r="D160" s="118"/>
      <c r="E160" s="143"/>
      <c r="F160" s="82"/>
      <c r="G160" s="109"/>
      <c r="H160" s="163"/>
    </row>
    <row r="161" spans="1:8" ht="12.75">
      <c r="A161" s="383" t="s">
        <v>235</v>
      </c>
      <c r="B161" s="129"/>
      <c r="C161" s="111"/>
      <c r="D161" s="118"/>
      <c r="E161" s="301"/>
      <c r="F161" s="82"/>
      <c r="G161" s="109"/>
      <c r="H161" s="163"/>
    </row>
    <row r="162" spans="1:8" ht="12.75">
      <c r="A162" s="170" t="s">
        <v>17</v>
      </c>
      <c r="B162" s="129"/>
      <c r="C162" s="111"/>
      <c r="D162" s="118"/>
      <c r="E162" s="299">
        <f>C75</f>
        <v>13535678</v>
      </c>
      <c r="F162" s="82"/>
      <c r="G162" s="109"/>
      <c r="H162" s="163"/>
    </row>
    <row r="163" spans="1:8" ht="12.75">
      <c r="A163" s="170" t="s">
        <v>360</v>
      </c>
      <c r="B163" s="129"/>
      <c r="C163" s="111"/>
      <c r="D163" s="117" t="s">
        <v>188</v>
      </c>
      <c r="E163" s="302">
        <f>IF(E162&gt;0,'Tax Rates'!C40,0)</f>
        <v>10000000</v>
      </c>
      <c r="F163" s="82"/>
      <c r="G163" s="109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299">
        <f>E162-E163</f>
        <v>3535678</v>
      </c>
      <c r="F164" s="82"/>
      <c r="G164" s="109"/>
      <c r="H164" s="163"/>
    </row>
    <row r="165" spans="1:8" ht="12.75">
      <c r="A165" s="170"/>
      <c r="B165" s="129"/>
      <c r="C165" s="111"/>
      <c r="D165" s="118"/>
      <c r="E165" s="143"/>
      <c r="F165" s="82"/>
      <c r="G165" s="109"/>
      <c r="H165" s="163"/>
    </row>
    <row r="166" spans="1:8" ht="12.75">
      <c r="A166" s="170" t="s">
        <v>309</v>
      </c>
      <c r="B166" s="129"/>
      <c r="C166" s="111"/>
      <c r="D166" s="118"/>
      <c r="E166" s="303">
        <f>'Tax Rates'!C55</f>
        <v>0.00225</v>
      </c>
      <c r="F166" s="82"/>
      <c r="G166" s="109"/>
      <c r="H166" s="163"/>
    </row>
    <row r="167" spans="1:8" ht="12.75">
      <c r="A167" s="170"/>
      <c r="B167" s="129"/>
      <c r="C167" s="111"/>
      <c r="D167" s="118"/>
      <c r="E167" s="143"/>
      <c r="F167" s="82"/>
      <c r="G167" s="109"/>
      <c r="H167" s="163"/>
    </row>
    <row r="168" spans="1:8" ht="12.75">
      <c r="A168" s="170" t="s">
        <v>240</v>
      </c>
      <c r="B168" s="129"/>
      <c r="C168" s="111"/>
      <c r="D168" s="118"/>
      <c r="E168" s="299">
        <f>IF(E164&gt;0,E164*E166*B9/B10,0)</f>
        <v>7955.275500000001</v>
      </c>
      <c r="F168" s="82"/>
      <c r="G168" s="109"/>
      <c r="H168" s="163"/>
    </row>
    <row r="169" spans="1:8" ht="12.75">
      <c r="A169" s="170" t="s">
        <v>319</v>
      </c>
      <c r="B169" s="129"/>
      <c r="C169" s="111"/>
      <c r="D169" s="117" t="s">
        <v>188</v>
      </c>
      <c r="E169" s="304">
        <f>IF(E164&gt;0,IF(E144&gt;0,E136*'Tax Rates'!C56,0),0)</f>
        <v>6469.575996263866</v>
      </c>
      <c r="F169" s="82"/>
      <c r="G169" s="109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299">
        <f>E168-E169</f>
        <v>1485.6995037361348</v>
      </c>
      <c r="F170" s="82"/>
      <c r="G170" s="109"/>
      <c r="H170" s="163"/>
    </row>
    <row r="171" spans="1:8" ht="12.75">
      <c r="A171" s="170"/>
      <c r="B171" s="129"/>
      <c r="C171" s="111"/>
      <c r="D171" s="118"/>
      <c r="E171" s="238"/>
      <c r="F171" s="82"/>
      <c r="G171" s="109"/>
      <c r="H171" s="163"/>
    </row>
    <row r="172" spans="1:8" ht="12.75">
      <c r="A172" s="411" t="s">
        <v>350</v>
      </c>
      <c r="B172" s="129"/>
      <c r="C172" s="111"/>
      <c r="D172" s="117" t="s">
        <v>188</v>
      </c>
      <c r="E172" s="302">
        <f>C84</f>
        <v>1485.6995037361348</v>
      </c>
      <c r="F172" s="82"/>
      <c r="G172" s="109"/>
      <c r="H172" s="163"/>
    </row>
    <row r="173" spans="1:8" ht="12.75">
      <c r="A173" s="154" t="s">
        <v>244</v>
      </c>
      <c r="B173" s="129"/>
      <c r="C173" s="111"/>
      <c r="D173" s="118" t="s">
        <v>189</v>
      </c>
      <c r="E173" s="469">
        <f>E170-E172</f>
        <v>0</v>
      </c>
      <c r="F173" s="82"/>
      <c r="G173" s="109"/>
      <c r="H173" s="163"/>
    </row>
    <row r="174" spans="1:8" ht="12.75">
      <c r="A174" s="154"/>
      <c r="B174" s="129"/>
      <c r="C174" s="111"/>
      <c r="D174" s="118"/>
      <c r="E174" s="143"/>
      <c r="F174" s="82"/>
      <c r="G174" s="109"/>
      <c r="H174" s="163"/>
    </row>
    <row r="175" spans="1:8" ht="12.75">
      <c r="A175" s="154" t="s">
        <v>347</v>
      </c>
      <c r="B175" s="129"/>
      <c r="C175" s="111"/>
      <c r="D175" s="118"/>
      <c r="E175" s="465">
        <f>E130</f>
        <v>0.375</v>
      </c>
      <c r="F175" s="494"/>
      <c r="G175" s="109"/>
      <c r="H175" s="163"/>
    </row>
    <row r="176" spans="1:8" ht="12.75">
      <c r="A176" s="154"/>
      <c r="B176" s="129"/>
      <c r="C176" s="111"/>
      <c r="D176" s="118"/>
      <c r="E176" s="143"/>
      <c r="F176" s="82"/>
      <c r="G176" s="109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299">
        <f>E148/(1-E175)</f>
        <v>41590.1314045534</v>
      </c>
      <c r="F177" s="82"/>
      <c r="G177" s="10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299">
        <f>E173/(1-E175)</f>
        <v>0</v>
      </c>
      <c r="F178" s="82"/>
      <c r="G178" s="10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299">
        <f>E159</f>
        <v>0</v>
      </c>
      <c r="F179" s="82"/>
      <c r="G179" s="109"/>
      <c r="H179" s="163"/>
    </row>
    <row r="180" spans="1:8" ht="12.75">
      <c r="A180" s="154"/>
      <c r="B180" s="129"/>
      <c r="C180" s="111"/>
      <c r="D180" s="118"/>
      <c r="E180" s="143"/>
      <c r="F180" s="82"/>
      <c r="G180" s="109"/>
      <c r="H180" s="163"/>
    </row>
    <row r="181" spans="1:8" ht="12.75">
      <c r="A181" s="167" t="s">
        <v>356</v>
      </c>
      <c r="B181" s="129"/>
      <c r="C181" s="111"/>
      <c r="D181" s="118" t="s">
        <v>189</v>
      </c>
      <c r="E181" s="299">
        <f>SUM(E177:E179)</f>
        <v>41590.1314045534</v>
      </c>
      <c r="F181" s="82"/>
      <c r="G181" s="109"/>
      <c r="H181" s="163"/>
    </row>
    <row r="182" spans="1:8" ht="12.75">
      <c r="A182" s="154"/>
      <c r="B182" s="129"/>
      <c r="C182" s="111"/>
      <c r="D182" s="118"/>
      <c r="E182" s="143"/>
      <c r="F182" s="82"/>
      <c r="G182" s="109"/>
      <c r="H182" s="163"/>
    </row>
    <row r="183" spans="1:8" ht="12.75">
      <c r="A183" s="167" t="s">
        <v>348</v>
      </c>
      <c r="B183" s="129"/>
      <c r="C183" s="111"/>
      <c r="D183" s="118" t="s">
        <v>187</v>
      </c>
      <c r="E183" s="299">
        <f>E132</f>
        <v>-9371.99264</v>
      </c>
      <c r="F183" s="82"/>
      <c r="G183" s="109"/>
      <c r="H183" s="163"/>
    </row>
    <row r="184" spans="1:8" ht="12.75">
      <c r="A184" s="167"/>
      <c r="B184" s="129"/>
      <c r="C184" s="111"/>
      <c r="D184" s="118"/>
      <c r="E184" s="143"/>
      <c r="F184" s="82"/>
      <c r="G184" s="109"/>
      <c r="H184" s="163"/>
    </row>
    <row r="185" spans="1:8" ht="15">
      <c r="A185" s="172" t="s">
        <v>357</v>
      </c>
      <c r="B185" s="129"/>
      <c r="C185" s="111"/>
      <c r="D185" s="118" t="s">
        <v>189</v>
      </c>
      <c r="E185" s="299">
        <f>E181+E183</f>
        <v>32218.1387645534</v>
      </c>
      <c r="F185" s="82"/>
      <c r="G185" s="109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82"/>
      <c r="G186" s="109"/>
      <c r="H186" s="163"/>
    </row>
    <row r="187" spans="1:8" ht="12.75">
      <c r="A187" s="161"/>
      <c r="B187" s="126"/>
      <c r="C187" s="111"/>
      <c r="D187" s="118"/>
      <c r="E187" s="146"/>
      <c r="F187" s="82"/>
      <c r="G187" s="109"/>
      <c r="H187" s="163"/>
    </row>
    <row r="188" spans="1:8" ht="13.5" thickBot="1">
      <c r="A188" s="149"/>
      <c r="B188" s="126"/>
      <c r="C188" s="111"/>
      <c r="D188" s="118"/>
      <c r="E188" s="146"/>
      <c r="F188" s="82"/>
      <c r="G188" s="109"/>
      <c r="H188" s="163"/>
    </row>
    <row r="189" spans="1:8" ht="13.5" thickTop="1">
      <c r="A189" s="173"/>
      <c r="B189" s="130"/>
      <c r="C189" s="112"/>
      <c r="D189" s="98"/>
      <c r="E189" s="147"/>
      <c r="F189" s="497"/>
      <c r="G189" s="498"/>
      <c r="H189" s="174"/>
    </row>
    <row r="190" spans="1:8" ht="12.75">
      <c r="A190" s="167" t="s">
        <v>58</v>
      </c>
      <c r="B190" s="126"/>
      <c r="C190" s="113"/>
      <c r="D190" s="118"/>
      <c r="E190" s="145"/>
      <c r="F190" s="45"/>
      <c r="G190" s="103"/>
      <c r="H190" s="163"/>
    </row>
    <row r="191" spans="1:8" ht="12.75">
      <c r="A191" s="153" t="s">
        <v>83</v>
      </c>
      <c r="B191" s="122"/>
      <c r="C191" s="114"/>
      <c r="D191" s="118"/>
      <c r="E191" s="146"/>
      <c r="F191" s="45"/>
      <c r="G191" s="103"/>
      <c r="H191" s="163"/>
    </row>
    <row r="192" spans="1:8" ht="12.75">
      <c r="A192" s="153"/>
      <c r="B192" s="122"/>
      <c r="C192" s="114"/>
      <c r="D192" s="118"/>
      <c r="E192" s="146"/>
      <c r="F192" s="45"/>
      <c r="G192" s="103"/>
      <c r="H192" s="163"/>
    </row>
    <row r="193" spans="1:8" ht="12.75">
      <c r="A193" s="154" t="s">
        <v>224</v>
      </c>
      <c r="B193" s="126"/>
      <c r="C193" s="111"/>
      <c r="D193" s="119"/>
      <c r="E193" s="305">
        <f>REGINFO!D62</f>
        <v>490668.32749999996</v>
      </c>
      <c r="F193" s="45"/>
      <c r="G193" s="103"/>
      <c r="H193" s="163"/>
    </row>
    <row r="194" spans="1:8" ht="12.75">
      <c r="A194" s="154" t="s">
        <v>250</v>
      </c>
      <c r="B194" s="126"/>
      <c r="C194" s="111"/>
      <c r="D194" s="119"/>
      <c r="E194" s="305">
        <f>REGINFO!D66</f>
        <v>331370.2860478692</v>
      </c>
      <c r="F194" s="45"/>
      <c r="G194" s="103"/>
      <c r="H194" s="163"/>
    </row>
    <row r="195" spans="1:8" ht="12.75">
      <c r="A195" s="154"/>
      <c r="B195" s="126"/>
      <c r="C195" s="111"/>
      <c r="D195" s="119"/>
      <c r="E195" s="148"/>
      <c r="F195" s="45"/>
      <c r="G195" s="103"/>
      <c r="H195" s="163"/>
    </row>
    <row r="196" spans="1:8" ht="12.75">
      <c r="A196" s="154" t="s">
        <v>344</v>
      </c>
      <c r="B196" s="126"/>
      <c r="C196" s="111"/>
      <c r="D196" s="119"/>
      <c r="E196" s="305">
        <f>E193-E194</f>
        <v>159298.04145213077</v>
      </c>
      <c r="F196" s="45"/>
      <c r="G196" s="103"/>
      <c r="H196" s="163"/>
    </row>
    <row r="197" spans="1:8" ht="12.75">
      <c r="A197" s="154" t="s">
        <v>345</v>
      </c>
      <c r="B197" s="126"/>
      <c r="C197" s="111"/>
      <c r="D197" s="119"/>
      <c r="E197" s="146"/>
      <c r="F197" s="45"/>
      <c r="G197" s="103"/>
      <c r="H197" s="163"/>
    </row>
    <row r="198" spans="1:8" ht="12.75">
      <c r="A198" s="154"/>
      <c r="B198" s="126"/>
      <c r="C198" s="111"/>
      <c r="D198" s="119"/>
      <c r="E198" s="146"/>
      <c r="F198" s="45"/>
      <c r="G198" s="103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45"/>
      <c r="G199" s="499"/>
      <c r="H199" s="163"/>
    </row>
    <row r="200" spans="1:8" ht="12.75">
      <c r="A200" s="175" t="s">
        <v>85</v>
      </c>
      <c r="B200" s="126"/>
      <c r="C200" s="111"/>
      <c r="D200" s="119"/>
      <c r="E200" s="146"/>
      <c r="F200" s="45"/>
      <c r="G200" s="499"/>
      <c r="H200" s="163"/>
    </row>
    <row r="201" spans="1:8" ht="12.75">
      <c r="A201" s="154" t="s">
        <v>251</v>
      </c>
      <c r="B201" s="126"/>
      <c r="C201" s="111"/>
      <c r="D201" s="119"/>
      <c r="E201" s="305">
        <f>G37+G42</f>
        <v>336479</v>
      </c>
      <c r="F201" s="45"/>
      <c r="G201" s="499"/>
      <c r="H201" s="163"/>
    </row>
    <row r="202" spans="1:8" ht="12.75">
      <c r="A202" s="154" t="s">
        <v>346</v>
      </c>
      <c r="B202" s="126"/>
      <c r="C202" s="111"/>
      <c r="D202" s="119"/>
      <c r="E202" s="305">
        <f>REGINFO!D62</f>
        <v>490668.32749999996</v>
      </c>
      <c r="F202" s="45"/>
      <c r="G202" s="103"/>
      <c r="H202" s="163"/>
    </row>
    <row r="203" spans="1:8" ht="12.75">
      <c r="A203" s="154"/>
      <c r="B203" s="126"/>
      <c r="C203" s="111"/>
      <c r="D203" s="119"/>
      <c r="E203" s="148"/>
      <c r="F203" s="45"/>
      <c r="G203" s="103"/>
      <c r="H203" s="163"/>
    </row>
    <row r="204" spans="1:8" ht="12.75">
      <c r="A204" s="154" t="s">
        <v>84</v>
      </c>
      <c r="B204" s="126"/>
      <c r="C204" s="111"/>
      <c r="D204" s="119"/>
      <c r="E204" s="300">
        <f>IF((E201-E202)&gt;0,E201-E202,0)</f>
        <v>0</v>
      </c>
      <c r="F204" s="45"/>
      <c r="G204" s="103"/>
      <c r="H204" s="163"/>
    </row>
    <row r="205" spans="1:8" ht="12.75">
      <c r="A205" s="154"/>
      <c r="B205" s="126"/>
      <c r="C205" s="111"/>
      <c r="D205" s="119"/>
      <c r="E205" s="148"/>
      <c r="F205" s="45"/>
      <c r="G205" s="103"/>
      <c r="H205" s="163"/>
    </row>
    <row r="206" spans="1:8" ht="12.75">
      <c r="A206" s="167" t="s">
        <v>320</v>
      </c>
      <c r="B206" s="126"/>
      <c r="C206" s="111"/>
      <c r="D206" s="119"/>
      <c r="E206" s="466">
        <f>IF((E201-E202)&gt;0,E201-E202,0)</f>
        <v>0</v>
      </c>
      <c r="F206" s="45"/>
      <c r="G206" s="103"/>
      <c r="H206" s="163"/>
    </row>
    <row r="207" spans="1:8" ht="12.75">
      <c r="A207" s="154"/>
      <c r="B207" s="126"/>
      <c r="C207" s="111"/>
      <c r="D207" s="119"/>
      <c r="E207" s="148"/>
      <c r="F207" s="45"/>
      <c r="G207" s="103"/>
      <c r="H207" s="163"/>
    </row>
    <row r="208" spans="1:8" ht="13.5" thickBot="1">
      <c r="A208" s="176" t="s">
        <v>225</v>
      </c>
      <c r="B208" s="177"/>
      <c r="C208" s="178"/>
      <c r="D208" s="179"/>
      <c r="E208" s="306">
        <f>+E196-E204</f>
        <v>159298.04145213077</v>
      </c>
      <c r="F208" s="500"/>
      <c r="G208" s="5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0"/>
  <sheetViews>
    <sheetView view="pageLayout" workbookViewId="0" topLeftCell="A130">
      <selection activeCell="A171" sqref="A17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EB-????-??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COLLUS Power Harmonized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45"/>
      <c r="H10" s="3"/>
      <c r="I10" s="3"/>
    </row>
    <row r="11" spans="1:9" ht="13.5" thickBot="1">
      <c r="A11" s="2" t="s">
        <v>122</v>
      </c>
      <c r="B11" s="20"/>
      <c r="C11" s="441">
        <f>REGINFO!B6</f>
        <v>365</v>
      </c>
      <c r="D11" s="37" t="s">
        <v>127</v>
      </c>
      <c r="E11" s="25"/>
      <c r="F11" s="20"/>
      <c r="G11" s="507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507"/>
      <c r="H12" s="3"/>
      <c r="I12" s="3"/>
    </row>
    <row r="13" spans="1:9" ht="13.5" thickBot="1">
      <c r="A13" s="35" t="s">
        <v>217</v>
      </c>
      <c r="C13" s="255">
        <v>16920</v>
      </c>
      <c r="D13" s="82" t="s">
        <v>186</v>
      </c>
      <c r="E13" s="25"/>
      <c r="F13" s="20"/>
      <c r="G13" s="507"/>
      <c r="H13" s="3"/>
      <c r="I13" s="3"/>
    </row>
    <row r="14" spans="1:9" ht="12.75">
      <c r="A14" s="2" t="s">
        <v>120</v>
      </c>
      <c r="B14" s="20" t="s">
        <v>64</v>
      </c>
      <c r="C14" s="483" t="s">
        <v>497</v>
      </c>
      <c r="D14" s="25"/>
      <c r="E14" s="25"/>
      <c r="F14" s="20"/>
      <c r="G14" s="507"/>
      <c r="H14" s="3"/>
      <c r="I14" s="3"/>
    </row>
    <row r="15" spans="1:9" ht="12.75">
      <c r="A15" s="2" t="s">
        <v>121</v>
      </c>
      <c r="B15" s="20" t="s">
        <v>64</v>
      </c>
      <c r="C15" s="483" t="s">
        <v>496</v>
      </c>
      <c r="D15" s="25"/>
      <c r="E15" s="25"/>
      <c r="F15" s="20"/>
      <c r="G15" s="507"/>
      <c r="H15" s="3"/>
      <c r="I15" s="3"/>
    </row>
    <row r="16" spans="1:9" ht="12.75">
      <c r="A16" s="296" t="s">
        <v>227</v>
      </c>
      <c r="B16" s="20" t="s">
        <v>64</v>
      </c>
      <c r="C16" s="483" t="s">
        <v>496</v>
      </c>
      <c r="D16" s="25"/>
      <c r="E16" s="25"/>
      <c r="F16" s="20"/>
      <c r="G16" s="45"/>
      <c r="H16" s="3"/>
      <c r="I16" s="3"/>
    </row>
    <row r="17" spans="1:7" ht="12.75">
      <c r="A17" s="2" t="s">
        <v>284</v>
      </c>
      <c r="B17" s="20" t="s">
        <v>64</v>
      </c>
      <c r="C17" s="483" t="s">
        <v>498</v>
      </c>
      <c r="E17" s="26"/>
      <c r="F17" s="8"/>
      <c r="G17" s="507"/>
    </row>
    <row r="18" spans="1:7" ht="12.75">
      <c r="A18" s="55" t="s">
        <v>257</v>
      </c>
      <c r="B18" s="2"/>
      <c r="C18" s="21"/>
      <c r="E18" s="26"/>
      <c r="F18" s="8"/>
      <c r="G18" s="34"/>
    </row>
    <row r="19" spans="5:7" ht="12.75">
      <c r="E19" s="26"/>
      <c r="F19" s="8"/>
      <c r="G19" s="34"/>
    </row>
    <row r="20" spans="1:7" ht="12.75">
      <c r="A20" s="3" t="s">
        <v>149</v>
      </c>
      <c r="B20" s="20"/>
      <c r="C20" s="25"/>
      <c r="D20" s="25"/>
      <c r="E20" s="26"/>
      <c r="F20" s="8"/>
      <c r="G20" s="34"/>
    </row>
    <row r="21" spans="1:7" ht="12.75">
      <c r="A21" s="14"/>
      <c r="B21" s="20"/>
      <c r="C21" s="25"/>
      <c r="D21" s="25"/>
      <c r="E21" s="26"/>
      <c r="F21" s="8"/>
      <c r="G21" s="34"/>
    </row>
    <row r="22" spans="1:9" ht="12.75">
      <c r="A22" s="58" t="s">
        <v>150</v>
      </c>
      <c r="B22" s="23"/>
      <c r="C22" s="27"/>
      <c r="D22" s="28"/>
      <c r="E22" s="28"/>
      <c r="F22" s="11"/>
      <c r="G22" s="508"/>
      <c r="H22" s="6"/>
      <c r="I22" s="6"/>
    </row>
    <row r="23" spans="1:9" ht="12.75">
      <c r="A23" s="396" t="s">
        <v>327</v>
      </c>
      <c r="B23" s="397"/>
      <c r="C23" s="398"/>
      <c r="D23" s="399"/>
      <c r="E23" s="28"/>
      <c r="F23" s="11"/>
      <c r="G23" s="508"/>
      <c r="H23" s="6"/>
      <c r="I23" s="6"/>
    </row>
    <row r="24" spans="1:9" ht="12.75">
      <c r="A24" s="396" t="s">
        <v>258</v>
      </c>
      <c r="B24" s="397"/>
      <c r="C24" s="398"/>
      <c r="D24" s="399"/>
      <c r="E24" s="28"/>
      <c r="F24" s="11"/>
      <c r="G24" s="508"/>
      <c r="H24" s="6"/>
      <c r="I24" s="6"/>
    </row>
    <row r="25" spans="1:9" ht="12.75">
      <c r="A25" s="396" t="s">
        <v>223</v>
      </c>
      <c r="B25" s="397"/>
      <c r="C25" s="398"/>
      <c r="D25" s="399"/>
      <c r="E25" s="28"/>
      <c r="F25" s="11"/>
      <c r="G25" s="508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508"/>
      <c r="H26" s="6"/>
      <c r="I26" s="6"/>
    </row>
    <row r="27" spans="1:9" ht="12.75">
      <c r="A27" s="396" t="s">
        <v>325</v>
      </c>
      <c r="B27" s="397"/>
      <c r="C27" s="398"/>
      <c r="D27" s="399"/>
      <c r="E27" s="28"/>
      <c r="F27" s="11"/>
      <c r="G27" s="508"/>
      <c r="H27" s="6"/>
      <c r="I27" s="6"/>
    </row>
    <row r="28" spans="1:9" ht="12.75">
      <c r="A28" s="396" t="s">
        <v>326</v>
      </c>
      <c r="B28" s="397"/>
      <c r="C28" s="398"/>
      <c r="D28" s="399"/>
      <c r="E28" s="28"/>
      <c r="F28" s="11"/>
      <c r="G28" s="508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508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508"/>
      <c r="H30" s="6"/>
      <c r="I30" s="6"/>
    </row>
    <row r="31" spans="1:9" ht="12.75">
      <c r="A31" s="245" t="s">
        <v>273</v>
      </c>
      <c r="B31" s="23" t="s">
        <v>187</v>
      </c>
      <c r="C31" s="282">
        <f>28934289-3567463</f>
        <v>25366826</v>
      </c>
      <c r="D31" s="283"/>
      <c r="E31" s="281">
        <f>C31-D31</f>
        <v>25366826</v>
      </c>
      <c r="F31" s="11"/>
      <c r="G31" s="508"/>
      <c r="H31" s="6"/>
      <c r="I31" s="6"/>
    </row>
    <row r="32" spans="1:9" ht="12.75">
      <c r="A32" s="4" t="s">
        <v>221</v>
      </c>
      <c r="B32" s="23" t="s">
        <v>187</v>
      </c>
      <c r="C32" s="282">
        <v>3567463</v>
      </c>
      <c r="D32" s="283"/>
      <c r="E32" s="281">
        <f>C32-D32</f>
        <v>3567463</v>
      </c>
      <c r="F32" s="11"/>
      <c r="G32" s="509"/>
      <c r="H32" s="6"/>
      <c r="I32" s="6"/>
    </row>
    <row r="33" spans="1:9" ht="12.75">
      <c r="A33" s="4" t="s">
        <v>211</v>
      </c>
      <c r="B33" s="23" t="s">
        <v>187</v>
      </c>
      <c r="C33" s="282">
        <v>184594</v>
      </c>
      <c r="D33" s="283"/>
      <c r="E33" s="281">
        <f>C33-D33</f>
        <v>184594</v>
      </c>
      <c r="F33" s="11"/>
      <c r="G33" s="11"/>
      <c r="H33" s="6"/>
      <c r="I33" s="6"/>
    </row>
    <row r="34" spans="1:9" ht="12.75">
      <c r="A34" s="489" t="s">
        <v>502</v>
      </c>
      <c r="B34" s="23" t="s">
        <v>187</v>
      </c>
      <c r="C34" s="282">
        <f>34622-32837</f>
        <v>1785</v>
      </c>
      <c r="D34" s="283"/>
      <c r="E34" s="281">
        <f>C34-D34</f>
        <v>1785</v>
      </c>
      <c r="F34" s="11"/>
      <c r="G34" s="11"/>
      <c r="H34" s="6"/>
      <c r="I34" s="6"/>
    </row>
    <row r="35" spans="1:9" ht="13.5" thickBot="1">
      <c r="A35" s="10" t="s">
        <v>501</v>
      </c>
      <c r="B35" s="23" t="s">
        <v>187</v>
      </c>
      <c r="C35" s="282">
        <v>2375</v>
      </c>
      <c r="D35" s="283"/>
      <c r="E35" s="281">
        <f>C35-D35</f>
        <v>2375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2">
        <v>25366826</v>
      </c>
      <c r="D39" s="283"/>
      <c r="E39" s="281">
        <f>C39-D39</f>
        <v>25366826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2">
        <f>1224568-C51-22992</f>
        <v>865097</v>
      </c>
      <c r="D40" s="283"/>
      <c r="E40" s="281">
        <f aca="true" t="shared" si="0" ref="E40:E48">C40-D40</f>
        <v>865097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2">
        <v>568807</v>
      </c>
      <c r="D41" s="283"/>
      <c r="E41" s="281">
        <f t="shared" si="0"/>
        <v>568807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2">
        <v>1065177</v>
      </c>
      <c r="D42" s="283"/>
      <c r="E42" s="281">
        <f t="shared" si="0"/>
        <v>1065177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2">
        <v>786450</v>
      </c>
      <c r="D43" s="283"/>
      <c r="E43" s="281">
        <f t="shared" si="0"/>
        <v>786450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2">
        <v>0</v>
      </c>
      <c r="D44" s="283"/>
      <c r="E44" s="281">
        <f t="shared" si="0"/>
        <v>0</v>
      </c>
      <c r="F44" s="11"/>
      <c r="G44" s="11"/>
      <c r="H44" s="6"/>
      <c r="I44" s="6"/>
    </row>
    <row r="45" spans="1:11" ht="12.75">
      <c r="A45" s="4" t="s">
        <v>493</v>
      </c>
      <c r="B45" s="23" t="s">
        <v>188</v>
      </c>
      <c r="C45" s="282">
        <v>22992</v>
      </c>
      <c r="D45" s="283"/>
      <c r="E45" s="281">
        <f t="shared" si="0"/>
        <v>22992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2">
        <v>0</v>
      </c>
      <c r="D46" s="283"/>
      <c r="E46" s="281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"/>
      <c r="B47" s="23" t="s">
        <v>188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8">
        <f>SUM(C31:C36)-SUM(C39:C49)</f>
        <v>447694</v>
      </c>
      <c r="D50" s="278">
        <f>SUM(D31:D36)-SUM(D39:D49)</f>
        <v>0</v>
      </c>
      <c r="E50" s="278">
        <f>SUM(E31:E35)-SUM(E39:E48)</f>
        <v>447694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2">
        <v>336479</v>
      </c>
      <c r="D51" s="282"/>
      <c r="E51" s="279">
        <f>+C51-D51</f>
        <v>336479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2">
        <v>33307</v>
      </c>
      <c r="D52" s="282"/>
      <c r="E52" s="280">
        <f>+C52-D52</f>
        <v>33307</v>
      </c>
      <c r="F52" s="8"/>
    </row>
    <row r="53" spans="1:6" ht="12.75">
      <c r="A53" s="2" t="s">
        <v>131</v>
      </c>
      <c r="B53" s="8" t="s">
        <v>189</v>
      </c>
      <c r="C53" s="278">
        <f>C50-C51-C52</f>
        <v>77908</v>
      </c>
      <c r="D53" s="278">
        <f>D50-D51-D52</f>
        <v>0</v>
      </c>
      <c r="E53" s="278">
        <f>E50-E51-E52</f>
        <v>77908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4">
        <f>C52</f>
        <v>33307</v>
      </c>
      <c r="D59" s="284">
        <f>D52</f>
        <v>0</v>
      </c>
      <c r="E59" s="269">
        <f>+C59-D59</f>
        <v>33307</v>
      </c>
      <c r="F59" s="8"/>
    </row>
    <row r="60" spans="1:6" ht="12.75">
      <c r="A60" s="4" t="s">
        <v>328</v>
      </c>
      <c r="B60" s="8" t="s">
        <v>187</v>
      </c>
      <c r="C60" s="314">
        <v>0</v>
      </c>
      <c r="D60" s="314"/>
      <c r="E60" s="269">
        <f>+C60-D60</f>
        <v>0</v>
      </c>
      <c r="F60" s="8"/>
    </row>
    <row r="61" spans="1:7" ht="12.75">
      <c r="A61" t="s">
        <v>4</v>
      </c>
      <c r="B61" s="8" t="s">
        <v>187</v>
      </c>
      <c r="C61" s="472">
        <f>754473+11735</f>
        <v>766208</v>
      </c>
      <c r="D61" s="284">
        <f>D43</f>
        <v>0</v>
      </c>
      <c r="E61" s="269">
        <f>+C61-D61</f>
        <v>766208</v>
      </c>
      <c r="F61" s="8"/>
      <c r="G61" s="485"/>
    </row>
    <row r="62" spans="1:6" ht="12.75">
      <c r="A62" t="s">
        <v>6</v>
      </c>
      <c r="B62" s="8" t="s">
        <v>187</v>
      </c>
      <c r="C62" s="314">
        <v>0</v>
      </c>
      <c r="D62" s="284">
        <v>0</v>
      </c>
      <c r="E62" s="269">
        <f>+C62-D62</f>
        <v>0</v>
      </c>
      <c r="F62" s="8"/>
    </row>
    <row r="63" spans="1:6" ht="12.75">
      <c r="A63" s="31" t="s">
        <v>278</v>
      </c>
      <c r="B63" s="8" t="s">
        <v>187</v>
      </c>
      <c r="C63" s="312">
        <f>'Tax Reserves'!C22</f>
        <v>0</v>
      </c>
      <c r="D63" s="313">
        <f>'Tax Reserves'!D22</f>
        <v>0</v>
      </c>
      <c r="E63" s="269">
        <f>C63-D63</f>
        <v>0</v>
      </c>
      <c r="F63" s="8"/>
    </row>
    <row r="64" spans="1:6" ht="12.75">
      <c r="A64" s="4" t="s">
        <v>52</v>
      </c>
      <c r="B64" s="8" t="s">
        <v>187</v>
      </c>
      <c r="C64" s="312">
        <f>'Tax Reserves'!C63</f>
        <v>0</v>
      </c>
      <c r="D64" s="313">
        <f>'Tax Reserves'!D63</f>
        <v>0</v>
      </c>
      <c r="E64" s="269">
        <f>+C64-D64</f>
        <v>0</v>
      </c>
      <c r="F64" s="8"/>
    </row>
    <row r="65" spans="1:6" ht="12.75">
      <c r="A65" t="s">
        <v>446</v>
      </c>
      <c r="B65" s="8" t="s">
        <v>187</v>
      </c>
      <c r="C65" s="283"/>
      <c r="D65" s="283"/>
      <c r="E65" s="269">
        <f>+C65-D65</f>
        <v>0</v>
      </c>
      <c r="F65" s="8"/>
    </row>
    <row r="66" spans="1:6" ht="15">
      <c r="A66" s="463" t="s">
        <v>397</v>
      </c>
      <c r="B66" s="8"/>
      <c r="C66" s="442">
        <f>'TAXREC 3 No True-up'!C47</f>
        <v>55188</v>
      </c>
      <c r="D66" s="442">
        <f>'TAXREC 3 No True-up'!D47</f>
        <v>0</v>
      </c>
      <c r="E66" s="269">
        <f>+C66-D66</f>
        <v>55188</v>
      </c>
      <c r="F66" s="8"/>
    </row>
    <row r="67" spans="1:6" ht="12.75">
      <c r="A67" t="s">
        <v>160</v>
      </c>
      <c r="B67" s="8" t="s">
        <v>187</v>
      </c>
      <c r="C67" s="248">
        <v>0</v>
      </c>
      <c r="D67" s="248">
        <f>'TAXREC 2'!D77</f>
        <v>0</v>
      </c>
      <c r="E67" s="269">
        <f>+C67-D67</f>
        <v>0</v>
      </c>
      <c r="F67" s="8"/>
    </row>
    <row r="68" spans="1:11" ht="12.75">
      <c r="A68" t="s">
        <v>161</v>
      </c>
      <c r="B68" s="8" t="s">
        <v>187</v>
      </c>
      <c r="C68" s="248">
        <v>-2375</v>
      </c>
      <c r="D68" s="248">
        <f>'TAXREC 2'!D78</f>
        <v>0</v>
      </c>
      <c r="E68" s="269">
        <f>+C68-D68</f>
        <v>-2375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9">
        <f>SUM(C59:C68)</f>
        <v>852328</v>
      </c>
      <c r="D70" s="269">
        <f>SUM(D59:D68)</f>
        <v>0</v>
      </c>
      <c r="E70" s="269">
        <f>SUM(E59:E68)</f>
        <v>852328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1"/>
      <c r="D73" s="291"/>
      <c r="E73" s="269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91"/>
      <c r="D74" s="291"/>
      <c r="E74" s="269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91"/>
      <c r="D75" s="291"/>
      <c r="E75" s="269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5" t="s">
        <v>480</v>
      </c>
      <c r="B76" s="8" t="s">
        <v>187</v>
      </c>
      <c r="C76" s="473"/>
      <c r="D76" s="291"/>
      <c r="E76" s="474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8"/>
      <c r="B77" s="8" t="s">
        <v>187</v>
      </c>
      <c r="C77" s="291"/>
      <c r="D77" s="291"/>
      <c r="E77" s="269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5"/>
      <c r="B78" s="8" t="s">
        <v>187</v>
      </c>
      <c r="C78" s="291"/>
      <c r="D78" s="291"/>
      <c r="E78" s="269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9"/>
      <c r="B79" s="8" t="s">
        <v>187</v>
      </c>
      <c r="C79" s="291"/>
      <c r="D79" s="291"/>
      <c r="E79" s="269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4" t="s">
        <v>50</v>
      </c>
      <c r="B80" s="8" t="s">
        <v>189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3"/>
      <c r="J81" s="73"/>
      <c r="K81" s="73"/>
    </row>
    <row r="82" spans="1:11" ht="12.75">
      <c r="A82" s="4" t="s">
        <v>18</v>
      </c>
      <c r="B82" s="8" t="s">
        <v>189</v>
      </c>
      <c r="C82" s="248">
        <f>C70+C80</f>
        <v>852328</v>
      </c>
      <c r="D82" s="248">
        <f>D70+D80</f>
        <v>0</v>
      </c>
      <c r="E82" s="248">
        <f>E70+E80</f>
        <v>852328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7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151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434</v>
      </c>
      <c r="B93" s="270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197</v>
      </c>
      <c r="B94" s="270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1">
        <v>712822</v>
      </c>
      <c r="D97" s="291"/>
      <c r="E97" s="269">
        <f>+C97-D97</f>
        <v>712822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1">
        <v>78374</v>
      </c>
      <c r="D98" s="291"/>
      <c r="E98" s="269">
        <f>+C98-D98</f>
        <v>78374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1">
        <v>0</v>
      </c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5">
        <f>'Tax Reserves'!C35</f>
        <v>0</v>
      </c>
      <c r="D104" s="315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5">
        <f>'Tax Reserves'!C50</f>
        <v>0</v>
      </c>
      <c r="D105" s="315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397</v>
      </c>
      <c r="B108" s="8"/>
      <c r="C108" s="251">
        <f>'TAXREC 3 No True-up'!C73</f>
        <v>15013</v>
      </c>
      <c r="D108" s="251">
        <f>'TAXREC 3 No True-up'!D73</f>
        <v>0</v>
      </c>
      <c r="E108" s="269">
        <f t="shared" si="5"/>
        <v>15013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1">
        <v>0</v>
      </c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8">
        <f>'TAXREC 2'!C119</f>
        <v>2375</v>
      </c>
      <c r="D110" s="248">
        <f>'TAXREC 2'!D119</f>
        <v>0</v>
      </c>
      <c r="E110" s="248">
        <f>'TAXREC 2'!E119</f>
        <v>2375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8">
        <f>'TAXREC 2'!C78</f>
        <v>0</v>
      </c>
      <c r="D111" s="248">
        <f>'TAXREC 2'!D120</f>
        <v>0</v>
      </c>
      <c r="E111" s="248">
        <f>C111-D111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4"/>
    </row>
    <row r="113" spans="1:11" ht="12.75">
      <c r="A113" s="4" t="s">
        <v>164</v>
      </c>
      <c r="B113" s="8" t="s">
        <v>189</v>
      </c>
      <c r="C113" s="248">
        <f>SUM(C97:C111)</f>
        <v>808584</v>
      </c>
      <c r="D113" s="248">
        <f>SUM(D97:D111)</f>
        <v>0</v>
      </c>
      <c r="E113" s="248">
        <f>SUM(E97:E111)</f>
        <v>808584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1"/>
      <c r="D115" s="291"/>
      <c r="E115" s="269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8" t="s">
        <v>222</v>
      </c>
      <c r="B116" s="8" t="s">
        <v>188</v>
      </c>
      <c r="C116" s="291"/>
      <c r="D116" s="291"/>
      <c r="E116" s="269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8"/>
      <c r="B117" s="8" t="s">
        <v>188</v>
      </c>
      <c r="C117" s="291"/>
      <c r="D117" s="291"/>
      <c r="E117" s="269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8"/>
      <c r="B118" s="8"/>
      <c r="C118" s="291"/>
      <c r="D118" s="291"/>
      <c r="E118" s="269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9"/>
      <c r="B119" s="8" t="s">
        <v>188</v>
      </c>
      <c r="C119" s="291"/>
      <c r="D119" s="291"/>
      <c r="E119" s="269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189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8">
        <f>C113+C120</f>
        <v>808584</v>
      </c>
      <c r="D122" s="248">
        <f>D113+D120</f>
        <v>0</v>
      </c>
      <c r="E122" s="248">
        <f>+E113+E120</f>
        <v>808584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199</v>
      </c>
      <c r="B130" s="270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200</v>
      </c>
      <c r="B131" s="270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198</v>
      </c>
      <c r="B132" s="270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121652</v>
      </c>
      <c r="J133" s="45"/>
      <c r="K133" s="45"/>
    </row>
    <row r="134" spans="1:11" ht="12.75">
      <c r="A134" s="13" t="s">
        <v>81</v>
      </c>
      <c r="B134" s="8" t="s">
        <v>189</v>
      </c>
      <c r="C134" s="248">
        <f>+C53+C82-C122</f>
        <v>121652</v>
      </c>
      <c r="D134" s="248">
        <f>D53+D82-D122</f>
        <v>0</v>
      </c>
      <c r="E134" s="248">
        <f>E53+E82-E122</f>
        <v>121652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79">
        <f>I133-I134</f>
        <v>-1425142</v>
      </c>
      <c r="J135" s="45" t="s">
        <v>313</v>
      </c>
      <c r="K135" s="45"/>
    </row>
    <row r="136" spans="1:11" ht="12.75">
      <c r="A136" s="12" t="s">
        <v>377</v>
      </c>
      <c r="B136" s="8" t="s">
        <v>188</v>
      </c>
      <c r="C136" s="291">
        <v>124027</v>
      </c>
      <c r="D136" s="291"/>
      <c r="E136" s="261">
        <f>C136-D136</f>
        <v>124027</v>
      </c>
      <c r="F136" s="8"/>
      <c r="G136" s="507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07"/>
      <c r="D137" s="307"/>
      <c r="E137" s="390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0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49">
        <f>C134-C136-C137-C138</f>
        <v>-2375</v>
      </c>
      <c r="D139" s="249">
        <f>D134-D136-D137-D138</f>
        <v>0</v>
      </c>
      <c r="E139" s="249">
        <f>E134-E136-E137-E138</f>
        <v>-2375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6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5">
        <v>0</v>
      </c>
      <c r="D142" s="295"/>
      <c r="E142" s="249">
        <f>C142-D142</f>
        <v>0</v>
      </c>
      <c r="F142" s="8"/>
      <c r="G142" s="45" t="s">
        <v>494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5">
        <v>0</v>
      </c>
      <c r="D143" s="295"/>
      <c r="E143" s="289">
        <f>C143-D143</f>
        <v>0</v>
      </c>
      <c r="F143" s="8"/>
      <c r="G143" s="45" t="s">
        <v>494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49">
        <f>C142+C143</f>
        <v>0</v>
      </c>
      <c r="D144" s="249">
        <f>D142+D143</f>
        <v>0</v>
      </c>
      <c r="E144" s="249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5">
        <v>0</v>
      </c>
      <c r="D145" s="295"/>
      <c r="E145" s="290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6" t="s">
        <v>99</v>
      </c>
      <c r="B146" s="8" t="s">
        <v>189</v>
      </c>
      <c r="C146" s="249">
        <f>C144-C145</f>
        <v>0</v>
      </c>
      <c r="D146" s="249">
        <f>D144-D145</f>
        <v>0</v>
      </c>
      <c r="E146" s="249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506"/>
      <c r="C149" s="401">
        <v>0.1515</v>
      </c>
      <c r="D149" s="505"/>
      <c r="E149" s="402">
        <f>C149</f>
        <v>0.1515</v>
      </c>
      <c r="F149" s="8"/>
      <c r="G149" s="45" t="s">
        <v>471</v>
      </c>
      <c r="H149" s="45"/>
      <c r="I149" s="45"/>
      <c r="J149" s="45"/>
      <c r="K149" s="45"/>
    </row>
    <row r="150" spans="1:11" ht="12.75">
      <c r="A150" s="46" t="s">
        <v>331</v>
      </c>
      <c r="B150" s="506"/>
      <c r="C150" s="401">
        <v>0.06</v>
      </c>
      <c r="D150" s="505"/>
      <c r="E150" s="402">
        <f>C150</f>
        <v>0.06</v>
      </c>
      <c r="F150" s="8"/>
      <c r="G150" s="45" t="s">
        <v>472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2">
        <f>SUM(C149:C150)</f>
        <v>0.2115</v>
      </c>
      <c r="D151" s="478" t="s">
        <v>488</v>
      </c>
      <c r="E151" s="402">
        <f>SUM(E149:E150)</f>
        <v>0.2115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485</v>
      </c>
      <c r="B155" s="8"/>
    </row>
    <row r="156" spans="1:5" ht="12.75">
      <c r="A156" t="s">
        <v>219</v>
      </c>
      <c r="B156" s="85" t="s">
        <v>187</v>
      </c>
      <c r="C156" s="248">
        <f>C146</f>
        <v>0</v>
      </c>
      <c r="D156" s="248">
        <f>D146</f>
        <v>0</v>
      </c>
      <c r="E156" s="248">
        <f>E146</f>
        <v>0</v>
      </c>
    </row>
    <row r="157" spans="1:7" ht="12.75">
      <c r="A157" t="s">
        <v>20</v>
      </c>
      <c r="B157" s="85" t="s">
        <v>187</v>
      </c>
      <c r="C157" s="475">
        <v>22992</v>
      </c>
      <c r="D157" s="248"/>
      <c r="E157" s="248">
        <f>C157+D157</f>
        <v>22992</v>
      </c>
      <c r="G157" s="488"/>
    </row>
    <row r="158" spans="1:7" ht="12.75">
      <c r="A158" t="s">
        <v>218</v>
      </c>
      <c r="B158" s="85" t="s">
        <v>187</v>
      </c>
      <c r="C158" s="475">
        <v>5907</v>
      </c>
      <c r="D158" s="248"/>
      <c r="E158" s="248">
        <f>C158+D158</f>
        <v>5907</v>
      </c>
      <c r="G158" s="488"/>
    </row>
    <row r="159" spans="2:7" ht="12.75">
      <c r="B159" s="85"/>
      <c r="G159" s="34"/>
    </row>
    <row r="160" spans="1:7" ht="12.75">
      <c r="A160" s="2" t="s">
        <v>302</v>
      </c>
      <c r="B160" s="504" t="s">
        <v>189</v>
      </c>
      <c r="C160" s="248">
        <f>C156+C157+C158</f>
        <v>28899</v>
      </c>
      <c r="D160" s="248">
        <f>D156+D157+D158</f>
        <v>0</v>
      </c>
      <c r="E160" s="248">
        <f>E156+E157+E158</f>
        <v>28899</v>
      </c>
      <c r="G160" s="488"/>
    </row>
    <row r="161" spans="2:7" ht="12.75">
      <c r="B161" s="34"/>
      <c r="C161" s="84"/>
      <c r="G161" s="34"/>
    </row>
    <row r="162" spans="2:7" ht="12.75">
      <c r="B162" s="34"/>
      <c r="C162" s="8"/>
      <c r="G162" s="34"/>
    </row>
    <row r="163" spans="2:7" ht="12.75">
      <c r="B163" s="34"/>
      <c r="E163" s="22"/>
      <c r="G163" s="34"/>
    </row>
    <row r="164" spans="2:7" ht="12.75">
      <c r="B164" s="34"/>
      <c r="G164" s="34"/>
    </row>
    <row r="165" spans="2:7" ht="12.75">
      <c r="B165" s="34"/>
      <c r="G165" s="34"/>
    </row>
    <row r="166" spans="2:7" ht="12.75">
      <c r="B166" s="34"/>
      <c r="G166" s="34"/>
    </row>
    <row r="167" spans="2:7" ht="12.75">
      <c r="B167" s="34"/>
      <c r="G167" s="34"/>
    </row>
    <row r="168" spans="2:7" ht="12.75">
      <c r="B168" s="34"/>
      <c r="G168" s="34"/>
    </row>
    <row r="169" spans="2:7" ht="12.75">
      <c r="B169" s="34"/>
      <c r="G169" s="34"/>
    </row>
    <row r="170" spans="2:7" ht="12.75">
      <c r="B170" s="34"/>
      <c r="G170" s="34"/>
    </row>
    <row r="171" spans="2:7" ht="12.75">
      <c r="B171" s="34"/>
      <c r="G171" s="34"/>
    </row>
    <row r="172" spans="2:7" ht="12.75">
      <c r="B172" s="34"/>
      <c r="G172" s="34"/>
    </row>
    <row r="173" spans="2:7" ht="12.75">
      <c r="B173" s="34"/>
      <c r="G173" s="34"/>
    </row>
    <row r="174" spans="2:7" ht="12.75">
      <c r="B174" s="34"/>
      <c r="G174" s="34"/>
    </row>
    <row r="175" spans="2:7" ht="12.75">
      <c r="B175" s="34"/>
      <c r="G175" s="34"/>
    </row>
    <row r="176" spans="2:7" ht="12.75">
      <c r="B176" s="34"/>
      <c r="G176" s="34"/>
    </row>
    <row r="177" spans="2:7" ht="12.75">
      <c r="B177" s="34"/>
      <c r="G177" s="34"/>
    </row>
    <row r="178" spans="2:7" ht="12.75">
      <c r="B178" s="34"/>
      <c r="G178" s="34"/>
    </row>
    <row r="179" spans="2:7" ht="12.75">
      <c r="B179" s="34"/>
      <c r="G179" s="34"/>
    </row>
    <row r="180" spans="2:7" ht="12.75">
      <c r="B180" s="34"/>
      <c r="G180" s="34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&amp;R&amp;9COLLUS Power Corp
EB-????-??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9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EB-????-??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COLLUS Power Harmonized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4" t="s">
        <v>272</v>
      </c>
      <c r="B12" s="61"/>
      <c r="C12" s="308"/>
      <c r="D12" s="308"/>
      <c r="E12" s="61"/>
    </row>
    <row r="13" spans="1:5" ht="12.75">
      <c r="A13" s="61"/>
      <c r="B13" s="61"/>
      <c r="C13" s="291"/>
      <c r="D13" s="291"/>
      <c r="E13" s="248">
        <f>C13-D13</f>
        <v>0</v>
      </c>
    </row>
    <row r="14" spans="1:5" ht="12.75">
      <c r="A14" s="61" t="s">
        <v>280</v>
      </c>
      <c r="B14" s="61"/>
      <c r="C14" s="291"/>
      <c r="D14" s="291"/>
      <c r="E14" s="248">
        <f aca="true" t="shared" si="0" ref="E14:E21">C14-D14</f>
        <v>0</v>
      </c>
    </row>
    <row r="15" spans="1:5" ht="12.75">
      <c r="A15" s="61" t="s">
        <v>281</v>
      </c>
      <c r="B15" s="61"/>
      <c r="C15" s="291"/>
      <c r="D15" s="291"/>
      <c r="E15" s="248">
        <f t="shared" si="0"/>
        <v>0</v>
      </c>
    </row>
    <row r="16" spans="1:5" ht="12.75">
      <c r="A16" s="61" t="s">
        <v>282</v>
      </c>
      <c r="B16" s="61"/>
      <c r="C16" s="291"/>
      <c r="D16" s="291"/>
      <c r="E16" s="248">
        <f t="shared" si="0"/>
        <v>0</v>
      </c>
    </row>
    <row r="17" spans="1:5" ht="12.75">
      <c r="A17" s="61" t="s">
        <v>283</v>
      </c>
      <c r="B17" s="61"/>
      <c r="C17" s="291"/>
      <c r="D17" s="291"/>
      <c r="E17" s="248">
        <f t="shared" si="0"/>
        <v>0</v>
      </c>
    </row>
    <row r="18" spans="1:5" ht="12.75">
      <c r="A18" s="61" t="s">
        <v>451</v>
      </c>
      <c r="B18" s="61"/>
      <c r="C18" s="291"/>
      <c r="D18" s="291"/>
      <c r="E18" s="248">
        <f t="shared" si="0"/>
        <v>0</v>
      </c>
    </row>
    <row r="19" spans="1:5" ht="12.75">
      <c r="A19" s="61" t="s">
        <v>451</v>
      </c>
      <c r="B19" s="61"/>
      <c r="C19" s="291"/>
      <c r="D19" s="291"/>
      <c r="E19" s="248">
        <f t="shared" si="0"/>
        <v>0</v>
      </c>
    </row>
    <row r="20" spans="1:5" ht="12.75">
      <c r="A20" s="61"/>
      <c r="B20" s="61"/>
      <c r="C20" s="291"/>
      <c r="D20" s="291"/>
      <c r="E20" s="248">
        <f t="shared" si="0"/>
        <v>0</v>
      </c>
    </row>
    <row r="21" spans="1:5" ht="12.75">
      <c r="A21" s="61"/>
      <c r="B21" s="61"/>
      <c r="C21" s="307"/>
      <c r="D21" s="307"/>
      <c r="E21" s="276">
        <f t="shared" si="0"/>
        <v>0</v>
      </c>
    </row>
    <row r="22" spans="1:5" ht="12.75">
      <c r="A22" s="2" t="s">
        <v>180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271</v>
      </c>
      <c r="B24" s="61"/>
      <c r="C24" s="90"/>
      <c r="D24" s="90"/>
      <c r="E24" s="90"/>
    </row>
    <row r="25" spans="1:5" ht="12.75">
      <c r="A25" s="61"/>
      <c r="B25" s="61"/>
      <c r="C25" s="291"/>
      <c r="D25" s="291"/>
      <c r="E25" s="248">
        <f>C25-D25</f>
        <v>0</v>
      </c>
    </row>
    <row r="26" spans="1:5" ht="12.75">
      <c r="A26" s="61" t="s">
        <v>280</v>
      </c>
      <c r="B26" s="61"/>
      <c r="C26" s="291"/>
      <c r="D26" s="291"/>
      <c r="E26" s="248">
        <f aca="true" t="shared" si="1" ref="E26:E33">C26-D26</f>
        <v>0</v>
      </c>
    </row>
    <row r="27" spans="1:5" ht="12.75">
      <c r="A27" s="61" t="s">
        <v>281</v>
      </c>
      <c r="B27" s="61"/>
      <c r="C27" s="291"/>
      <c r="D27" s="291"/>
      <c r="E27" s="248">
        <f t="shared" si="1"/>
        <v>0</v>
      </c>
    </row>
    <row r="28" spans="1:5" ht="12.75">
      <c r="A28" s="61" t="s">
        <v>282</v>
      </c>
      <c r="B28" s="61"/>
      <c r="C28" s="291"/>
      <c r="D28" s="291"/>
      <c r="E28" s="248">
        <f t="shared" si="1"/>
        <v>0</v>
      </c>
    </row>
    <row r="29" spans="1:5" ht="12.75">
      <c r="A29" s="61" t="s">
        <v>283</v>
      </c>
      <c r="B29" s="61"/>
      <c r="C29" s="291"/>
      <c r="D29" s="291"/>
      <c r="E29" s="248">
        <f t="shared" si="1"/>
        <v>0</v>
      </c>
    </row>
    <row r="30" spans="1:5" ht="12.75">
      <c r="A30" s="61" t="s">
        <v>451</v>
      </c>
      <c r="B30" s="61"/>
      <c r="C30" s="291"/>
      <c r="D30" s="291"/>
      <c r="E30" s="248">
        <f t="shared" si="1"/>
        <v>0</v>
      </c>
    </row>
    <row r="31" spans="1:5" ht="12.75">
      <c r="A31" s="61" t="s">
        <v>451</v>
      </c>
      <c r="B31" s="61"/>
      <c r="C31" s="291"/>
      <c r="D31" s="291"/>
      <c r="E31" s="248">
        <f t="shared" si="1"/>
        <v>0</v>
      </c>
    </row>
    <row r="32" spans="1:5" ht="12.75">
      <c r="A32" s="61"/>
      <c r="B32" s="61"/>
      <c r="C32" s="291"/>
      <c r="D32" s="291"/>
      <c r="E32" s="248">
        <f t="shared" si="1"/>
        <v>0</v>
      </c>
    </row>
    <row r="33" spans="1:5" ht="13.5" thickBot="1">
      <c r="A33" s="62"/>
      <c r="B33" s="61"/>
      <c r="C33" s="291"/>
      <c r="D33" s="291"/>
      <c r="E33" s="248">
        <f t="shared" si="1"/>
        <v>0</v>
      </c>
    </row>
    <row r="34" spans="1:5" ht="12.75">
      <c r="A34" s="56" t="s">
        <v>132</v>
      </c>
      <c r="C34" s="22"/>
      <c r="D34" s="22"/>
      <c r="E34" s="276"/>
    </row>
    <row r="35" spans="1:5" ht="12.75">
      <c r="A35" s="2" t="s">
        <v>180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272</v>
      </c>
      <c r="B40" s="61"/>
      <c r="C40" s="90"/>
      <c r="D40" s="90"/>
      <c r="E40" s="90"/>
    </row>
    <row r="41" spans="1:5" ht="12.75">
      <c r="A41" s="61"/>
      <c r="B41" s="61"/>
      <c r="C41" s="291"/>
      <c r="D41" s="291"/>
      <c r="E41" s="248">
        <f>C41-D41</f>
        <v>0</v>
      </c>
    </row>
    <row r="42" spans="1:5" ht="12.75">
      <c r="A42" s="61"/>
      <c r="B42" s="61"/>
      <c r="C42" s="291"/>
      <c r="D42" s="291"/>
      <c r="E42" s="248">
        <f aca="true" t="shared" si="2" ref="E42:E49">C42-D42</f>
        <v>0</v>
      </c>
    </row>
    <row r="43" spans="1:5" ht="12.75">
      <c r="A43" s="61" t="s">
        <v>266</v>
      </c>
      <c r="B43" s="61"/>
      <c r="C43" s="291"/>
      <c r="D43" s="291"/>
      <c r="E43" s="248">
        <f t="shared" si="2"/>
        <v>0</v>
      </c>
    </row>
    <row r="44" spans="1:5" ht="12.75">
      <c r="A44" s="61" t="s">
        <v>267</v>
      </c>
      <c r="B44" s="61"/>
      <c r="C44" s="291"/>
      <c r="D44" s="291"/>
      <c r="E44" s="248">
        <f t="shared" si="2"/>
        <v>0</v>
      </c>
    </row>
    <row r="45" spans="1:5" ht="12.75">
      <c r="A45" s="61" t="s">
        <v>268</v>
      </c>
      <c r="B45" s="61"/>
      <c r="C45" s="291"/>
      <c r="D45" s="291"/>
      <c r="E45" s="248">
        <f t="shared" si="2"/>
        <v>0</v>
      </c>
    </row>
    <row r="46" spans="1:5" ht="12.75">
      <c r="A46" s="61" t="s">
        <v>269</v>
      </c>
      <c r="B46" s="61"/>
      <c r="C46" s="291"/>
      <c r="D46" s="291"/>
      <c r="E46" s="248">
        <f t="shared" si="2"/>
        <v>0</v>
      </c>
    </row>
    <row r="47" spans="1:5" ht="12.75">
      <c r="A47" s="61" t="s">
        <v>451</v>
      </c>
      <c r="B47" s="61"/>
      <c r="C47" s="291"/>
      <c r="D47" s="291"/>
      <c r="E47" s="248">
        <f t="shared" si="2"/>
        <v>0</v>
      </c>
    </row>
    <row r="48" spans="1:5" ht="12.75">
      <c r="A48" s="61" t="s">
        <v>451</v>
      </c>
      <c r="B48" s="61"/>
      <c r="C48" s="291"/>
      <c r="D48" s="291"/>
      <c r="E48" s="248">
        <f t="shared" si="2"/>
        <v>0</v>
      </c>
    </row>
    <row r="49" spans="1:5" ht="12.75">
      <c r="A49" s="61"/>
      <c r="B49" s="61"/>
      <c r="C49" s="307"/>
      <c r="D49" s="307"/>
      <c r="E49" s="276">
        <f t="shared" si="2"/>
        <v>0</v>
      </c>
    </row>
    <row r="50" spans="1:5" ht="12.75">
      <c r="A50" s="2" t="s">
        <v>180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271</v>
      </c>
      <c r="B52" s="61"/>
      <c r="C52" s="90"/>
      <c r="D52" s="90"/>
      <c r="E52" s="90"/>
    </row>
    <row r="53" spans="1:5" ht="12.75">
      <c r="A53" s="61"/>
      <c r="B53" s="61"/>
      <c r="C53" s="291"/>
      <c r="D53" s="291"/>
      <c r="E53" s="248">
        <f>C53-D53</f>
        <v>0</v>
      </c>
    </row>
    <row r="54" spans="1:5" ht="12.75">
      <c r="A54" s="243"/>
      <c r="B54" s="61"/>
      <c r="C54" s="291"/>
      <c r="D54" s="291"/>
      <c r="E54" s="248">
        <f aca="true" t="shared" si="3" ref="E54:E61">C54-D54</f>
        <v>0</v>
      </c>
    </row>
    <row r="55" spans="1:5" ht="12.75">
      <c r="A55" s="243" t="s">
        <v>266</v>
      </c>
      <c r="B55" s="61"/>
      <c r="C55" s="291"/>
      <c r="D55" s="291"/>
      <c r="E55" s="248">
        <f t="shared" si="3"/>
        <v>0</v>
      </c>
    </row>
    <row r="56" spans="1:5" ht="12.75">
      <c r="A56" s="243" t="s">
        <v>267</v>
      </c>
      <c r="B56" s="61"/>
      <c r="C56" s="291"/>
      <c r="D56" s="291"/>
      <c r="E56" s="248">
        <f t="shared" si="3"/>
        <v>0</v>
      </c>
    </row>
    <row r="57" spans="1:5" ht="12.75">
      <c r="A57" s="243" t="s">
        <v>268</v>
      </c>
      <c r="B57" s="61"/>
      <c r="C57" s="291"/>
      <c r="D57" s="291"/>
      <c r="E57" s="248">
        <f t="shared" si="3"/>
        <v>0</v>
      </c>
    </row>
    <row r="58" spans="1:5" ht="12.75">
      <c r="A58" s="243" t="s">
        <v>269</v>
      </c>
      <c r="B58" s="61"/>
      <c r="C58" s="291"/>
      <c r="D58" s="291"/>
      <c r="E58" s="248">
        <f t="shared" si="3"/>
        <v>0</v>
      </c>
    </row>
    <row r="59" spans="1:5" ht="12.75">
      <c r="A59" s="61" t="s">
        <v>451</v>
      </c>
      <c r="B59" s="61"/>
      <c r="C59" s="291"/>
      <c r="D59" s="291"/>
      <c r="E59" s="248">
        <f t="shared" si="3"/>
        <v>0</v>
      </c>
    </row>
    <row r="60" spans="1:5" ht="12.75">
      <c r="A60" s="61" t="s">
        <v>451</v>
      </c>
      <c r="B60" s="61"/>
      <c r="C60" s="291"/>
      <c r="D60" s="291"/>
      <c r="E60" s="248">
        <f t="shared" si="3"/>
        <v>0</v>
      </c>
    </row>
    <row r="61" spans="1:5" ht="13.5" thickBot="1">
      <c r="A61" s="62"/>
      <c r="B61" s="61"/>
      <c r="C61" s="291"/>
      <c r="D61" s="291"/>
      <c r="E61" s="248">
        <f t="shared" si="3"/>
        <v>0</v>
      </c>
    </row>
    <row r="62" spans="1:5" ht="12.75">
      <c r="A62" s="56" t="s">
        <v>132</v>
      </c>
      <c r="C62" s="22"/>
      <c r="D62" s="22"/>
      <c r="E62" s="276"/>
    </row>
    <row r="63" spans="1:5" ht="12.75">
      <c r="A63" s="2" t="s">
        <v>180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39"/>
  <sheetViews>
    <sheetView zoomScale="75" zoomScaleNormal="75" zoomScalePageLayoutView="0" workbookViewId="0" topLeftCell="A1">
      <pane xSplit="1" ySplit="6" topLeftCell="B7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EB-????-??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468</v>
      </c>
      <c r="B5" s="8"/>
      <c r="C5" s="8" t="s">
        <v>2</v>
      </c>
      <c r="D5" s="8"/>
      <c r="E5" s="8"/>
      <c r="F5" s="8"/>
    </row>
    <row r="6" spans="1:6" ht="12.75">
      <c r="A6" s="412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COLLUS Power Harmonized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8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69"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2"/>
      <c r="D17" s="292"/>
      <c r="E17" s="309">
        <f aca="true" t="shared" si="0" ref="E17:E44">C17-D17</f>
        <v>0</v>
      </c>
    </row>
    <row r="18" spans="1:5" ht="12.75">
      <c r="A18" s="67" t="s">
        <v>252</v>
      </c>
      <c r="B18" t="s">
        <v>187</v>
      </c>
      <c r="C18" s="292">
        <v>0</v>
      </c>
      <c r="D18" s="292"/>
      <c r="E18" s="309">
        <f t="shared" si="0"/>
        <v>0</v>
      </c>
    </row>
    <row r="19" spans="1:5" ht="12.75">
      <c r="A19" s="67" t="s">
        <v>135</v>
      </c>
      <c r="B19" t="s">
        <v>187</v>
      </c>
      <c r="C19" s="292"/>
      <c r="D19" s="292"/>
      <c r="E19" s="309">
        <f t="shared" si="0"/>
        <v>0</v>
      </c>
    </row>
    <row r="20" spans="1:5" ht="12.75">
      <c r="A20" s="67" t="s">
        <v>452</v>
      </c>
      <c r="B20" t="s">
        <v>187</v>
      </c>
      <c r="C20" s="292"/>
      <c r="D20" s="310"/>
      <c r="E20" s="309">
        <f t="shared" si="0"/>
        <v>0</v>
      </c>
    </row>
    <row r="21" spans="1:5" ht="12.75">
      <c r="A21" s="67" t="s">
        <v>8</v>
      </c>
      <c r="B21" t="s">
        <v>187</v>
      </c>
      <c r="C21" s="292"/>
      <c r="D21" s="292"/>
      <c r="E21" s="309">
        <f t="shared" si="0"/>
        <v>0</v>
      </c>
    </row>
    <row r="22" spans="1:5" ht="12.75">
      <c r="A22" s="67"/>
      <c r="B22" t="s">
        <v>187</v>
      </c>
      <c r="C22" s="292"/>
      <c r="D22" s="292"/>
      <c r="E22" s="309">
        <f t="shared" si="0"/>
        <v>0</v>
      </c>
    </row>
    <row r="23" spans="1:5" ht="12.75">
      <c r="A23" s="67" t="s">
        <v>137</v>
      </c>
      <c r="B23" t="s">
        <v>187</v>
      </c>
      <c r="C23" s="292"/>
      <c r="D23" s="292"/>
      <c r="E23" s="309">
        <f t="shared" si="0"/>
        <v>0</v>
      </c>
    </row>
    <row r="24" spans="1:5" ht="12.75">
      <c r="A24" s="67" t="s">
        <v>138</v>
      </c>
      <c r="B24" t="s">
        <v>187</v>
      </c>
      <c r="C24" s="292"/>
      <c r="D24" s="292"/>
      <c r="E24" s="309">
        <f t="shared" si="0"/>
        <v>0</v>
      </c>
    </row>
    <row r="25" spans="1:5" ht="12.75">
      <c r="A25" s="67" t="s">
        <v>9</v>
      </c>
      <c r="B25" t="s">
        <v>187</v>
      </c>
      <c r="C25" s="292"/>
      <c r="D25" s="292"/>
      <c r="E25" s="309">
        <f t="shared" si="0"/>
        <v>0</v>
      </c>
    </row>
    <row r="26" spans="1:5" ht="12.75">
      <c r="A26" s="67" t="s">
        <v>191</v>
      </c>
      <c r="B26" t="s">
        <v>187</v>
      </c>
      <c r="C26" s="292"/>
      <c r="D26" s="292"/>
      <c r="E26" s="309">
        <f t="shared" si="0"/>
        <v>0</v>
      </c>
    </row>
    <row r="27" spans="1:5" ht="12.75">
      <c r="A27" s="67" t="s">
        <v>7</v>
      </c>
      <c r="B27" t="s">
        <v>187</v>
      </c>
      <c r="C27" s="292"/>
      <c r="D27" s="292"/>
      <c r="E27" s="309">
        <f t="shared" si="0"/>
        <v>0</v>
      </c>
    </row>
    <row r="28" spans="1:5" ht="12.75">
      <c r="A28" s="67" t="s">
        <v>124</v>
      </c>
      <c r="B28" t="s">
        <v>187</v>
      </c>
      <c r="C28" s="292"/>
      <c r="D28" s="292"/>
      <c r="E28" s="309">
        <f t="shared" si="0"/>
        <v>0</v>
      </c>
    </row>
    <row r="29" spans="1:5" ht="12.75">
      <c r="A29" s="67" t="s">
        <v>139</v>
      </c>
      <c r="B29" t="s">
        <v>187</v>
      </c>
      <c r="C29" s="292"/>
      <c r="D29" s="292"/>
      <c r="E29" s="309">
        <f t="shared" si="0"/>
        <v>0</v>
      </c>
    </row>
    <row r="30" spans="1:5" ht="12.75">
      <c r="A30" s="67" t="s">
        <v>140</v>
      </c>
      <c r="B30" t="s">
        <v>187</v>
      </c>
      <c r="C30" s="292"/>
      <c r="D30" s="292"/>
      <c r="E30" s="309">
        <f t="shared" si="0"/>
        <v>0</v>
      </c>
    </row>
    <row r="31" spans="1:5" ht="12.75">
      <c r="A31" s="67" t="s">
        <v>253</v>
      </c>
      <c r="B31" t="s">
        <v>187</v>
      </c>
      <c r="C31" s="292"/>
      <c r="D31" s="292"/>
      <c r="E31" s="309">
        <f t="shared" si="0"/>
        <v>0</v>
      </c>
    </row>
    <row r="32" spans="1:5" ht="12.75">
      <c r="A32" s="67" t="s">
        <v>141</v>
      </c>
      <c r="B32" t="s">
        <v>187</v>
      </c>
      <c r="C32" s="292"/>
      <c r="D32" s="292"/>
      <c r="E32" s="309">
        <f t="shared" si="0"/>
        <v>0</v>
      </c>
    </row>
    <row r="33" spans="1:5" ht="12.75">
      <c r="A33" s="67" t="s">
        <v>142</v>
      </c>
      <c r="B33" t="s">
        <v>187</v>
      </c>
      <c r="C33" s="292"/>
      <c r="D33" s="292"/>
      <c r="E33" s="309">
        <f t="shared" si="0"/>
        <v>0</v>
      </c>
    </row>
    <row r="34" spans="1:5" ht="12.75">
      <c r="A34" s="67" t="s">
        <v>143</v>
      </c>
      <c r="B34" t="s">
        <v>187</v>
      </c>
      <c r="C34" s="292"/>
      <c r="D34" s="292"/>
      <c r="E34" s="309">
        <f t="shared" si="0"/>
        <v>0</v>
      </c>
    </row>
    <row r="35" spans="1:5" ht="12.75">
      <c r="A35" s="67" t="s">
        <v>193</v>
      </c>
      <c r="B35" t="s">
        <v>187</v>
      </c>
      <c r="C35" s="292"/>
      <c r="D35" s="292"/>
      <c r="E35" s="309">
        <f t="shared" si="0"/>
        <v>0</v>
      </c>
    </row>
    <row r="36" spans="1:5" ht="12.75">
      <c r="A36" s="67" t="s">
        <v>479</v>
      </c>
      <c r="B36" t="s">
        <v>187</v>
      </c>
      <c r="C36" s="292">
        <v>0</v>
      </c>
      <c r="D36" s="292"/>
      <c r="E36" s="309">
        <f t="shared" si="0"/>
        <v>0</v>
      </c>
    </row>
    <row r="37" spans="1:5" ht="12.75">
      <c r="A37" s="67"/>
      <c r="B37" t="s">
        <v>187</v>
      </c>
      <c r="C37" s="292"/>
      <c r="D37" s="292"/>
      <c r="E37" s="309">
        <f t="shared" si="0"/>
        <v>0</v>
      </c>
    </row>
    <row r="38" spans="2:5" ht="12.75">
      <c r="B38" t="s">
        <v>187</v>
      </c>
      <c r="C38" s="292"/>
      <c r="D38" s="292"/>
      <c r="E38" s="248">
        <f t="shared" si="0"/>
        <v>0</v>
      </c>
    </row>
    <row r="39" spans="2:5" ht="12.75">
      <c r="B39" t="s">
        <v>187</v>
      </c>
      <c r="C39" s="291"/>
      <c r="D39" s="292"/>
      <c r="E39" s="248">
        <f t="shared" si="0"/>
        <v>0</v>
      </c>
    </row>
    <row r="40" spans="1:5" ht="12.75">
      <c r="A40" s="68" t="s">
        <v>204</v>
      </c>
      <c r="B40" t="s">
        <v>187</v>
      </c>
      <c r="C40" s="291"/>
      <c r="D40" s="291"/>
      <c r="E40" s="248">
        <f t="shared" si="0"/>
        <v>0</v>
      </c>
    </row>
    <row r="41" spans="1:11" ht="12.75">
      <c r="A41" s="492"/>
      <c r="B41" t="s">
        <v>187</v>
      </c>
      <c r="C41" s="291">
        <v>0</v>
      </c>
      <c r="D41" s="291"/>
      <c r="E41" s="248">
        <f t="shared" si="0"/>
        <v>0</v>
      </c>
      <c r="F41" s="488"/>
      <c r="G41" s="34"/>
      <c r="H41" s="34"/>
      <c r="I41" s="34"/>
      <c r="J41" s="34"/>
      <c r="K41" s="34"/>
    </row>
    <row r="42" spans="1:11" ht="12.75">
      <c r="A42" s="492"/>
      <c r="B42" t="s">
        <v>187</v>
      </c>
      <c r="C42" s="291">
        <v>0</v>
      </c>
      <c r="D42" s="291"/>
      <c r="E42" s="248">
        <f t="shared" si="0"/>
        <v>0</v>
      </c>
      <c r="F42" s="34"/>
      <c r="G42" s="488"/>
      <c r="H42" s="34"/>
      <c r="I42" s="34"/>
      <c r="J42" s="34"/>
      <c r="K42" s="34"/>
    </row>
    <row r="43" spans="1:11" ht="12.75">
      <c r="A43" s="492"/>
      <c r="B43" t="s">
        <v>187</v>
      </c>
      <c r="C43" s="291">
        <v>0</v>
      </c>
      <c r="D43" s="291"/>
      <c r="E43" s="248">
        <f t="shared" si="0"/>
        <v>0</v>
      </c>
      <c r="F43" s="34"/>
      <c r="G43" s="34"/>
      <c r="H43" s="34"/>
      <c r="I43" s="34"/>
      <c r="J43" s="34"/>
      <c r="K43" s="34"/>
    </row>
    <row r="44" spans="1:5" ht="12.75">
      <c r="A44" s="67"/>
      <c r="B44" t="s">
        <v>187</v>
      </c>
      <c r="C44" s="291"/>
      <c r="D44" s="291"/>
      <c r="E44" s="248">
        <f t="shared" si="0"/>
        <v>0</v>
      </c>
    </row>
    <row r="45" spans="1:5" ht="12.75">
      <c r="A45" s="67"/>
      <c r="B45" t="s">
        <v>187</v>
      </c>
      <c r="C45" s="291"/>
      <c r="D45" s="291"/>
      <c r="E45" s="276"/>
    </row>
    <row r="46" spans="1:5" ht="12.75">
      <c r="A46" s="70" t="s">
        <v>170</v>
      </c>
      <c r="B46" t="s">
        <v>189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2" t="str">
        <f>IF($E17&gt;$C$11,A17," ")</f>
        <v> </v>
      </c>
      <c r="B49" s="270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2" t="str">
        <f>IF($E18&gt;$C$11,A18," ")</f>
        <v> </v>
      </c>
      <c r="B50" s="270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2" t="str">
        <f>IF($E19&gt;$C$11,#REF!," ")</f>
        <v> </v>
      </c>
      <c r="B51" s="270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2" t="str">
        <f>IF($E20&gt;$C$11,#REF!," ")</f>
        <v> </v>
      </c>
      <c r="B52" s="270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2" t="str">
        <f t="shared" si="2"/>
        <v> </v>
      </c>
      <c r="B54" s="270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2" t="str">
        <f t="shared" si="2"/>
        <v> </v>
      </c>
      <c r="B55" s="270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2" t="str">
        <f t="shared" si="2"/>
        <v> </v>
      </c>
      <c r="B56" s="270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2" t="str">
        <f t="shared" si="2"/>
        <v> </v>
      </c>
      <c r="B57" s="270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2" t="str">
        <f t="shared" si="2"/>
        <v> </v>
      </c>
      <c r="B58" s="270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2" t="str">
        <f t="shared" si="2"/>
        <v> </v>
      </c>
      <c r="B59" s="270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2" t="str">
        <f>IF($E28&gt;$C$11,A28," ")</f>
        <v> </v>
      </c>
      <c r="B60" s="270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2" t="str">
        <f>IF($E29&gt;$C$11,#REF!," ")</f>
        <v> </v>
      </c>
      <c r="B61" s="270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2" t="str">
        <f>IF($E30&gt;$C$11,#REF!," ")</f>
        <v> </v>
      </c>
      <c r="B62" s="270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2" t="str">
        <f>IF($E31&gt;$C$11,A26," ")</f>
        <v> </v>
      </c>
      <c r="B63" s="270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2" t="str">
        <f>IF($E33&gt;$C$11,#REF!," ")</f>
        <v> </v>
      </c>
      <c r="B64" s="270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2" t="str">
        <f>IF($E34&gt;$C$11,#REF!," ")</f>
        <v> </v>
      </c>
      <c r="B65" s="270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2" t="str">
        <f>IF($E35&gt;$C$11,#REF!," ")</f>
        <v> </v>
      </c>
      <c r="B66" s="270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2" t="str">
        <f>IF($E36&gt;$C$11,A36," ")</f>
        <v> </v>
      </c>
      <c r="B67" s="270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2" t="str">
        <f>IF($E37&gt;$C$11,A37," ")</f>
        <v> </v>
      </c>
      <c r="B68" s="270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2" t="str">
        <f>IF($E38&gt;$C$11,A29," ")</f>
        <v> </v>
      </c>
      <c r="B69" s="270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2" t="str">
        <f>IF($E39&gt;$C$11,A35," ")</f>
        <v> </v>
      </c>
      <c r="B70" s="270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2" t="str">
        <f t="shared" si="4"/>
        <v> </v>
      </c>
      <c r="B72" s="270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2" t="str">
        <f t="shared" si="4"/>
        <v> </v>
      </c>
      <c r="B73" s="270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2" t="str">
        <f t="shared" si="4"/>
        <v> </v>
      </c>
      <c r="B74" s="270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2" t="str">
        <f t="shared" si="4"/>
        <v> </v>
      </c>
      <c r="B75" s="270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2" t="str">
        <f t="shared" si="4"/>
        <v> </v>
      </c>
      <c r="B76" s="271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3" t="s">
        <v>144</v>
      </c>
      <c r="B77" s="270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3" t="s">
        <v>203</v>
      </c>
      <c r="B78" s="274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3" t="s">
        <v>170</v>
      </c>
      <c r="B79" s="274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1">
        <v>2375</v>
      </c>
      <c r="D82" s="291"/>
      <c r="E82" s="248">
        <f>C82-D82</f>
        <v>2375</v>
      </c>
    </row>
    <row r="83" spans="1:5" ht="12.75">
      <c r="A83" s="71" t="s">
        <v>152</v>
      </c>
      <c r="B83" s="8" t="s">
        <v>188</v>
      </c>
      <c r="C83" s="291"/>
      <c r="D83" s="291"/>
      <c r="E83" s="248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1"/>
      <c r="D84" s="291"/>
      <c r="E84" s="248">
        <f t="shared" si="5"/>
        <v>0</v>
      </c>
    </row>
    <row r="85" spans="1:5" ht="12.75">
      <c r="A85" s="71" t="s">
        <v>254</v>
      </c>
      <c r="B85" s="8" t="s">
        <v>188</v>
      </c>
      <c r="C85" s="291"/>
      <c r="D85" s="291"/>
      <c r="E85" s="248">
        <f t="shared" si="5"/>
        <v>0</v>
      </c>
    </row>
    <row r="86" spans="1:5" ht="12.75">
      <c r="A86" s="67" t="s">
        <v>194</v>
      </c>
      <c r="B86" s="8" t="s">
        <v>188</v>
      </c>
      <c r="C86" s="291"/>
      <c r="D86" s="291"/>
      <c r="E86" s="248">
        <f t="shared" si="5"/>
        <v>0</v>
      </c>
    </row>
    <row r="87" spans="1:5" ht="12.75">
      <c r="A87" s="67" t="s">
        <v>379</v>
      </c>
      <c r="B87" s="8" t="s">
        <v>188</v>
      </c>
      <c r="C87" s="291">
        <v>0</v>
      </c>
      <c r="D87" s="291"/>
      <c r="E87" s="248">
        <f t="shared" si="5"/>
        <v>0</v>
      </c>
    </row>
    <row r="88" spans="1:5" ht="12.75">
      <c r="A88" s="67" t="s">
        <v>195</v>
      </c>
      <c r="B88" s="8" t="s">
        <v>188</v>
      </c>
      <c r="C88" s="291"/>
      <c r="D88" s="291"/>
      <c r="E88" s="248">
        <f t="shared" si="5"/>
        <v>0</v>
      </c>
    </row>
    <row r="89" spans="1:5" ht="12.75">
      <c r="A89" s="67" t="s">
        <v>167</v>
      </c>
      <c r="B89" s="8" t="s">
        <v>188</v>
      </c>
      <c r="C89" s="291"/>
      <c r="D89" s="291"/>
      <c r="E89" s="248">
        <f t="shared" si="5"/>
        <v>0</v>
      </c>
    </row>
    <row r="90" spans="1:5" ht="12.75">
      <c r="A90" s="67" t="s">
        <v>168</v>
      </c>
      <c r="B90" s="8" t="s">
        <v>188</v>
      </c>
      <c r="C90" s="291"/>
      <c r="D90" s="291"/>
      <c r="E90" s="248">
        <f t="shared" si="5"/>
        <v>0</v>
      </c>
    </row>
    <row r="91" spans="1:5" ht="12.75">
      <c r="A91" s="67" t="s">
        <v>169</v>
      </c>
      <c r="B91" s="8" t="s">
        <v>188</v>
      </c>
      <c r="C91" s="291"/>
      <c r="D91" s="291"/>
      <c r="E91" s="248">
        <f t="shared" si="5"/>
        <v>0</v>
      </c>
    </row>
    <row r="92" spans="2:5" ht="12.75">
      <c r="B92" s="8" t="s">
        <v>188</v>
      </c>
      <c r="C92" s="291"/>
      <c r="D92" s="291"/>
      <c r="E92" s="248"/>
    </row>
    <row r="93" spans="1:5" ht="12.75">
      <c r="A93" s="67"/>
      <c r="B93" s="8" t="s">
        <v>188</v>
      </c>
      <c r="C93" s="291"/>
      <c r="D93" s="291"/>
      <c r="E93" s="248">
        <f t="shared" si="5"/>
        <v>0</v>
      </c>
    </row>
    <row r="94" spans="1:5" ht="12.75">
      <c r="A94" s="67"/>
      <c r="B94" s="8" t="s">
        <v>188</v>
      </c>
      <c r="C94" s="291"/>
      <c r="D94" s="291"/>
      <c r="E94" s="248">
        <f t="shared" si="5"/>
        <v>0</v>
      </c>
    </row>
    <row r="95" spans="1:5" ht="12.75">
      <c r="A95" s="68" t="s">
        <v>205</v>
      </c>
      <c r="B95" s="8" t="s">
        <v>188</v>
      </c>
      <c r="C95" s="291"/>
      <c r="D95" s="291"/>
      <c r="E95" s="248">
        <f t="shared" si="5"/>
        <v>0</v>
      </c>
    </row>
    <row r="96" spans="1:5" ht="12.75">
      <c r="A96" s="492"/>
      <c r="B96" s="8" t="s">
        <v>188</v>
      </c>
      <c r="C96" s="291">
        <v>0</v>
      </c>
      <c r="D96" s="291"/>
      <c r="E96" s="248">
        <f t="shared" si="5"/>
        <v>0</v>
      </c>
    </row>
    <row r="97" spans="1:5" ht="12.75">
      <c r="A97" s="67"/>
      <c r="B97" s="8" t="s">
        <v>188</v>
      </c>
      <c r="C97" s="291"/>
      <c r="D97" s="291"/>
      <c r="E97" s="248">
        <f t="shared" si="5"/>
        <v>0</v>
      </c>
    </row>
    <row r="98" spans="1:5" ht="12.75">
      <c r="A98" s="67"/>
      <c r="B98" s="8" t="s">
        <v>188</v>
      </c>
      <c r="C98" s="291"/>
      <c r="D98" s="291"/>
      <c r="E98" s="248">
        <f t="shared" si="5"/>
        <v>0</v>
      </c>
    </row>
    <row r="99" spans="1:5" ht="12.75">
      <c r="A99" s="67" t="s">
        <v>171</v>
      </c>
      <c r="B99" s="8" t="s">
        <v>189</v>
      </c>
      <c r="C99" s="248">
        <f>SUM(C82:C98)</f>
        <v>2375</v>
      </c>
      <c r="D99" s="248">
        <f>SUM(D82:D98)</f>
        <v>0</v>
      </c>
      <c r="E99" s="248">
        <f>SUM(E82:E98)</f>
        <v>2375</v>
      </c>
    </row>
    <row r="100" ht="12.75">
      <c r="A100" s="67"/>
    </row>
    <row r="101" ht="12.75">
      <c r="A101" s="67" t="s">
        <v>174</v>
      </c>
    </row>
    <row r="102" spans="1:5" ht="12.75">
      <c r="A102" s="272" t="str">
        <f aca="true" t="shared" si="6" ref="A102:A111">IF($E82&gt;$C$11,A82," ")</f>
        <v>Gain on disposal of assets per f/s</v>
      </c>
      <c r="B102" s="270"/>
      <c r="C102" s="248">
        <f aca="true" t="shared" si="7" ref="C102:E118">IF($E82&gt;$C$11,C82,)</f>
        <v>2375</v>
      </c>
      <c r="D102" s="248">
        <f t="shared" si="7"/>
        <v>0</v>
      </c>
      <c r="E102" s="248">
        <f t="shared" si="7"/>
        <v>2375</v>
      </c>
    </row>
    <row r="103" spans="1:5" ht="12.75">
      <c r="A103" s="272" t="str">
        <f t="shared" si="6"/>
        <v> </v>
      </c>
      <c r="B103" s="270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2" t="str">
        <f t="shared" si="6"/>
        <v> </v>
      </c>
      <c r="B104" s="270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2" t="str">
        <f t="shared" si="6"/>
        <v> </v>
      </c>
      <c r="B105" s="270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2" t="str">
        <f t="shared" si="6"/>
        <v> </v>
      </c>
      <c r="B106" s="270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2" t="str">
        <f t="shared" si="6"/>
        <v> </v>
      </c>
      <c r="B107" s="270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2" t="str">
        <f t="shared" si="6"/>
        <v> </v>
      </c>
      <c r="B108" s="270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2" t="str">
        <f t="shared" si="6"/>
        <v> </v>
      </c>
      <c r="B109" s="270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2" t="str">
        <f t="shared" si="6"/>
        <v> </v>
      </c>
      <c r="B110" s="270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2" t="str">
        <f t="shared" si="6"/>
        <v> </v>
      </c>
      <c r="B111" s="270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2" t="str">
        <f>IF($E92&gt;$C$11,A95," ")</f>
        <v> </v>
      </c>
      <c r="B112" s="270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2" t="str">
        <f>IF($E93&gt;$C$11,#REF!," ")</f>
        <v> </v>
      </c>
      <c r="B113" s="270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2" t="str">
        <f>IF($E94&gt;$C$11,A94," ")</f>
        <v> </v>
      </c>
      <c r="B114" s="270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2" t="str">
        <f>IF($E95&gt;$C$11,A93," ")</f>
        <v> </v>
      </c>
      <c r="B115" s="270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2" t="str">
        <f>IF($E96&gt;$C$11,A96," ")</f>
        <v> </v>
      </c>
      <c r="B116" s="270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2" t="str">
        <f>IF($E97&gt;$C$11,A97," ")</f>
        <v> </v>
      </c>
      <c r="B117" s="270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2" t="str">
        <f>IF($E98&gt;$C$11,A98," ")</f>
        <v> </v>
      </c>
      <c r="B118" s="270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5" t="s">
        <v>202</v>
      </c>
      <c r="B119" s="270"/>
      <c r="C119" s="248">
        <f>SUM(C102:C118)</f>
        <v>2375</v>
      </c>
      <c r="D119" s="248">
        <f>SUM(D102:D118)</f>
        <v>0</v>
      </c>
      <c r="E119" s="248">
        <f>SUM(E102:E118)</f>
        <v>2375</v>
      </c>
    </row>
    <row r="120" spans="1:5" ht="12.75">
      <c r="A120" s="275" t="s">
        <v>201</v>
      </c>
      <c r="B120" s="270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5" t="s">
        <v>171</v>
      </c>
      <c r="B121" s="270"/>
      <c r="C121" s="248">
        <f>C119+C120</f>
        <v>2375</v>
      </c>
      <c r="D121" s="248">
        <f>D119+D120</f>
        <v>0</v>
      </c>
      <c r="E121" s="248">
        <f>E119+E120</f>
        <v>2375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3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44" sqref="A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EB-????-??</v>
      </c>
    </row>
    <row r="3" spans="1:5" ht="12.75">
      <c r="A3" s="2" t="s">
        <v>387</v>
      </c>
      <c r="E3" s="91"/>
    </row>
    <row r="4" spans="1:6" ht="15.75">
      <c r="A4" s="460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COLLUS Power Harmonized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8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2"/>
      <c r="D19" s="292"/>
      <c r="E19" s="309">
        <f aca="true" t="shared" si="0" ref="E19:E43">C19-D19</f>
        <v>0</v>
      </c>
    </row>
    <row r="20" spans="1:5" ht="12.75">
      <c r="A20" t="s">
        <v>390</v>
      </c>
      <c r="B20" t="s">
        <v>187</v>
      </c>
      <c r="C20" s="292"/>
      <c r="D20" s="292"/>
      <c r="E20" s="309">
        <f t="shared" si="0"/>
        <v>0</v>
      </c>
    </row>
    <row r="21" spans="1:5" ht="12.75">
      <c r="A21" t="s">
        <v>456</v>
      </c>
      <c r="B21" t="s">
        <v>187</v>
      </c>
      <c r="C21" s="292"/>
      <c r="D21" s="292"/>
      <c r="E21" s="309">
        <f t="shared" si="0"/>
        <v>0</v>
      </c>
    </row>
    <row r="22" spans="1:5" ht="12.75">
      <c r="A22" s="67" t="s">
        <v>393</v>
      </c>
      <c r="B22" t="s">
        <v>187</v>
      </c>
      <c r="C22" s="292"/>
      <c r="D22" s="310"/>
      <c r="E22" s="309">
        <f t="shared" si="0"/>
        <v>0</v>
      </c>
    </row>
    <row r="23" spans="1:5" ht="12.75">
      <c r="A23" s="67" t="s">
        <v>394</v>
      </c>
      <c r="B23" t="s">
        <v>187</v>
      </c>
      <c r="C23" s="292"/>
      <c r="D23" s="292"/>
      <c r="E23" s="309">
        <f t="shared" si="0"/>
        <v>0</v>
      </c>
    </row>
    <row r="24" spans="1:5" ht="12.75">
      <c r="A24" s="67" t="s">
        <v>457</v>
      </c>
      <c r="B24" t="s">
        <v>187</v>
      </c>
      <c r="C24" s="292"/>
      <c r="D24" s="292"/>
      <c r="E24" s="309">
        <f t="shared" si="0"/>
        <v>0</v>
      </c>
    </row>
    <row r="25" spans="1:5" ht="12.75">
      <c r="A25" s="67" t="s">
        <v>125</v>
      </c>
      <c r="B25" t="s">
        <v>187</v>
      </c>
      <c r="C25" s="292"/>
      <c r="D25" s="292"/>
      <c r="E25" s="309">
        <f t="shared" si="0"/>
        <v>0</v>
      </c>
    </row>
    <row r="26" spans="1:5" ht="12.75">
      <c r="A26" s="67" t="s">
        <v>134</v>
      </c>
      <c r="B26" t="s">
        <v>187</v>
      </c>
      <c r="C26" s="292"/>
      <c r="D26" s="292"/>
      <c r="E26" s="309">
        <f t="shared" si="0"/>
        <v>0</v>
      </c>
    </row>
    <row r="27" spans="1:5" ht="12.75">
      <c r="A27" s="67" t="s">
        <v>440</v>
      </c>
      <c r="B27" t="s">
        <v>187</v>
      </c>
      <c r="C27" s="292"/>
      <c r="D27" s="292"/>
      <c r="E27" s="309">
        <f t="shared" si="0"/>
        <v>0</v>
      </c>
    </row>
    <row r="28" spans="1:5" ht="12.75">
      <c r="A28" s="67" t="s">
        <v>392</v>
      </c>
      <c r="B28" t="s">
        <v>187</v>
      </c>
      <c r="C28" s="292"/>
      <c r="D28" s="292"/>
      <c r="E28" s="309">
        <f t="shared" si="0"/>
        <v>0</v>
      </c>
    </row>
    <row r="29" spans="1:5" ht="12.75">
      <c r="A29" s="67" t="s">
        <v>136</v>
      </c>
      <c r="B29" t="s">
        <v>187</v>
      </c>
      <c r="C29" s="292"/>
      <c r="D29" s="292"/>
      <c r="E29" s="309">
        <f t="shared" si="0"/>
        <v>0</v>
      </c>
    </row>
    <row r="30" spans="1:5" ht="12.75">
      <c r="A30" s="67" t="s">
        <v>391</v>
      </c>
      <c r="B30" t="s">
        <v>187</v>
      </c>
      <c r="C30" s="292"/>
      <c r="D30" s="292"/>
      <c r="E30" s="309">
        <f t="shared" si="0"/>
        <v>0</v>
      </c>
    </row>
    <row r="31" spans="1:5" ht="12.75">
      <c r="A31" s="67" t="s">
        <v>192</v>
      </c>
      <c r="B31" t="s">
        <v>187</v>
      </c>
      <c r="C31" s="292"/>
      <c r="D31" s="292"/>
      <c r="E31" s="309">
        <f t="shared" si="0"/>
        <v>0</v>
      </c>
    </row>
    <row r="32" spans="1:5" ht="12.75">
      <c r="A32" s="67" t="s">
        <v>435</v>
      </c>
      <c r="B32" t="s">
        <v>187</v>
      </c>
      <c r="C32" s="292">
        <v>0</v>
      </c>
      <c r="D32" s="292"/>
      <c r="E32" s="309">
        <f t="shared" si="0"/>
        <v>0</v>
      </c>
    </row>
    <row r="33" spans="1:5" ht="12.75">
      <c r="A33" s="67" t="s">
        <v>436</v>
      </c>
      <c r="B33" t="s">
        <v>187</v>
      </c>
      <c r="C33" s="292"/>
      <c r="D33" s="292"/>
      <c r="E33" s="309">
        <f t="shared" si="0"/>
        <v>0</v>
      </c>
    </row>
    <row r="34" spans="1:5" ht="12.75">
      <c r="A34" s="67" t="s">
        <v>453</v>
      </c>
      <c r="B34" t="s">
        <v>187</v>
      </c>
      <c r="C34" s="292"/>
      <c r="D34" s="292"/>
      <c r="E34" s="309">
        <f t="shared" si="0"/>
        <v>0</v>
      </c>
    </row>
    <row r="35" spans="1:5" ht="12.75">
      <c r="A35" s="80" t="s">
        <v>454</v>
      </c>
      <c r="C35" s="292">
        <v>0</v>
      </c>
      <c r="D35" s="292"/>
      <c r="E35" s="309">
        <f t="shared" si="0"/>
        <v>0</v>
      </c>
    </row>
    <row r="36" spans="1:5" ht="12.75">
      <c r="A36" s="67" t="s">
        <v>437</v>
      </c>
      <c r="C36" s="292"/>
      <c r="D36" s="292"/>
      <c r="E36" s="309">
        <f t="shared" si="0"/>
        <v>0</v>
      </c>
    </row>
    <row r="37" spans="1:5" ht="12.75">
      <c r="A37" s="67" t="s">
        <v>438</v>
      </c>
      <c r="C37" s="292"/>
      <c r="D37" s="292"/>
      <c r="E37" s="309">
        <f t="shared" si="0"/>
        <v>0</v>
      </c>
    </row>
    <row r="38" spans="1:5" ht="12.75">
      <c r="A38" s="67" t="s">
        <v>460</v>
      </c>
      <c r="C38" s="292"/>
      <c r="D38" s="292"/>
      <c r="E38" s="309">
        <f t="shared" si="0"/>
        <v>0</v>
      </c>
    </row>
    <row r="39" spans="2:5" ht="12.75">
      <c r="B39" t="s">
        <v>187</v>
      </c>
      <c r="C39" s="292"/>
      <c r="D39" s="292"/>
      <c r="E39" s="309">
        <f t="shared" si="0"/>
        <v>0</v>
      </c>
    </row>
    <row r="40" spans="1:5" ht="12.75">
      <c r="A40" s="80" t="s">
        <v>395</v>
      </c>
      <c r="B40" t="s">
        <v>187</v>
      </c>
      <c r="C40" s="292"/>
      <c r="D40" s="292"/>
      <c r="E40" s="309">
        <f t="shared" si="0"/>
        <v>0</v>
      </c>
    </row>
    <row r="41" spans="1:5" ht="12.75">
      <c r="A41" s="80" t="s">
        <v>389</v>
      </c>
      <c r="B41" t="s">
        <v>187</v>
      </c>
      <c r="C41" s="292"/>
      <c r="D41" s="292"/>
      <c r="E41" s="309">
        <f t="shared" si="0"/>
        <v>0</v>
      </c>
    </row>
    <row r="42" spans="2:5" ht="12.75">
      <c r="B42" t="s">
        <v>187</v>
      </c>
      <c r="C42" s="292"/>
      <c r="D42" s="292"/>
      <c r="E42" s="309">
        <f t="shared" si="0"/>
        <v>0</v>
      </c>
    </row>
    <row r="43" spans="1:5" ht="12.75">
      <c r="A43" s="68" t="s">
        <v>204</v>
      </c>
      <c r="B43" t="s">
        <v>187</v>
      </c>
      <c r="C43" s="292"/>
      <c r="D43" s="292"/>
      <c r="E43" s="309">
        <f t="shared" si="0"/>
        <v>0</v>
      </c>
    </row>
    <row r="44" spans="1:5" ht="12.75">
      <c r="A44" s="484" t="s">
        <v>504</v>
      </c>
      <c r="B44" t="s">
        <v>187</v>
      </c>
      <c r="C44" s="291">
        <v>40175</v>
      </c>
      <c r="D44" s="291"/>
      <c r="E44" s="248">
        <f>C44-D44</f>
        <v>40175</v>
      </c>
    </row>
    <row r="45" spans="1:5" ht="12.75">
      <c r="A45" s="484" t="s">
        <v>503</v>
      </c>
      <c r="B45" t="s">
        <v>187</v>
      </c>
      <c r="C45" s="291">
        <v>15013</v>
      </c>
      <c r="D45" s="291"/>
      <c r="E45" s="248">
        <f>C45-D45</f>
        <v>15013</v>
      </c>
    </row>
    <row r="46" spans="1:5" ht="12.75">
      <c r="A46" s="484"/>
      <c r="B46" t="s">
        <v>187</v>
      </c>
      <c r="C46" s="291">
        <v>0</v>
      </c>
      <c r="D46" s="291"/>
      <c r="E46" s="248">
        <f>C46-D46</f>
        <v>0</v>
      </c>
    </row>
    <row r="47" spans="1:5" ht="12.75">
      <c r="A47" s="445" t="s">
        <v>399</v>
      </c>
      <c r="B47" t="s">
        <v>189</v>
      </c>
      <c r="C47" s="248">
        <f>SUM(C19:C46)</f>
        <v>55188</v>
      </c>
      <c r="D47" s="248">
        <f>SUM(D19:D46)</f>
        <v>0</v>
      </c>
      <c r="E47" s="248">
        <f>SUM(E19:E46)</f>
        <v>55188</v>
      </c>
    </row>
    <row r="48" ht="12.75">
      <c r="A48" s="67"/>
    </row>
    <row r="49" ht="12.75">
      <c r="A49" s="80" t="s">
        <v>145</v>
      </c>
    </row>
    <row r="51" spans="1:5" ht="12.75">
      <c r="A51" s="71" t="s">
        <v>390</v>
      </c>
      <c r="B51" s="8" t="s">
        <v>188</v>
      </c>
      <c r="C51" s="291"/>
      <c r="D51" s="291"/>
      <c r="E51" s="248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1"/>
      <c r="D52" s="291"/>
      <c r="E52" s="248">
        <f t="shared" si="1"/>
        <v>0</v>
      </c>
    </row>
    <row r="53" spans="1:5" ht="12.75">
      <c r="A53" t="s">
        <v>391</v>
      </c>
      <c r="B53" s="8" t="s">
        <v>188</v>
      </c>
      <c r="C53" s="291"/>
      <c r="D53" s="291"/>
      <c r="E53" s="248">
        <f t="shared" si="1"/>
        <v>0</v>
      </c>
    </row>
    <row r="54" spans="1:5" ht="12.75">
      <c r="A54" t="s">
        <v>439</v>
      </c>
      <c r="B54" s="8" t="s">
        <v>188</v>
      </c>
      <c r="C54" s="291"/>
      <c r="D54" s="291"/>
      <c r="E54" s="248">
        <f t="shared" si="1"/>
        <v>0</v>
      </c>
    </row>
    <row r="55" spans="1:5" ht="12.75">
      <c r="A55" s="67" t="s">
        <v>447</v>
      </c>
      <c r="B55" s="8" t="s">
        <v>188</v>
      </c>
      <c r="C55" s="291"/>
      <c r="D55" s="291"/>
      <c r="E55" s="248">
        <f t="shared" si="1"/>
        <v>0</v>
      </c>
    </row>
    <row r="56" spans="1:5" ht="12.75">
      <c r="A56" s="67" t="s">
        <v>459</v>
      </c>
      <c r="B56" s="8" t="s">
        <v>188</v>
      </c>
      <c r="C56" s="291"/>
      <c r="D56" s="291"/>
      <c r="E56" s="248">
        <f t="shared" si="1"/>
        <v>0</v>
      </c>
    </row>
    <row r="57" spans="1:5" ht="12.75">
      <c r="A57" s="2" t="s">
        <v>455</v>
      </c>
      <c r="B57" s="8" t="s">
        <v>188</v>
      </c>
      <c r="C57" s="291"/>
      <c r="D57" s="291"/>
      <c r="E57" s="248">
        <f t="shared" si="1"/>
        <v>0</v>
      </c>
    </row>
    <row r="58" spans="1:5" ht="12.75">
      <c r="A58" s="67" t="s">
        <v>458</v>
      </c>
      <c r="B58" s="8" t="s">
        <v>188</v>
      </c>
      <c r="C58" s="291"/>
      <c r="D58" s="291"/>
      <c r="E58" s="248">
        <f t="shared" si="1"/>
        <v>0</v>
      </c>
    </row>
    <row r="59" spans="1:5" ht="12.75">
      <c r="A59" s="67"/>
      <c r="B59" s="8" t="s">
        <v>188</v>
      </c>
      <c r="C59" s="291"/>
      <c r="D59" s="291"/>
      <c r="E59" s="248">
        <f t="shared" si="1"/>
        <v>0</v>
      </c>
    </row>
    <row r="60" spans="2:5" ht="12.75">
      <c r="B60" s="8" t="s">
        <v>188</v>
      </c>
      <c r="C60" s="291"/>
      <c r="D60" s="291"/>
      <c r="E60" s="248">
        <f t="shared" si="1"/>
        <v>0</v>
      </c>
    </row>
    <row r="61" spans="2:5" ht="12.75">
      <c r="B61" s="8" t="s">
        <v>188</v>
      </c>
      <c r="C61" s="291"/>
      <c r="D61" s="291"/>
      <c r="E61" s="248">
        <f t="shared" si="1"/>
        <v>0</v>
      </c>
    </row>
    <row r="62" spans="2:5" ht="12.75">
      <c r="B62" s="8" t="s">
        <v>188</v>
      </c>
      <c r="C62" s="291"/>
      <c r="D62" s="291"/>
      <c r="E62" s="248">
        <f aca="true" t="shared" si="2" ref="E62:E72">C62-D62</f>
        <v>0</v>
      </c>
    </row>
    <row r="63" spans="2:5" ht="12.75">
      <c r="B63" s="8" t="s">
        <v>188</v>
      </c>
      <c r="C63" s="291"/>
      <c r="D63" s="291"/>
      <c r="E63" s="248">
        <f t="shared" si="2"/>
        <v>0</v>
      </c>
    </row>
    <row r="64" spans="1:5" ht="12.75">
      <c r="A64" s="464" t="s">
        <v>396</v>
      </c>
      <c r="B64" s="8" t="s">
        <v>188</v>
      </c>
      <c r="C64" s="291"/>
      <c r="D64" s="291"/>
      <c r="E64" s="248">
        <f t="shared" si="2"/>
        <v>0</v>
      </c>
    </row>
    <row r="65" spans="2:5" ht="12.75">
      <c r="B65" s="8" t="s">
        <v>188</v>
      </c>
      <c r="C65" s="291"/>
      <c r="D65" s="291"/>
      <c r="E65" s="248">
        <f t="shared" si="2"/>
        <v>0</v>
      </c>
    </row>
    <row r="66" spans="1:5" ht="12.75">
      <c r="A66" s="464" t="s">
        <v>389</v>
      </c>
      <c r="B66" s="8" t="s">
        <v>188</v>
      </c>
      <c r="C66" s="291"/>
      <c r="D66" s="291"/>
      <c r="E66" s="248">
        <f t="shared" si="2"/>
        <v>0</v>
      </c>
    </row>
    <row r="67" spans="1:5" ht="12.75">
      <c r="A67" s="67"/>
      <c r="B67" s="8" t="s">
        <v>188</v>
      </c>
      <c r="C67" s="291"/>
      <c r="D67" s="291"/>
      <c r="E67" s="248">
        <f t="shared" si="2"/>
        <v>0</v>
      </c>
    </row>
    <row r="68" spans="1:5" ht="12.75">
      <c r="A68" s="68" t="s">
        <v>205</v>
      </c>
      <c r="B68" s="8" t="s">
        <v>188</v>
      </c>
      <c r="C68" s="291"/>
      <c r="D68" s="291"/>
      <c r="E68" s="248">
        <f t="shared" si="2"/>
        <v>0</v>
      </c>
    </row>
    <row r="69" spans="1:5" ht="12.75">
      <c r="A69" s="484" t="s">
        <v>499</v>
      </c>
      <c r="B69" s="8" t="s">
        <v>188</v>
      </c>
      <c r="C69" s="291">
        <v>15013</v>
      </c>
      <c r="D69" s="291"/>
      <c r="E69" s="248">
        <f t="shared" si="2"/>
        <v>15013</v>
      </c>
    </row>
    <row r="70" spans="1:5" ht="12.75">
      <c r="A70" s="67"/>
      <c r="B70" s="8" t="s">
        <v>188</v>
      </c>
      <c r="C70" s="291"/>
      <c r="D70" s="291"/>
      <c r="E70" s="248">
        <f t="shared" si="2"/>
        <v>0</v>
      </c>
    </row>
    <row r="71" spans="1:5" ht="12.75">
      <c r="A71" s="67"/>
      <c r="B71" s="8" t="s">
        <v>188</v>
      </c>
      <c r="C71" s="291"/>
      <c r="D71" s="291"/>
      <c r="E71" s="248">
        <f t="shared" si="2"/>
        <v>0</v>
      </c>
    </row>
    <row r="72" spans="1:5" ht="12.75">
      <c r="A72" s="67"/>
      <c r="B72" s="8" t="s">
        <v>188</v>
      </c>
      <c r="C72" s="291"/>
      <c r="D72" s="291"/>
      <c r="E72" s="276">
        <f t="shared" si="2"/>
        <v>0</v>
      </c>
    </row>
    <row r="73" spans="1:5" ht="12.75">
      <c r="A73" s="444" t="s">
        <v>398</v>
      </c>
      <c r="B73" s="8" t="s">
        <v>189</v>
      </c>
      <c r="C73" s="248">
        <f>SUM(C51:C72)</f>
        <v>15013</v>
      </c>
      <c r="D73" s="248">
        <f>SUM(D51:D72)</f>
        <v>0</v>
      </c>
      <c r="E73" s="248">
        <f>SUM(E51:E72)</f>
        <v>15013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2">
      <selection activeCell="C50" sqref="C50:C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1" t="str">
        <f>REGINFO!A1</f>
        <v>PILs TAXES - EB-????-??</v>
      </c>
      <c r="B1" s="382"/>
      <c r="C1" s="339"/>
      <c r="D1" s="339"/>
      <c r="E1" s="339"/>
      <c r="F1" s="339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0" t="s">
        <v>107</v>
      </c>
      <c r="B2" s="339"/>
      <c r="C2" s="339"/>
      <c r="D2" s="339"/>
      <c r="E2" s="339"/>
      <c r="F2" s="341" t="str">
        <f>REGINFO!E1</f>
        <v>Version 2009.1</v>
      </c>
      <c r="G2" s="188"/>
      <c r="H2" s="188"/>
      <c r="I2" s="188"/>
      <c r="J2" s="188"/>
      <c r="K2" s="236"/>
      <c r="L2" s="188"/>
      <c r="M2" s="188"/>
      <c r="N2" s="188"/>
      <c r="O2" s="188"/>
      <c r="P2" s="188"/>
      <c r="Q2" s="34"/>
      <c r="R2" s="34"/>
    </row>
    <row r="3" spans="1:18" ht="12.75">
      <c r="A3" s="340" t="s">
        <v>306</v>
      </c>
      <c r="B3" s="339"/>
      <c r="C3" s="339"/>
      <c r="D3" s="339"/>
      <c r="E3" s="339"/>
      <c r="F3" s="341"/>
      <c r="G3" s="188"/>
      <c r="H3" s="188"/>
      <c r="I3" s="188"/>
      <c r="J3" s="188"/>
      <c r="K3" s="236"/>
      <c r="L3" s="188"/>
      <c r="M3" s="188"/>
      <c r="N3" s="188"/>
      <c r="O3" s="188"/>
      <c r="P3" s="188"/>
      <c r="Q3" s="34"/>
      <c r="R3" s="34"/>
    </row>
    <row r="4" spans="1:18" ht="12.75">
      <c r="A4" s="236" t="str">
        <f>REGINFO!A3</f>
        <v>Utility Name: COLLUS Power Harmonized</v>
      </c>
      <c r="B4" s="339"/>
      <c r="C4" s="339"/>
      <c r="D4" s="339"/>
      <c r="E4" s="339"/>
      <c r="F4" s="339"/>
      <c r="G4" s="188"/>
      <c r="H4" s="188"/>
      <c r="I4" s="188"/>
      <c r="J4" s="188"/>
      <c r="K4" s="236"/>
      <c r="L4" s="188"/>
      <c r="M4" s="188"/>
      <c r="N4" s="188"/>
      <c r="O4" s="188"/>
      <c r="P4" s="188"/>
      <c r="Q4" s="34"/>
      <c r="R4" s="34"/>
    </row>
    <row r="5" spans="1:18" ht="12.75">
      <c r="A5" s="236" t="str">
        <f>REGINFO!A4</f>
        <v>Reporting period:  2002</v>
      </c>
      <c r="B5" s="339"/>
      <c r="C5" s="339"/>
      <c r="D5" s="339"/>
      <c r="E5" s="339"/>
      <c r="F5" s="339"/>
      <c r="G5" s="188"/>
      <c r="H5" s="188"/>
      <c r="I5" s="188"/>
      <c r="J5" s="188"/>
      <c r="K5" s="236"/>
      <c r="L5" s="188"/>
      <c r="M5" s="188"/>
      <c r="N5" s="188"/>
      <c r="O5" s="188"/>
      <c r="P5" s="188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8"/>
      <c r="H6" s="188"/>
      <c r="I6" s="188"/>
      <c r="J6" s="188"/>
      <c r="K6" s="236"/>
      <c r="L6" s="188"/>
      <c r="M6" s="188"/>
      <c r="N6" s="188"/>
      <c r="O6" s="188"/>
      <c r="P6" s="188"/>
      <c r="Q6" s="34"/>
      <c r="R6" s="34"/>
    </row>
    <row r="7" spans="1:18" ht="12.75">
      <c r="A7" s="340"/>
      <c r="B7" s="339"/>
      <c r="C7" s="339"/>
      <c r="D7" s="339"/>
      <c r="E7" s="339"/>
      <c r="F7" s="407" t="s">
        <v>338</v>
      </c>
      <c r="G7" s="188"/>
      <c r="H7" s="188"/>
      <c r="I7" s="188"/>
      <c r="J7" s="188"/>
      <c r="K7" s="236"/>
      <c r="L7" s="188"/>
      <c r="M7" s="188"/>
      <c r="N7" s="188"/>
      <c r="O7" s="188"/>
      <c r="P7" s="188"/>
      <c r="Q7" s="34"/>
      <c r="R7" s="34"/>
    </row>
    <row r="8" spans="1:18" ht="13.5" thickBot="1">
      <c r="A8" s="520" t="s">
        <v>490</v>
      </c>
      <c r="B8" s="521"/>
      <c r="C8" s="521"/>
      <c r="D8" s="521"/>
      <c r="E8" s="339"/>
      <c r="F8" s="379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7" t="s">
        <v>112</v>
      </c>
      <c r="B9" s="322"/>
      <c r="C9" s="370">
        <v>0</v>
      </c>
      <c r="D9" s="370"/>
      <c r="E9" s="370">
        <v>200001</v>
      </c>
      <c r="F9" s="371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8" t="s">
        <v>470</v>
      </c>
      <c r="B10" s="323"/>
      <c r="C10" s="372" t="s">
        <v>111</v>
      </c>
      <c r="D10" s="372"/>
      <c r="E10" s="372" t="s">
        <v>111</v>
      </c>
      <c r="F10" s="373" t="s">
        <v>491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8"/>
      <c r="B11" s="323" t="s">
        <v>116</v>
      </c>
      <c r="C11" s="374">
        <v>200000</v>
      </c>
      <c r="D11" s="374"/>
      <c r="E11" s="374">
        <v>700000</v>
      </c>
      <c r="F11" s="375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19" t="s">
        <v>108</v>
      </c>
      <c r="B12" s="232"/>
      <c r="C12" s="233"/>
      <c r="D12" s="233"/>
      <c r="E12" s="239"/>
      <c r="F12" s="239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0" t="s">
        <v>299</v>
      </c>
      <c r="B13" s="406">
        <v>2002</v>
      </c>
      <c r="C13" s="234"/>
      <c r="D13" s="234"/>
      <c r="E13" s="240"/>
      <c r="F13" s="240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0" t="s">
        <v>298</v>
      </c>
      <c r="B14" s="242"/>
      <c r="C14" s="324">
        <v>0.1312</v>
      </c>
      <c r="D14" s="324"/>
      <c r="E14" s="325">
        <v>0.2612</v>
      </c>
      <c r="F14" s="325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0" t="s">
        <v>303</v>
      </c>
      <c r="B15" s="242"/>
      <c r="C15" s="326">
        <v>0.06</v>
      </c>
      <c r="D15" s="326"/>
      <c r="E15" s="327">
        <v>0.06</v>
      </c>
      <c r="F15" s="327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0" t="s">
        <v>259</v>
      </c>
      <c r="B16" s="242"/>
      <c r="C16" s="328">
        <f>SUM(C14:C15)</f>
        <v>0.1912</v>
      </c>
      <c r="D16" s="328"/>
      <c r="E16" s="329">
        <v>0.3412</v>
      </c>
      <c r="F16" s="329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0"/>
      <c r="B17" s="242"/>
      <c r="C17" s="324"/>
      <c r="D17" s="324"/>
      <c r="E17" s="325"/>
      <c r="F17" s="325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19" t="s">
        <v>109</v>
      </c>
      <c r="B18" s="241"/>
      <c r="C18" s="330">
        <v>0.003</v>
      </c>
      <c r="D18" s="324"/>
      <c r="E18" s="325"/>
      <c r="F18" s="325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19" t="s">
        <v>110</v>
      </c>
      <c r="B19" s="235"/>
      <c r="C19" s="331">
        <v>0.00225</v>
      </c>
      <c r="D19" s="332"/>
      <c r="E19" s="333"/>
      <c r="F19" s="333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19" t="s">
        <v>113</v>
      </c>
      <c r="B20" s="235"/>
      <c r="C20" s="332">
        <v>0.0112</v>
      </c>
      <c r="D20" s="334"/>
      <c r="E20" s="335"/>
      <c r="F20" s="335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1" t="s">
        <v>333</v>
      </c>
      <c r="B21" s="403" t="s">
        <v>474</v>
      </c>
      <c r="C21" s="358">
        <v>5000000</v>
      </c>
      <c r="D21" s="334"/>
      <c r="E21" s="335"/>
      <c r="F21" s="335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1" t="s">
        <v>334</v>
      </c>
      <c r="B22" s="404" t="s">
        <v>475</v>
      </c>
      <c r="C22" s="359">
        <v>10000000</v>
      </c>
      <c r="D22" s="336"/>
      <c r="E22" s="337"/>
      <c r="F22" s="337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4" t="s">
        <v>492</v>
      </c>
      <c r="B23" s="515"/>
      <c r="C23" s="515"/>
      <c r="D23" s="515"/>
      <c r="E23" s="515"/>
      <c r="F23" s="515"/>
      <c r="G23" s="434"/>
      <c r="H23" s="417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8"/>
      <c r="B24" s="409"/>
      <c r="C24" s="409"/>
      <c r="D24" s="409"/>
      <c r="E24" s="409"/>
      <c r="F24" s="409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6"/>
      <c r="B25" s="377"/>
      <c r="C25" s="380"/>
      <c r="D25" s="339"/>
      <c r="E25" s="339"/>
      <c r="F25" s="407" t="s">
        <v>339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2" t="s">
        <v>484</v>
      </c>
      <c r="B26" s="523"/>
      <c r="C26" s="523"/>
      <c r="D26" s="523"/>
      <c r="E26" s="523"/>
      <c r="F26" s="523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7" t="s">
        <v>112</v>
      </c>
      <c r="B27" s="322"/>
      <c r="C27" s="364">
        <v>0</v>
      </c>
      <c r="D27" s="364"/>
      <c r="E27" s="364">
        <v>200001</v>
      </c>
      <c r="F27" s="365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8" t="s">
        <v>443</v>
      </c>
      <c r="B28" s="323"/>
      <c r="C28" s="366" t="s">
        <v>111</v>
      </c>
      <c r="D28" s="366"/>
      <c r="E28" s="366" t="s">
        <v>111</v>
      </c>
      <c r="F28" s="367" t="s">
        <v>491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8"/>
      <c r="B29" s="323" t="s">
        <v>116</v>
      </c>
      <c r="C29" s="368">
        <v>200000</v>
      </c>
      <c r="D29" s="368"/>
      <c r="E29" s="368">
        <v>700000</v>
      </c>
      <c r="F29" s="369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19" t="s">
        <v>108</v>
      </c>
      <c r="B30" s="232"/>
      <c r="C30" s="233"/>
      <c r="D30" s="233"/>
      <c r="E30" s="239"/>
      <c r="F30" s="239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0" t="s">
        <v>115</v>
      </c>
      <c r="B31" s="406">
        <v>2002</v>
      </c>
      <c r="C31" s="234"/>
      <c r="D31" s="234"/>
      <c r="E31" s="240"/>
      <c r="F31" s="240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0" t="s">
        <v>298</v>
      </c>
      <c r="B32" s="406">
        <v>2002</v>
      </c>
      <c r="C32" s="324">
        <v>0.1312</v>
      </c>
      <c r="D32" s="324"/>
      <c r="E32" s="325">
        <v>0.2612</v>
      </c>
      <c r="F32" s="325">
        <v>0.2612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0" t="s">
        <v>29</v>
      </c>
      <c r="B33" s="406">
        <v>2002</v>
      </c>
      <c r="C33" s="326">
        <v>0.06</v>
      </c>
      <c r="D33" s="326"/>
      <c r="E33" s="327">
        <v>0.06</v>
      </c>
      <c r="F33" s="327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0" t="s">
        <v>259</v>
      </c>
      <c r="B34" s="406">
        <v>2002</v>
      </c>
      <c r="C34" s="328">
        <f>SUM(C32:C33)</f>
        <v>0.1912</v>
      </c>
      <c r="D34" s="328"/>
      <c r="E34" s="329">
        <f>SUM(E32:E33)</f>
        <v>0.3212</v>
      </c>
      <c r="F34" s="329">
        <f>SUM(F32:F33)</f>
        <v>0.3862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0"/>
      <c r="B35" s="242"/>
      <c r="C35" s="324"/>
      <c r="D35" s="324"/>
      <c r="E35" s="325"/>
      <c r="F35" s="325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19" t="s">
        <v>109</v>
      </c>
      <c r="B36" s="406">
        <v>2002</v>
      </c>
      <c r="C36" s="330">
        <v>0.003</v>
      </c>
      <c r="D36" s="324"/>
      <c r="E36" s="325"/>
      <c r="F36" s="325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19" t="s">
        <v>110</v>
      </c>
      <c r="B37" s="406">
        <v>2002</v>
      </c>
      <c r="C37" s="331">
        <v>0.00225</v>
      </c>
      <c r="D37" s="332"/>
      <c r="E37" s="333"/>
      <c r="F37" s="333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19" t="s">
        <v>113</v>
      </c>
      <c r="B38" s="406">
        <v>2002</v>
      </c>
      <c r="C38" s="332">
        <v>0.0112</v>
      </c>
      <c r="D38" s="334"/>
      <c r="E38" s="335"/>
      <c r="F38" s="335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1" t="s">
        <v>481</v>
      </c>
      <c r="B39" s="403" t="s">
        <v>474</v>
      </c>
      <c r="C39" s="358">
        <v>5000000</v>
      </c>
      <c r="D39" s="334"/>
      <c r="E39" s="335"/>
      <c r="F39" s="335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1" t="s">
        <v>482</v>
      </c>
      <c r="B40" s="404" t="s">
        <v>475</v>
      </c>
      <c r="C40" s="359">
        <v>10000000</v>
      </c>
      <c r="D40" s="336"/>
      <c r="E40" s="337"/>
      <c r="F40" s="337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6" t="s">
        <v>336</v>
      </c>
      <c r="B41" s="515"/>
      <c r="C41" s="515"/>
      <c r="D41" s="515"/>
      <c r="E41" s="515"/>
      <c r="F41" s="51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7"/>
      <c r="B42" s="517"/>
      <c r="C42" s="517"/>
      <c r="D42" s="517"/>
      <c r="E42" s="517"/>
      <c r="F42" s="51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6"/>
      <c r="B43" s="377"/>
      <c r="C43" s="378"/>
      <c r="D43" s="377"/>
      <c r="E43" s="377"/>
      <c r="F43" s="407" t="s">
        <v>340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5" t="s">
        <v>483</v>
      </c>
      <c r="B44" s="362"/>
      <c r="C44" s="363"/>
      <c r="D44" s="362"/>
      <c r="E44" s="339"/>
      <c r="F44" s="379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7" t="s">
        <v>112</v>
      </c>
      <c r="B45" s="322"/>
      <c r="C45" s="364">
        <v>0</v>
      </c>
      <c r="D45" s="364"/>
      <c r="E45" s="364">
        <v>200001</v>
      </c>
      <c r="F45" s="365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8"/>
      <c r="B46" s="323"/>
      <c r="C46" s="366" t="s">
        <v>111</v>
      </c>
      <c r="D46" s="366"/>
      <c r="E46" s="366" t="s">
        <v>111</v>
      </c>
      <c r="F46" s="367" t="s">
        <v>491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8"/>
      <c r="B47" s="338" t="s">
        <v>116</v>
      </c>
      <c r="C47" s="368">
        <v>200000</v>
      </c>
      <c r="D47" s="368"/>
      <c r="E47" s="368">
        <v>700000</v>
      </c>
      <c r="F47" s="369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19" t="s">
        <v>108</v>
      </c>
      <c r="B48" s="232"/>
      <c r="C48" s="233"/>
      <c r="D48" s="233"/>
      <c r="E48" s="239"/>
      <c r="F48" s="239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0" t="s">
        <v>115</v>
      </c>
      <c r="B49" s="406">
        <v>2002</v>
      </c>
      <c r="C49" s="234"/>
      <c r="D49" s="234"/>
      <c r="E49" s="240"/>
      <c r="F49" s="240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0" t="s">
        <v>298</v>
      </c>
      <c r="B50" s="242"/>
      <c r="C50" s="510"/>
      <c r="D50" s="348"/>
      <c r="E50" s="490">
        <v>0.2212</v>
      </c>
      <c r="F50" s="349">
        <v>0.2612</v>
      </c>
      <c r="G50" s="193"/>
      <c r="H50" s="480">
        <v>0.2612</v>
      </c>
      <c r="I50" s="480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0" t="s">
        <v>29</v>
      </c>
      <c r="B51" s="242"/>
      <c r="C51" s="511"/>
      <c r="D51" s="350"/>
      <c r="E51" s="491">
        <v>0.0975</v>
      </c>
      <c r="F51" s="351">
        <v>0.125</v>
      </c>
      <c r="G51" s="193"/>
      <c r="H51" s="480">
        <v>0.125</v>
      </c>
      <c r="I51" s="480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0" t="s">
        <v>259</v>
      </c>
      <c r="B52" s="242"/>
      <c r="C52" s="328">
        <f>SUM(C50:C51)</f>
        <v>0</v>
      </c>
      <c r="D52" s="328"/>
      <c r="E52" s="329">
        <f>SUM(E50:E51)</f>
        <v>0.3187</v>
      </c>
      <c r="F52" s="329">
        <f>SUM(F50:F51)</f>
        <v>0.3862</v>
      </c>
      <c r="G52" s="193"/>
      <c r="H52" s="480">
        <f>+H51+H50</f>
        <v>0.3862</v>
      </c>
      <c r="I52" s="480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0"/>
      <c r="B53" s="242"/>
      <c r="C53" s="348"/>
      <c r="D53" s="348"/>
      <c r="E53" s="349"/>
      <c r="F53" s="349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19" t="s">
        <v>109</v>
      </c>
      <c r="B54" s="241"/>
      <c r="C54" s="352">
        <v>0.003</v>
      </c>
      <c r="D54" s="348"/>
      <c r="E54" s="349"/>
      <c r="F54" s="349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19" t="s">
        <v>110</v>
      </c>
      <c r="B55" s="235"/>
      <c r="C55" s="353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19" t="s">
        <v>113</v>
      </c>
      <c r="B56" s="235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1" t="s">
        <v>352</v>
      </c>
      <c r="B57" s="403" t="s">
        <v>474</v>
      </c>
      <c r="C57" s="358">
        <v>4960900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1" t="s">
        <v>353</v>
      </c>
      <c r="B58" s="404" t="s">
        <v>475</v>
      </c>
      <c r="C58" s="359">
        <v>9999800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4" t="s">
        <v>354</v>
      </c>
      <c r="B59" s="518"/>
      <c r="C59" s="518"/>
      <c r="D59" s="518"/>
      <c r="E59" s="518"/>
      <c r="F59" s="51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9"/>
      <c r="B60" s="519"/>
      <c r="C60" s="519"/>
      <c r="D60" s="519"/>
      <c r="E60" s="519"/>
      <c r="F60" s="51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0"/>
      <c r="B61" s="341"/>
      <c r="C61" s="341"/>
      <c r="D61" s="341"/>
      <c r="E61" s="341"/>
      <c r="F61" s="343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0"/>
      <c r="B62" s="341"/>
      <c r="C62" s="342"/>
      <c r="D62" s="342"/>
      <c r="E62" s="342"/>
      <c r="F62" s="344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0"/>
      <c r="B63" s="339"/>
      <c r="C63" s="339"/>
      <c r="D63" s="339"/>
      <c r="E63" s="339"/>
      <c r="F63" s="339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5"/>
      <c r="B64" s="346"/>
      <c r="C64" s="347"/>
      <c r="D64" s="347"/>
      <c r="E64" s="347"/>
      <c r="F64" s="347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7"/>
      <c r="C66" s="237"/>
      <c r="D66" s="237"/>
      <c r="E66" s="237"/>
      <c r="F66" s="237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7"/>
      <c r="C67" s="237"/>
      <c r="D67" s="237"/>
      <c r="E67" s="237"/>
      <c r="F67" s="237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7"/>
      <c r="C68" s="237"/>
      <c r="D68" s="237"/>
      <c r="E68" s="237"/>
      <c r="F68" s="237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7"/>
      <c r="C69" s="237"/>
      <c r="D69" s="237"/>
      <c r="E69" s="237"/>
      <c r="F69" s="237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7"/>
      <c r="C70" s="237"/>
      <c r="D70" s="237"/>
      <c r="E70" s="237"/>
      <c r="F70" s="23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7"/>
      <c r="C71" s="237"/>
      <c r="D71" s="237"/>
      <c r="E71" s="237"/>
      <c r="F71" s="23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7"/>
      <c r="C72" s="237"/>
      <c r="D72" s="237"/>
      <c r="E72" s="237"/>
      <c r="F72" s="237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7"/>
      <c r="C73" s="237"/>
      <c r="D73" s="237"/>
      <c r="E73" s="237"/>
      <c r="F73" s="237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7"/>
      <c r="C74" s="237"/>
      <c r="D74" s="237"/>
      <c r="E74" s="237"/>
      <c r="F74" s="237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7"/>
      <c r="C75" s="237"/>
      <c r="D75" s="237"/>
      <c r="E75" s="237"/>
      <c r="F75" s="237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7"/>
      <c r="C76" s="237"/>
      <c r="D76" s="237"/>
      <c r="E76" s="237"/>
      <c r="F76" s="237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7"/>
      <c r="C77" s="237"/>
      <c r="D77" s="237"/>
      <c r="E77" s="237"/>
      <c r="F77" s="237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7"/>
      <c r="C78" s="237"/>
      <c r="D78" s="237"/>
      <c r="E78" s="237"/>
      <c r="F78" s="237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7"/>
      <c r="C79" s="237"/>
      <c r="D79" s="237"/>
      <c r="E79" s="237"/>
      <c r="F79" s="237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7"/>
      <c r="C80" s="237"/>
      <c r="D80" s="237"/>
      <c r="E80" s="237"/>
      <c r="F80" s="237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7"/>
      <c r="C81" s="237"/>
      <c r="D81" s="237"/>
      <c r="E81" s="237"/>
      <c r="F81" s="237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7"/>
      <c r="C82" s="237"/>
      <c r="D82" s="237"/>
      <c r="E82" s="237"/>
      <c r="F82" s="237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7"/>
      <c r="C83" s="237"/>
      <c r="D83" s="237"/>
      <c r="E83" s="237"/>
      <c r="F83" s="237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7"/>
      <c r="C84" s="237"/>
      <c r="D84" s="237"/>
      <c r="E84" s="237"/>
      <c r="F84" s="237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7"/>
      <c r="C85" s="237"/>
      <c r="D85" s="237"/>
      <c r="E85" s="237"/>
      <c r="F85" s="237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7"/>
      <c r="C86" s="237"/>
      <c r="D86" s="237"/>
      <c r="E86" s="237"/>
      <c r="F86" s="237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7"/>
      <c r="C87" s="237"/>
      <c r="D87" s="237"/>
      <c r="E87" s="237"/>
      <c r="F87" s="237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7"/>
      <c r="C88" s="237"/>
      <c r="D88" s="237"/>
      <c r="E88" s="237"/>
      <c r="F88" s="237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7"/>
      <c r="C89" s="237"/>
      <c r="D89" s="237"/>
      <c r="E89" s="237"/>
      <c r="F89" s="237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7"/>
      <c r="C90" s="237"/>
      <c r="D90" s="237"/>
      <c r="E90" s="237"/>
      <c r="F90" s="237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7"/>
      <c r="C91" s="237"/>
      <c r="D91" s="237"/>
      <c r="E91" s="237"/>
      <c r="F91" s="237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7"/>
      <c r="C92" s="237"/>
      <c r="D92" s="237"/>
      <c r="E92" s="237"/>
      <c r="F92" s="237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7"/>
      <c r="C93" s="237"/>
      <c r="D93" s="237"/>
      <c r="E93" s="237"/>
      <c r="F93" s="237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7"/>
      <c r="C94" s="237"/>
      <c r="D94" s="237"/>
      <c r="E94" s="237"/>
      <c r="F94" s="237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7"/>
      <c r="C95" s="237"/>
      <c r="D95" s="237"/>
      <c r="E95" s="237"/>
      <c r="F95" s="237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7"/>
      <c r="C96" s="237"/>
      <c r="D96" s="237"/>
      <c r="E96" s="237"/>
      <c r="F96" s="237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7"/>
      <c r="C97" s="237"/>
      <c r="D97" s="237"/>
      <c r="E97" s="237"/>
      <c r="F97" s="237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O48" sqref="O4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EB-????-??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COLLUS Power Harmonized</v>
      </c>
      <c r="O3" s="413" t="str">
        <f>REGINFO!E1</f>
        <v>Version 2009.1</v>
      </c>
    </row>
    <row r="4" spans="1:15" ht="12.75">
      <c r="A4" s="2" t="str">
        <f>REGINFO!A4</f>
        <v>Reporting period:  2002</v>
      </c>
      <c r="E4" s="414" t="s">
        <v>322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9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91">
        <v>0</v>
      </c>
      <c r="D11" s="387"/>
      <c r="E11" s="393">
        <f>C22</f>
        <v>0</v>
      </c>
      <c r="F11" s="416"/>
      <c r="G11" s="393">
        <f>E22</f>
        <v>32218.1387645534</v>
      </c>
      <c r="H11" s="416"/>
      <c r="I11" s="393">
        <f>G22</f>
        <v>32218.1387645534</v>
      </c>
      <c r="J11" s="387"/>
      <c r="K11" s="393">
        <f>I22</f>
        <v>32218.1387645534</v>
      </c>
      <c r="L11" s="387"/>
      <c r="M11" s="393">
        <f>K22</f>
        <v>32218.1387645534</v>
      </c>
      <c r="N11" s="387"/>
      <c r="O11" s="393">
        <f>C11</f>
        <v>0</v>
      </c>
    </row>
    <row r="12" spans="1:15" ht="27" customHeight="1">
      <c r="A12" s="80" t="s">
        <v>400</v>
      </c>
      <c r="B12" s="66" t="s">
        <v>190</v>
      </c>
      <c r="C12" s="392"/>
      <c r="D12" s="388"/>
      <c r="E12" s="392"/>
      <c r="F12" s="94"/>
      <c r="G12" s="415">
        <f>C12+E12</f>
        <v>0</v>
      </c>
      <c r="H12" s="94"/>
      <c r="I12" s="415">
        <f>(E12/12*9)+(G12/12*3)</f>
        <v>0</v>
      </c>
      <c r="J12" s="388"/>
      <c r="K12" s="415">
        <f>E12/12*3</f>
        <v>0</v>
      </c>
      <c r="L12" s="388"/>
      <c r="M12" s="415">
        <f>K13/9*12/4</f>
        <v>0</v>
      </c>
      <c r="N12" s="388"/>
      <c r="O12" s="393">
        <f aca="true" t="shared" si="0" ref="O12:O20">SUM(C12:N12)</f>
        <v>0</v>
      </c>
    </row>
    <row r="13" spans="1:15" ht="27" customHeight="1">
      <c r="A13" s="80" t="s">
        <v>442</v>
      </c>
      <c r="B13" s="66"/>
      <c r="C13" s="415"/>
      <c r="D13" s="388"/>
      <c r="E13" s="415"/>
      <c r="F13" s="94"/>
      <c r="G13" s="415"/>
      <c r="H13" s="94"/>
      <c r="I13" s="415"/>
      <c r="J13" s="388"/>
      <c r="K13" s="392"/>
      <c r="L13" s="388"/>
      <c r="M13" s="415"/>
      <c r="N13" s="388"/>
      <c r="O13" s="393">
        <f t="shared" si="0"/>
        <v>0</v>
      </c>
    </row>
    <row r="14" spans="1:15" ht="25.5">
      <c r="A14" s="80" t="s">
        <v>401</v>
      </c>
      <c r="B14" s="66" t="s">
        <v>190</v>
      </c>
      <c r="C14" s="392"/>
      <c r="D14" s="388"/>
      <c r="E14" s="392"/>
      <c r="F14" s="94"/>
      <c r="G14" s="392"/>
      <c r="H14" s="94"/>
      <c r="I14" s="392"/>
      <c r="J14" s="388"/>
      <c r="K14" s="392"/>
      <c r="L14" s="388"/>
      <c r="M14" s="392"/>
      <c r="N14" s="388"/>
      <c r="O14" s="393">
        <f t="shared" si="0"/>
        <v>0</v>
      </c>
    </row>
    <row r="15" spans="1:15" ht="27" customHeight="1">
      <c r="A15" s="80" t="s">
        <v>402</v>
      </c>
      <c r="B15" s="66" t="s">
        <v>190</v>
      </c>
      <c r="C15" s="392"/>
      <c r="D15" s="388"/>
      <c r="E15" s="392">
        <f>TAXCALC!E185</f>
        <v>32218.1387645534</v>
      </c>
      <c r="F15" s="94"/>
      <c r="G15" s="392"/>
      <c r="H15" s="94"/>
      <c r="I15" s="392"/>
      <c r="J15" s="388"/>
      <c r="K15" s="392"/>
      <c r="L15" s="388"/>
      <c r="M15" s="415">
        <f>TAXCALC!E132</f>
        <v>-9371.99264</v>
      </c>
      <c r="N15" s="388"/>
      <c r="O15" s="393">
        <f t="shared" si="0"/>
        <v>22846.1461245534</v>
      </c>
    </row>
    <row r="16" spans="1:15" ht="27" customHeight="1">
      <c r="A16" s="80" t="s">
        <v>403</v>
      </c>
      <c r="B16" s="66"/>
      <c r="C16" s="392"/>
      <c r="D16" s="388"/>
      <c r="E16" s="392"/>
      <c r="F16" s="94"/>
      <c r="G16" s="392"/>
      <c r="H16" s="94"/>
      <c r="I16" s="392"/>
      <c r="J16" s="388"/>
      <c r="K16" s="392"/>
      <c r="L16" s="388"/>
      <c r="M16" s="392"/>
      <c r="N16" s="388"/>
      <c r="O16" s="393">
        <f t="shared" si="0"/>
        <v>0</v>
      </c>
    </row>
    <row r="17" spans="1:15" ht="27.75" customHeight="1">
      <c r="A17" s="80" t="s">
        <v>404</v>
      </c>
      <c r="B17" s="66" t="s">
        <v>190</v>
      </c>
      <c r="C17" s="392"/>
      <c r="D17" s="388"/>
      <c r="E17" s="392"/>
      <c r="F17" s="94"/>
      <c r="G17" s="392"/>
      <c r="H17" s="94"/>
      <c r="I17" s="392"/>
      <c r="J17" s="388"/>
      <c r="K17" s="392"/>
      <c r="L17" s="388"/>
      <c r="M17" s="415">
        <f>TAXCALC!E181</f>
        <v>41590.1314045534</v>
      </c>
      <c r="N17" s="388"/>
      <c r="O17" s="393">
        <f t="shared" si="0"/>
        <v>41590.1314045534</v>
      </c>
    </row>
    <row r="18" spans="1:15" ht="25.5">
      <c r="A18" s="80" t="s">
        <v>405</v>
      </c>
      <c r="B18" s="66" t="s">
        <v>190</v>
      </c>
      <c r="C18" s="392"/>
      <c r="D18" s="388"/>
      <c r="E18" s="392"/>
      <c r="F18" s="94"/>
      <c r="G18" s="392"/>
      <c r="H18" s="94"/>
      <c r="I18" s="392"/>
      <c r="J18" s="388"/>
      <c r="K18" s="392"/>
      <c r="L18" s="388"/>
      <c r="M18" s="392"/>
      <c r="N18" s="388"/>
      <c r="O18" s="393">
        <f t="shared" si="0"/>
        <v>0</v>
      </c>
    </row>
    <row r="19" spans="1:15" ht="24" customHeight="1">
      <c r="A19" s="428" t="s">
        <v>406</v>
      </c>
      <c r="B19" s="66" t="s">
        <v>190</v>
      </c>
      <c r="C19" s="392"/>
      <c r="D19" s="388"/>
      <c r="E19" s="392"/>
      <c r="F19" s="94"/>
      <c r="G19" s="392"/>
      <c r="H19" s="94"/>
      <c r="I19" s="392"/>
      <c r="J19" s="388"/>
      <c r="K19" s="392"/>
      <c r="L19" s="388"/>
      <c r="M19" s="392"/>
      <c r="N19" s="388"/>
      <c r="O19" s="393">
        <f t="shared" si="0"/>
        <v>0</v>
      </c>
    </row>
    <row r="20" spans="1:15" ht="24.75" customHeight="1">
      <c r="A20" s="80" t="s">
        <v>473</v>
      </c>
      <c r="B20" s="66" t="s">
        <v>188</v>
      </c>
      <c r="C20" s="415">
        <v>0</v>
      </c>
      <c r="D20" s="388"/>
      <c r="E20" s="392"/>
      <c r="F20" s="94"/>
      <c r="G20" s="392"/>
      <c r="H20" s="94"/>
      <c r="I20" s="392"/>
      <c r="J20" s="388"/>
      <c r="K20" s="392"/>
      <c r="L20" s="388"/>
      <c r="M20" s="392"/>
      <c r="N20" s="388"/>
      <c r="O20" s="393">
        <f t="shared" si="0"/>
        <v>0</v>
      </c>
    </row>
    <row r="21" spans="1:15" ht="12.75">
      <c r="A21" s="65"/>
      <c r="C21" s="388"/>
      <c r="D21" s="94"/>
      <c r="E21" s="388"/>
      <c r="F21" s="94"/>
      <c r="G21" s="388"/>
      <c r="H21" s="94"/>
      <c r="I21" s="388"/>
      <c r="J21" s="388"/>
      <c r="K21" s="388"/>
      <c r="L21" s="388"/>
      <c r="M21" s="388"/>
      <c r="N21" s="388"/>
      <c r="O21" s="416"/>
    </row>
    <row r="22" spans="1:15" ht="13.5" thickBot="1">
      <c r="A22" s="80" t="s">
        <v>376</v>
      </c>
      <c r="B22" s="34"/>
      <c r="C22" s="394">
        <f>SUM(C11:C20)</f>
        <v>0</v>
      </c>
      <c r="D22" s="416"/>
      <c r="E22" s="394">
        <f>SUM(E11:E20)</f>
        <v>32218.1387645534</v>
      </c>
      <c r="F22" s="416"/>
      <c r="G22" s="394">
        <f>SUM(G11:G20)</f>
        <v>32218.1387645534</v>
      </c>
      <c r="H22" s="416"/>
      <c r="I22" s="394">
        <f>SUM(I11:I20)</f>
        <v>32218.1387645534</v>
      </c>
      <c r="J22" s="387"/>
      <c r="K22" s="394">
        <f>SUM(K11:K20)</f>
        <v>32218.1387645534</v>
      </c>
      <c r="L22" s="387"/>
      <c r="M22" s="394">
        <f>SUM(M11:M21)</f>
        <v>64436.2775291068</v>
      </c>
      <c r="N22" s="387"/>
      <c r="O22" s="446">
        <f>SUM(O11:O20)</f>
        <v>64436.2775291068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7"/>
      <c r="M23" s="438"/>
      <c r="N23" s="187"/>
      <c r="O23" s="438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29"/>
      <c r="B25" s="430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29" t="s">
        <v>407</v>
      </c>
      <c r="B26" s="430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7"/>
      <c r="M27" s="187"/>
      <c r="N27" s="187"/>
      <c r="O27" s="187"/>
    </row>
    <row r="28" spans="1:15" ht="12.75">
      <c r="A28" s="429" t="s">
        <v>408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7"/>
      <c r="M28" s="187"/>
      <c r="N28" s="187"/>
      <c r="O28" s="187"/>
    </row>
    <row r="29" spans="1:15" ht="12.75">
      <c r="A29" s="432" t="s">
        <v>409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7"/>
      <c r="M29" s="187"/>
      <c r="N29" s="187"/>
      <c r="O29" s="187"/>
    </row>
    <row r="30" spans="1:15" ht="9" customHeight="1">
      <c r="A30" s="187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7"/>
      <c r="M30" s="187"/>
      <c r="N30" s="187"/>
      <c r="O30" s="187"/>
    </row>
    <row r="31" spans="1:15" ht="12.75">
      <c r="A31" s="447" t="s">
        <v>410</v>
      </c>
      <c r="B31" s="79"/>
      <c r="C31" s="79"/>
      <c r="D31" s="79"/>
      <c r="E31" s="79"/>
      <c r="F31" s="79"/>
      <c r="G31" s="79"/>
      <c r="H31" s="79"/>
      <c r="I31" s="443"/>
      <c r="J31" s="443"/>
      <c r="K31" s="443"/>
      <c r="L31" s="443"/>
      <c r="M31" s="443"/>
      <c r="N31" s="443"/>
      <c r="O31" s="443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25" t="s">
        <v>411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17"/>
      <c r="Q33" s="417"/>
      <c r="R33" s="417"/>
      <c r="S33" s="417"/>
    </row>
    <row r="34" spans="1:19" ht="12.75">
      <c r="A34" s="524" t="s">
        <v>412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17"/>
      <c r="Q34" s="417"/>
      <c r="R34" s="417"/>
      <c r="S34" s="417"/>
    </row>
    <row r="35" spans="1:19" ht="12.75">
      <c r="A35" s="524" t="s">
        <v>433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17"/>
      <c r="Q35" s="417"/>
      <c r="R35" s="417"/>
      <c r="S35" s="417"/>
    </row>
    <row r="36" spans="1:19" ht="12.75">
      <c r="A36" s="524" t="s">
        <v>413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17"/>
      <c r="Q36" s="417"/>
      <c r="R36" s="417"/>
      <c r="S36" s="417"/>
    </row>
    <row r="37" spans="1:19" ht="12.75">
      <c r="A37" s="433" t="s">
        <v>373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7"/>
      <c r="Q37" s="417"/>
      <c r="R37" s="417"/>
      <c r="S37" s="417"/>
    </row>
    <row r="38" spans="1:19" ht="12.75">
      <c r="A38" s="433" t="s">
        <v>374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7"/>
      <c r="Q38" s="417"/>
      <c r="R38" s="417"/>
      <c r="S38" s="417"/>
    </row>
    <row r="39" spans="1:19" ht="12.75">
      <c r="A39" s="433" t="s">
        <v>414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7"/>
      <c r="Q39" s="417"/>
      <c r="R39" s="417"/>
      <c r="S39" s="417"/>
    </row>
    <row r="40" spans="1:19" ht="12.75">
      <c r="A40" s="433" t="s">
        <v>415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7"/>
      <c r="Q40" s="417"/>
      <c r="R40" s="417"/>
      <c r="S40" s="417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7"/>
      <c r="Q41" s="417"/>
      <c r="R41" s="417"/>
      <c r="S41" s="417"/>
    </row>
    <row r="42" spans="1:15" ht="12.75">
      <c r="A42" s="435" t="s">
        <v>416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7"/>
      <c r="M42" s="187"/>
      <c r="N42" s="187"/>
      <c r="O42" s="187"/>
    </row>
    <row r="43" spans="1:15" ht="12.75">
      <c r="A43" s="430" t="s">
        <v>417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7"/>
      <c r="M43" s="187"/>
      <c r="N43" s="187"/>
      <c r="O43" s="187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7"/>
      <c r="M44" s="187"/>
      <c r="N44" s="187"/>
      <c r="O44" s="187"/>
    </row>
    <row r="45" spans="1:15" ht="12.75">
      <c r="A45" s="435" t="s">
        <v>418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7"/>
      <c r="M45" s="187"/>
      <c r="N45" s="187"/>
      <c r="O45" s="187"/>
    </row>
    <row r="46" spans="1:15" ht="12.75">
      <c r="A46" s="430" t="s">
        <v>419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7"/>
      <c r="M46" s="187"/>
      <c r="N46" s="187"/>
      <c r="O46" s="187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7"/>
      <c r="M47" s="187"/>
      <c r="N47" s="187"/>
      <c r="O47" s="187"/>
    </row>
    <row r="48" spans="1:15" ht="12.75">
      <c r="A48" s="435" t="s">
        <v>420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7"/>
      <c r="M48" s="187"/>
      <c r="N48" s="187"/>
      <c r="O48" s="187"/>
    </row>
    <row r="49" spans="1:15" ht="12.75">
      <c r="A49" s="430" t="s">
        <v>421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7"/>
      <c r="M49" s="187"/>
      <c r="N49" s="187"/>
      <c r="O49" s="187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7"/>
      <c r="M50" s="187"/>
      <c r="N50" s="187"/>
      <c r="O50" s="187"/>
    </row>
    <row r="51" spans="1:15" ht="12.75">
      <c r="A51" s="435" t="s">
        <v>422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7"/>
      <c r="M51" s="187"/>
      <c r="N51" s="187"/>
      <c r="O51" s="187"/>
    </row>
    <row r="52" spans="1:15" ht="12.75">
      <c r="A52" s="430" t="s">
        <v>419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7"/>
      <c r="M52" s="187"/>
      <c r="N52" s="187"/>
      <c r="O52" s="187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7"/>
      <c r="M53" s="187"/>
      <c r="N53" s="187"/>
      <c r="O53" s="187"/>
    </row>
    <row r="54" spans="1:15" ht="12.75">
      <c r="A54" s="430" t="s">
        <v>423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7"/>
      <c r="M54" s="187"/>
      <c r="N54" s="187"/>
      <c r="O54" s="187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7"/>
      <c r="M55" s="187"/>
      <c r="N55" s="187"/>
      <c r="O55" s="187"/>
    </row>
    <row r="56" spans="1:15" ht="12.75" customHeight="1">
      <c r="A56" s="435" t="s">
        <v>424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7"/>
      <c r="M56" s="187"/>
      <c r="N56" s="187"/>
      <c r="O56" s="187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7"/>
      <c r="M57" s="187"/>
      <c r="N57" s="187"/>
      <c r="O57" s="187"/>
    </row>
    <row r="58" spans="1:15" ht="12.75">
      <c r="A58" s="430" t="s">
        <v>425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7"/>
      <c r="M58" s="187"/>
      <c r="N58" s="187"/>
      <c r="O58" s="187"/>
    </row>
    <row r="59" spans="1:15" ht="12.75">
      <c r="A59" s="430" t="s">
        <v>426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7"/>
      <c r="M59" s="187"/>
      <c r="N59" s="187"/>
      <c r="O59" s="187"/>
    </row>
    <row r="60" spans="1:15" ht="12.75">
      <c r="A60" s="430" t="s">
        <v>427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7"/>
      <c r="M60" s="187"/>
      <c r="N60" s="187"/>
      <c r="O60" s="187"/>
    </row>
    <row r="61" spans="1:15" ht="12.75">
      <c r="A61" s="430" t="s">
        <v>383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7"/>
      <c r="M61" s="187"/>
      <c r="N61" s="187"/>
      <c r="O61" s="187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7"/>
      <c r="M62" s="187"/>
      <c r="N62" s="187"/>
      <c r="O62" s="187"/>
    </row>
    <row r="63" spans="1:15" ht="12.75">
      <c r="A63" s="430" t="s">
        <v>428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7"/>
      <c r="M63" s="187"/>
      <c r="N63" s="187"/>
      <c r="O63" s="187"/>
    </row>
    <row r="64" spans="1:15" ht="12.75">
      <c r="A64" s="430" t="s">
        <v>429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7"/>
      <c r="M64" s="187"/>
      <c r="N64" s="187"/>
      <c r="O64" s="187"/>
    </row>
    <row r="65" spans="1:15" ht="12.75">
      <c r="A65" s="430" t="s">
        <v>385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7"/>
      <c r="M65" s="187"/>
      <c r="N65" s="187"/>
      <c r="O65" s="187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7"/>
      <c r="M66" s="187"/>
      <c r="N66" s="187"/>
      <c r="O66" s="187"/>
    </row>
    <row r="67" spans="1:15" ht="12.75">
      <c r="A67" s="430" t="s">
        <v>384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7"/>
      <c r="M67" s="187"/>
      <c r="N67" s="187"/>
      <c r="O67" s="187"/>
    </row>
    <row r="68" spans="1:15" ht="12.75">
      <c r="A68" s="430" t="s">
        <v>386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7"/>
      <c r="M68" s="187"/>
      <c r="N68" s="187"/>
      <c r="O68" s="187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7"/>
      <c r="M69" s="187"/>
      <c r="N69" s="187"/>
      <c r="O69" s="187"/>
    </row>
    <row r="70" spans="1:15" ht="12.75">
      <c r="A70" s="430" t="s">
        <v>430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7"/>
      <c r="M70" s="187"/>
      <c r="N70" s="187"/>
      <c r="O70" s="187"/>
    </row>
    <row r="71" spans="1:15" ht="12.75">
      <c r="A71" s="430" t="s">
        <v>431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7"/>
      <c r="M71" s="187"/>
      <c r="N71" s="187"/>
      <c r="O71" s="187"/>
    </row>
    <row r="72" spans="1:15" ht="12.75">
      <c r="A72" s="430" t="s">
        <v>432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7"/>
      <c r="M72" s="187"/>
      <c r="N72" s="187"/>
      <c r="O72" s="187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7"/>
      <c r="M73" s="187"/>
      <c r="N73" s="187"/>
      <c r="O73" s="187"/>
    </row>
    <row r="74" spans="1:15" ht="12.75" customHeight="1">
      <c r="A74" s="524" t="s">
        <v>462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0" t="s">
        <v>375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7"/>
      <c r="M75" s="187"/>
      <c r="N75" s="187"/>
      <c r="O75" s="187"/>
    </row>
    <row r="76" spans="1:15" ht="12.75">
      <c r="A76" s="187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7"/>
      <c r="M76" s="187"/>
      <c r="N76" s="187"/>
      <c r="O76" s="187"/>
    </row>
    <row r="77" spans="1:15" ht="12.75">
      <c r="A77" s="187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7"/>
      <c r="M77" s="187"/>
      <c r="N77" s="187"/>
      <c r="O77" s="187"/>
    </row>
    <row r="78" spans="1:17" ht="12.75">
      <c r="A78" s="187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7"/>
      <c r="O78" s="187"/>
      <c r="P78" s="187"/>
      <c r="Q78" s="187"/>
    </row>
    <row r="79" spans="1:17" ht="12.75">
      <c r="A79" s="187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7"/>
      <c r="O79" s="187"/>
      <c r="P79" s="187"/>
      <c r="Q79" s="187"/>
    </row>
    <row r="80" spans="1:17" ht="12.75">
      <c r="A80" s="187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7"/>
      <c r="O80" s="187"/>
      <c r="P80" s="187"/>
      <c r="Q80" s="187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7"/>
      <c r="O81" s="187"/>
      <c r="P81" s="187"/>
      <c r="Q81" s="187"/>
    </row>
    <row r="82" spans="1:17" ht="12.75">
      <c r="A82" s="187"/>
      <c r="B82" s="187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7"/>
      <c r="O82" s="187"/>
      <c r="P82" s="187"/>
      <c r="Q82" s="187"/>
    </row>
    <row r="83" spans="1:17" ht="12.75">
      <c r="A83" s="187"/>
      <c r="B83" s="187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7"/>
      <c r="O83" s="187"/>
      <c r="P83" s="187"/>
      <c r="Q83" s="187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7"/>
      <c r="O84" s="187"/>
      <c r="P84" s="187"/>
      <c r="Q84" s="187"/>
    </row>
    <row r="85" spans="1:17" ht="12.75">
      <c r="A85" s="187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7"/>
      <c r="O85" s="187"/>
      <c r="P85" s="187"/>
      <c r="Q85" s="187"/>
    </row>
    <row r="86" spans="1:17" ht="12.75">
      <c r="A86" s="187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7"/>
      <c r="O86" s="187"/>
      <c r="P86" s="187"/>
      <c r="Q86" s="187"/>
    </row>
    <row r="87" spans="1:17" ht="12.75">
      <c r="A87" s="187"/>
      <c r="B87" s="187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7"/>
      <c r="O87" s="187"/>
      <c r="P87" s="187"/>
      <c r="Q87" s="187"/>
    </row>
    <row r="88" spans="1:17" ht="12.75">
      <c r="A88" s="187"/>
      <c r="B88" s="187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7"/>
      <c r="O88" s="187"/>
      <c r="P88" s="187"/>
      <c r="Q88" s="187"/>
    </row>
    <row r="89" spans="1:17" ht="12.75">
      <c r="A89" s="187"/>
      <c r="B89" s="187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7"/>
      <c r="O89" s="187"/>
      <c r="P89" s="187"/>
      <c r="Q89" s="187"/>
    </row>
    <row r="90" spans="1:17" ht="12.75">
      <c r="A90" s="187"/>
      <c r="B90" s="187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7"/>
      <c r="O90" s="187"/>
      <c r="P90" s="187"/>
      <c r="Q90" s="187"/>
    </row>
    <row r="91" spans="1:17" ht="12.75">
      <c r="A91" s="187"/>
      <c r="B91" s="187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7"/>
      <c r="O91" s="187"/>
      <c r="P91" s="187"/>
      <c r="Q91" s="187"/>
    </row>
    <row r="92" spans="1:17" ht="12.75">
      <c r="A92" s="187"/>
      <c r="B92" s="187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7"/>
      <c r="B93" s="187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tfryer</cp:lastModifiedBy>
  <cp:lastPrinted>2011-07-07T17:57:08Z</cp:lastPrinted>
  <dcterms:created xsi:type="dcterms:W3CDTF">2001-11-07T16:15:53Z</dcterms:created>
  <dcterms:modified xsi:type="dcterms:W3CDTF">2011-11-16T11:13:23Z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