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2"/>
  </bookViews>
  <sheets>
    <sheet name="Summary" sheetId="1" r:id="rId1"/>
    <sheet name="PS SOUTH (TOU)" sheetId="2" r:id="rId2"/>
    <sheet name="PS North (TOU)" sheetId="3" r:id="rId3"/>
    <sheet name="PS SOUTH Tiered" sheetId="4" r:id="rId4"/>
    <sheet name="PS North Tiered " sheetId="5" r:id="rId5"/>
    <sheet name="PSN chart" sheetId="6" state="hidden" r:id="rId6"/>
    <sheet name="PSS chart" sheetId="7" state="hidden" r:id="rId7"/>
    <sheet name=" Composite chart" sheetId="8" state="hidden" r:id="rId8"/>
  </sheets>
  <definedNames>
    <definedName name="_xlnm.Print_Area" localSheetId="2">'PS North (TOU)'!$B$2:$J$28,'PS North (TOU)'!$B$40:$J$65</definedName>
    <definedName name="_xlnm.Print_Area" localSheetId="4">'PS North Tiered '!$B$29:$J$53,'PS North Tiered '!$B$2:$J$27</definedName>
    <definedName name="_xlnm.Print_Area" localSheetId="1">'PS SOUTH (TOU)'!$B$2:$J$28,'PS SOUTH (TOU)'!$B$40:$J$66</definedName>
    <definedName name="_xlnm.Print_Area" localSheetId="3">'PS SOUTH Tiered'!$B$31:$J$56</definedName>
    <definedName name="_xlnm.Print_Area" localSheetId="0">'Summary'!$B$1:$F$11</definedName>
  </definedNames>
  <calcPr fullCalcOnLoad="1"/>
</workbook>
</file>

<file path=xl/comments5.xml><?xml version="1.0" encoding="utf-8"?>
<comments xmlns="http://schemas.openxmlformats.org/spreadsheetml/2006/main">
  <authors>
    <author>elena.yampolsky</author>
  </authors>
  <commentList>
    <comment ref="O22" authorId="0">
      <text>
        <r>
          <rPr>
            <b/>
            <sz val="8"/>
            <rFont val="Tahoma"/>
            <family val="2"/>
          </rPr>
          <t>elena.yampolsky:</t>
        </r>
        <r>
          <rPr>
            <sz val="8"/>
            <rFont val="Tahoma"/>
            <family val="2"/>
          </rPr>
          <t xml:space="preserve">
OEB calculation includes SPC</t>
        </r>
      </text>
    </comment>
  </commentList>
</comments>
</file>

<file path=xl/sharedStrings.xml><?xml version="1.0" encoding="utf-8"?>
<sst xmlns="http://schemas.openxmlformats.org/spreadsheetml/2006/main" count="413" uniqueCount="80">
  <si>
    <t>(800 KWH CONSUMPTION)</t>
  </si>
  <si>
    <t>Residential</t>
  </si>
  <si>
    <t>kWh</t>
  </si>
  <si>
    <t/>
  </si>
  <si>
    <t>Volume</t>
  </si>
  <si>
    <t>RATE                             $</t>
  </si>
  <si>
    <t>CHARGE
$</t>
  </si>
  <si>
    <t>$</t>
  </si>
  <si>
    <t>%</t>
  </si>
  <si>
    <t>Monthly Service Charge</t>
  </si>
  <si>
    <t>Distribution (kWh)</t>
  </si>
  <si>
    <t>Distribution (kW)</t>
  </si>
  <si>
    <t>LRAM / SSM adder</t>
  </si>
  <si>
    <t>Regulatory Assets (kWh)</t>
  </si>
  <si>
    <t>Regulatory Assets (kW)</t>
  </si>
  <si>
    <t>Sub-Total</t>
  </si>
  <si>
    <t>Other Charges</t>
  </si>
  <si>
    <t>Transmission charges</t>
  </si>
  <si>
    <t xml:space="preserve"> Commodity Off Peak (kWh)</t>
  </si>
  <si>
    <t xml:space="preserve"> Commodity Mid Peak (kWh)</t>
  </si>
  <si>
    <t xml:space="preserve"> Commodity On Peak (kWh)</t>
  </si>
  <si>
    <t>Total Bill before Taxes</t>
  </si>
  <si>
    <t>Total Bill Including Taxes</t>
  </si>
  <si>
    <t>electricity</t>
  </si>
  <si>
    <t>delivery</t>
  </si>
  <si>
    <t>Typical consumption pattern</t>
  </si>
  <si>
    <t>Off Peak</t>
  </si>
  <si>
    <t>Mid peak</t>
  </si>
  <si>
    <t>On-peak</t>
  </si>
  <si>
    <t>(2,000 KWH CONSUMPTION)</t>
  </si>
  <si>
    <t>Other (SPC)</t>
  </si>
  <si>
    <t>PowerStream North</t>
  </si>
  <si>
    <t>Distribution charges by PowerStream</t>
  </si>
  <si>
    <t>Other charges</t>
  </si>
  <si>
    <t>Electricity</t>
  </si>
  <si>
    <t>Debt Retirement</t>
  </si>
  <si>
    <t>Taxes</t>
  </si>
  <si>
    <t>Regulatory Charges</t>
  </si>
  <si>
    <t>Cost of Power Commodity (kWh)</t>
  </si>
  <si>
    <t>Total bill</t>
  </si>
  <si>
    <t>check</t>
  </si>
  <si>
    <t>Version 1 of Pie Chart</t>
  </si>
  <si>
    <t>PowerStream South</t>
  </si>
  <si>
    <t>Total Monthly Bill - average for two rate zones</t>
  </si>
  <si>
    <t>North</t>
  </si>
  <si>
    <t xml:space="preserve">South </t>
  </si>
  <si>
    <t>Average</t>
  </si>
  <si>
    <t>Less OCEB</t>
  </si>
  <si>
    <t>Total Bill</t>
  </si>
  <si>
    <t>GS&lt; 50</t>
  </si>
  <si>
    <t>taxes</t>
  </si>
  <si>
    <t>OCEB</t>
  </si>
  <si>
    <t>Total</t>
  </si>
  <si>
    <t xml:space="preserve"> Apr. 19, 2011</t>
  </si>
  <si>
    <t>Navigant Report</t>
  </si>
  <si>
    <t>Oct. 2010</t>
  </si>
  <si>
    <t>% of total bill</t>
  </si>
  <si>
    <t>Summary</t>
  </si>
  <si>
    <t xml:space="preserve">delivery </t>
  </si>
  <si>
    <t>regulatory</t>
  </si>
  <si>
    <t>DRC</t>
  </si>
  <si>
    <t>HST</t>
  </si>
  <si>
    <t>less OCEB</t>
  </si>
  <si>
    <t>Bill Impact May 2010 to Apr 2010</t>
  </si>
  <si>
    <t xml:space="preserve">2011 Smart Meter Application </t>
  </si>
  <si>
    <t xml:space="preserve"> Total Bill - Monthly increases for typical RPP (two-tiered) customers </t>
  </si>
  <si>
    <t>SM Adder</t>
  </si>
  <si>
    <t>Disposition</t>
  </si>
  <si>
    <t>SMIRR</t>
  </si>
  <si>
    <t>Rate Rider</t>
  </si>
  <si>
    <t>POWERSTREAM NORTH</t>
  </si>
  <si>
    <t xml:space="preserve">POWERSTREAM NORTH </t>
  </si>
  <si>
    <t>POWERSTREAM SOUTH</t>
  </si>
  <si>
    <t>MONTHLY CHARGES FOR TYPICAL RESIDENTIAL CUSTOMERS (RPP, TOU)</t>
  </si>
  <si>
    <t>MONTHLY CHARGES FOR TYPICAL GENERAL SERVICE &lt;50 KW CUSTOMERS (RPP, TOU)</t>
  </si>
  <si>
    <t>MONTHLY CHARGES FOR TYPICAL RESIDENTIAL CUSTOMERS - 2 TIERED CONSUMPTION</t>
  </si>
  <si>
    <t>MONTHLY CHARGES FOR TYPICAL GS&lt;50 CUSTOMERS - 2-TIERED CONSUMPTION</t>
  </si>
  <si>
    <t>Loss factor</t>
  </si>
  <si>
    <t>Tier 1 Threshold</t>
  </si>
  <si>
    <t xml:space="preserve"> Total Bill - Monthly increases for typical TOU customers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</si>
</sst>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_(&quot;$&quot;* #,##0.0000_);_(&quot;$&quot;* \(#,##0.0000\);_(&quot;$&quot;* &quot;-&quot;??_);_(@_)"/>
    <numFmt numFmtId="167" formatCode="#,##0.0000"/>
    <numFmt numFmtId="168" formatCode="_-&quot;$&quot;* #,##0.0000_-;\-&quot;$&quot;* #,##0.0000_-;_-&quot;$&quot;* &quot;-&quot;??_-;_-@_-"/>
    <numFmt numFmtId="169" formatCode="_-&quot;$&quot;* #,##0.000_-;\-&quot;$&quot;* #,##0.000_-;_-&quot;$&quot;* &quot;-&quot;??_-;_-@_-"/>
    <numFmt numFmtId="170" formatCode="0.0%"/>
    <numFmt numFmtId="171" formatCode="_(* #,##0.000_);_(* \(#,##0.000\);_(* &quot;-&quot;???_);_(@_)"/>
    <numFmt numFmtId="172" formatCode="_(* #,##0.0000_);_(* \(#,##0.0000\);_(* &quot;-&quot;????_);_(@_)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00_);_(* \(#,##0.0000000\);_(* &quot;-&quot;???????_);_(@_)"/>
    <numFmt numFmtId="179" formatCode="0.00%\(0.\)\)%\)"/>
    <numFmt numFmtId="180" formatCode="0.00\ \(0.00\)%"/>
    <numFmt numFmtId="181" formatCode="0.00_(0.00\)%"/>
    <numFmt numFmtId="182" formatCode="0.00;\(0.00\)%"/>
    <numFmt numFmtId="183" formatCode="0.00%;\(0.00\)%"/>
    <numFmt numFmtId="184" formatCode="0.0\ \(0.00\)%"/>
    <numFmt numFmtId="185" formatCode="0.\ \(0.00\)%"/>
    <numFmt numFmtId="186" formatCode=".\ \(0.00\)\ȥ;\:"/>
    <numFmt numFmtId="187" formatCode=".\ \(0.0\)\ȥ;\:"/>
    <numFmt numFmtId="188" formatCode="0.000"/>
    <numFmt numFmtId="189" formatCode="0.0000"/>
    <numFmt numFmtId="190" formatCode="0.00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%;\(0.0\)%"/>
    <numFmt numFmtId="197" formatCode="_-[$$-1009]* #,##0.00_-;\-[$$-1009]* #,##0.00_-;_-[$$-1009]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4.25"/>
      <color indexed="8"/>
      <name val="Arial"/>
      <family val="0"/>
    </font>
    <font>
      <b/>
      <sz val="8.75"/>
      <color indexed="8"/>
      <name val="Arial"/>
      <family val="0"/>
    </font>
    <font>
      <b/>
      <sz val="15.5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21"/>
        <bgColor indexed="1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4" fillId="0" borderId="10" xfId="42" applyNumberFormat="1" applyFont="1" applyFill="1" applyBorder="1" applyAlignment="1" applyProtection="1">
      <alignment/>
      <protection/>
    </xf>
    <xf numFmtId="164" fontId="0" fillId="0" borderId="11" xfId="42" applyNumberFormat="1" applyFont="1" applyFill="1" applyBorder="1" applyAlignment="1" applyProtection="1">
      <alignment horizontal="center" vertical="center"/>
      <protection/>
    </xf>
    <xf numFmtId="167" fontId="4" fillId="0" borderId="12" xfId="0" applyNumberFormat="1" applyFont="1" applyFill="1" applyBorder="1" applyAlignment="1" applyProtection="1">
      <alignment horizontal="center" vertical="center"/>
      <protection/>
    </xf>
    <xf numFmtId="165" fontId="4" fillId="0" borderId="13" xfId="46" applyNumberFormat="1" applyFont="1" applyFill="1" applyBorder="1" applyAlignment="1" applyProtection="1">
      <alignment vertical="center"/>
      <protection/>
    </xf>
    <xf numFmtId="164" fontId="0" fillId="0" borderId="14" xfId="42" applyNumberFormat="1" applyFont="1" applyFill="1" applyBorder="1" applyAlignment="1" applyProtection="1">
      <alignment horizontal="right" vertical="center"/>
      <protection/>
    </xf>
    <xf numFmtId="164" fontId="0" fillId="0" borderId="15" xfId="42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170" fontId="0" fillId="0" borderId="0" xfId="60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4" fillId="0" borderId="0" xfId="0" applyFont="1" applyFill="1" applyBorder="1" applyAlignment="1" quotePrefix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170" fontId="4" fillId="0" borderId="0" xfId="60" applyNumberFormat="1" applyFont="1" applyFill="1" applyBorder="1" applyAlignment="1">
      <alignment/>
    </xf>
    <xf numFmtId="174" fontId="0" fillId="0" borderId="0" xfId="44" applyNumberFormat="1" applyFont="1" applyFill="1" applyBorder="1" applyAlignment="1" applyProtection="1">
      <alignment vertical="center"/>
      <protection/>
    </xf>
    <xf numFmtId="174" fontId="4" fillId="0" borderId="0" xfId="44" applyNumberFormat="1" applyFont="1" applyFill="1" applyBorder="1" applyAlignment="1" applyProtection="1">
      <alignment vertical="center"/>
      <protection/>
    </xf>
    <xf numFmtId="165" fontId="0" fillId="0" borderId="0" xfId="0" applyNumberFormat="1" applyAlignment="1">
      <alignment/>
    </xf>
    <xf numFmtId="164" fontId="0" fillId="0" borderId="18" xfId="42" applyNumberFormat="1" applyFont="1" applyFill="1" applyBorder="1" applyAlignment="1" applyProtection="1">
      <alignment horizontal="right" vertical="center"/>
      <protection/>
    </xf>
    <xf numFmtId="43" fontId="0" fillId="0" borderId="0" xfId="42" applyNumberFormat="1" applyAlignment="1">
      <alignment/>
    </xf>
    <xf numFmtId="174" fontId="0" fillId="0" borderId="0" xfId="44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44" fontId="0" fillId="0" borderId="0" xfId="44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0" applyNumberForma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44" fontId="0" fillId="0" borderId="20" xfId="0" applyNumberFormat="1" applyBorder="1" applyAlignment="1">
      <alignment/>
    </xf>
    <xf numFmtId="44" fontId="0" fillId="0" borderId="20" xfId="44" applyFill="1" applyBorder="1" applyAlignment="1">
      <alignment/>
    </xf>
    <xf numFmtId="169" fontId="0" fillId="0" borderId="21" xfId="0" applyNumberFormat="1" applyFont="1" applyFill="1" applyBorder="1" applyAlignment="1" applyProtection="1">
      <alignment vertical="center"/>
      <protection/>
    </xf>
    <xf numFmtId="169" fontId="0" fillId="0" borderId="22" xfId="0" applyNumberFormat="1" applyFont="1" applyFill="1" applyBorder="1" applyAlignment="1" applyProtection="1">
      <alignment vertical="center"/>
      <protection/>
    </xf>
    <xf numFmtId="169" fontId="0" fillId="0" borderId="23" xfId="0" applyNumberFormat="1" applyFont="1" applyFill="1" applyBorder="1" applyAlignment="1" applyProtection="1">
      <alignment vertical="center"/>
      <protection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44" fontId="0" fillId="0" borderId="21" xfId="44" applyFont="1" applyFill="1" applyBorder="1" applyAlignment="1">
      <alignment/>
    </xf>
    <xf numFmtId="183" fontId="0" fillId="0" borderId="21" xfId="60" applyNumberFormat="1" applyFont="1" applyFill="1" applyBorder="1" applyAlignment="1">
      <alignment/>
    </xf>
    <xf numFmtId="43" fontId="0" fillId="0" borderId="21" xfId="0" applyNumberFormat="1" applyFill="1" applyBorder="1" applyAlignment="1">
      <alignment/>
    </xf>
    <xf numFmtId="44" fontId="0" fillId="0" borderId="21" xfId="0" applyNumberFormat="1" applyFill="1" applyBorder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165" fontId="4" fillId="0" borderId="0" xfId="46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 quotePrefix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2" fillId="24" borderId="0" xfId="0" applyFont="1" applyFill="1" applyBorder="1" applyAlignment="1">
      <alignment horizontal="left"/>
    </xf>
    <xf numFmtId="0" fontId="13" fillId="25" borderId="0" xfId="0" applyFont="1" applyFill="1" applyBorder="1" applyAlignment="1">
      <alignment horizontal="left"/>
    </xf>
    <xf numFmtId="9" fontId="13" fillId="25" borderId="0" xfId="60" applyFont="1" applyFill="1" applyBorder="1" applyAlignment="1">
      <alignment/>
    </xf>
    <xf numFmtId="0" fontId="13" fillId="26" borderId="0" xfId="0" applyFont="1" applyFill="1" applyBorder="1" applyAlignment="1">
      <alignment horizontal="left"/>
    </xf>
    <xf numFmtId="9" fontId="13" fillId="26" borderId="0" xfId="60" applyFont="1" applyFill="1" applyBorder="1" applyAlignment="1">
      <alignment/>
    </xf>
    <xf numFmtId="0" fontId="1" fillId="27" borderId="0" xfId="0" applyFont="1" applyFill="1" applyBorder="1" applyAlignment="1">
      <alignment horizontal="left"/>
    </xf>
    <xf numFmtId="9" fontId="1" fillId="27" borderId="0" xfId="60" applyFont="1" applyFill="1" applyBorder="1" applyAlignment="1">
      <alignment/>
    </xf>
    <xf numFmtId="0" fontId="14" fillId="28" borderId="27" xfId="0" applyFont="1" applyFill="1" applyBorder="1" applyAlignment="1">
      <alignment horizontal="left"/>
    </xf>
    <xf numFmtId="170" fontId="13" fillId="28" borderId="27" xfId="0" applyNumberFormat="1" applyFont="1" applyFill="1" applyBorder="1" applyAlignment="1">
      <alignment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43" fontId="0" fillId="0" borderId="0" xfId="0" applyNumberForma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183" fontId="0" fillId="0" borderId="0" xfId="60" applyNumberFormat="1" applyFont="1" applyFill="1" applyBorder="1" applyAlignment="1">
      <alignment/>
    </xf>
    <xf numFmtId="43" fontId="0" fillId="0" borderId="0" xfId="42" applyNumberFormat="1" applyFill="1" applyBorder="1" applyAlignment="1">
      <alignment/>
    </xf>
    <xf numFmtId="43" fontId="0" fillId="0" borderId="21" xfId="42" applyNumberFormat="1" applyFill="1" applyBorder="1" applyAlignment="1">
      <alignment/>
    </xf>
    <xf numFmtId="170" fontId="0" fillId="0" borderId="21" xfId="60" applyNumberFormat="1" applyFont="1" applyFill="1" applyBorder="1" applyAlignment="1">
      <alignment/>
    </xf>
    <xf numFmtId="183" fontId="4" fillId="0" borderId="21" xfId="6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8" fontId="0" fillId="0" borderId="28" xfId="44" applyNumberFormat="1" applyFont="1" applyFill="1" applyBorder="1" applyAlignment="1" applyProtection="1">
      <alignment vertical="center"/>
      <protection/>
    </xf>
    <xf numFmtId="166" fontId="0" fillId="0" borderId="29" xfId="44" applyNumberFormat="1" applyFont="1" applyFill="1" applyBorder="1" applyAlignment="1" applyProtection="1">
      <alignment horizontal="right" vertical="center"/>
      <protection/>
    </xf>
    <xf numFmtId="164" fontId="0" fillId="0" borderId="14" xfId="42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168" fontId="0" fillId="0" borderId="21" xfId="0" applyNumberFormat="1" applyFont="1" applyFill="1" applyBorder="1" applyAlignment="1" applyProtection="1">
      <alignment vertical="center"/>
      <protection/>
    </xf>
    <xf numFmtId="168" fontId="0" fillId="0" borderId="22" xfId="0" applyNumberFormat="1" applyFont="1" applyFill="1" applyBorder="1" applyAlignment="1" applyProtection="1">
      <alignment vertical="center"/>
      <protection/>
    </xf>
    <xf numFmtId="44" fontId="11" fillId="0" borderId="30" xfId="44" applyFont="1" applyFill="1" applyBorder="1" applyAlignment="1">
      <alignment/>
    </xf>
    <xf numFmtId="196" fontId="11" fillId="0" borderId="30" xfId="6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3" fontId="0" fillId="0" borderId="0" xfId="42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 quotePrefix="1">
      <alignment/>
    </xf>
    <xf numFmtId="43" fontId="0" fillId="0" borderId="0" xfId="42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31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164" fontId="4" fillId="0" borderId="32" xfId="42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3" fontId="4" fillId="0" borderId="12" xfId="42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2" fontId="4" fillId="0" borderId="36" xfId="0" applyNumberFormat="1" applyFont="1" applyFill="1" applyBorder="1" applyAlignment="1" applyProtection="1">
      <alignment horizontal="center" vertical="center" wrapText="1"/>
      <protection/>
    </xf>
    <xf numFmtId="43" fontId="4" fillId="0" borderId="37" xfId="42" applyFont="1" applyFill="1" applyBorder="1" applyAlignment="1" applyProtection="1">
      <alignment horizontal="center" vertical="center" wrapText="1"/>
      <protection/>
    </xf>
    <xf numFmtId="2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44" fontId="0" fillId="0" borderId="29" xfId="44" applyNumberFormat="1" applyFont="1" applyFill="1" applyBorder="1" applyAlignment="1" applyProtection="1">
      <alignment horizontal="right" vertical="center"/>
      <protection/>
    </xf>
    <xf numFmtId="165" fontId="0" fillId="0" borderId="40" xfId="46" applyNumberFormat="1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165" fontId="0" fillId="0" borderId="42" xfId="46" applyNumberFormat="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164" fontId="0" fillId="0" borderId="44" xfId="42" applyNumberFormat="1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164" fontId="0" fillId="0" borderId="46" xfId="42" applyNumberFormat="1" applyFont="1" applyFill="1" applyBorder="1" applyAlignment="1" applyProtection="1">
      <alignment horizontal="center" vertical="center"/>
      <protection/>
    </xf>
    <xf numFmtId="165" fontId="0" fillId="0" borderId="47" xfId="0" applyNumberFormat="1" applyFont="1" applyFill="1" applyBorder="1" applyAlignment="1" applyProtection="1">
      <alignment vertical="center"/>
      <protection/>
    </xf>
    <xf numFmtId="165" fontId="0" fillId="0" borderId="48" xfId="0" applyNumberFormat="1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168" fontId="0" fillId="0" borderId="29" xfId="44" applyNumberFormat="1" applyFont="1" applyFill="1" applyBorder="1" applyAlignment="1" applyProtection="1">
      <alignment vertical="center"/>
      <protection/>
    </xf>
    <xf numFmtId="165" fontId="0" fillId="0" borderId="50" xfId="0" applyNumberFormat="1" applyFont="1" applyFill="1" applyBorder="1" applyAlignment="1" applyProtection="1">
      <alignment vertical="center"/>
      <protection/>
    </xf>
    <xf numFmtId="165" fontId="0" fillId="0" borderId="42" xfId="0" applyNumberFormat="1" applyFont="1" applyFill="1" applyBorder="1" applyAlignment="1" applyProtection="1">
      <alignment vertical="center"/>
      <protection/>
    </xf>
    <xf numFmtId="165" fontId="0" fillId="0" borderId="51" xfId="0" applyNumberFormat="1" applyFont="1" applyFill="1" applyBorder="1" applyAlignment="1" applyProtection="1">
      <alignment vertical="center"/>
      <protection/>
    </xf>
    <xf numFmtId="165" fontId="0" fillId="0" borderId="19" xfId="0" applyNumberFormat="1" applyFont="1" applyFill="1" applyBorder="1" applyAlignment="1" applyProtection="1">
      <alignment vertical="center"/>
      <protection/>
    </xf>
    <xf numFmtId="164" fontId="0" fillId="0" borderId="44" xfId="4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44" fontId="4" fillId="0" borderId="52" xfId="44" applyFont="1" applyFill="1" applyBorder="1" applyAlignment="1" applyProtection="1">
      <alignment vertical="center"/>
      <protection/>
    </xf>
    <xf numFmtId="165" fontId="0" fillId="0" borderId="0" xfId="0" applyNumberFormat="1" applyFill="1" applyAlignment="1">
      <alignment/>
    </xf>
    <xf numFmtId="44" fontId="0" fillId="0" borderId="40" xfId="44" applyFont="1" applyFill="1" applyBorder="1" applyAlignment="1" applyProtection="1">
      <alignment vertical="center"/>
      <protection/>
    </xf>
    <xf numFmtId="44" fontId="0" fillId="0" borderId="42" xfId="44" applyFont="1" applyFill="1" applyBorder="1" applyAlignment="1" applyProtection="1">
      <alignment vertical="center"/>
      <protection/>
    </xf>
    <xf numFmtId="10" fontId="0" fillId="0" borderId="0" xfId="60" applyNumberFormat="1" applyFill="1" applyBorder="1" applyAlignment="1">
      <alignment/>
    </xf>
    <xf numFmtId="170" fontId="10" fillId="0" borderId="0" xfId="60" applyNumberFormat="1" applyFont="1" applyFill="1" applyAlignment="1">
      <alignment/>
    </xf>
    <xf numFmtId="43" fontId="4" fillId="0" borderId="0" xfId="0" applyNumberFormat="1" applyFont="1" applyFill="1" applyBorder="1" applyAlignment="1">
      <alignment/>
    </xf>
    <xf numFmtId="10" fontId="4" fillId="0" borderId="0" xfId="60" applyNumberFormat="1" applyFont="1" applyFill="1" applyBorder="1" applyAlignment="1">
      <alignment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9" fontId="13" fillId="0" borderId="0" xfId="60" applyFont="1" applyFill="1" applyBorder="1" applyAlignment="1">
      <alignment/>
    </xf>
    <xf numFmtId="9" fontId="14" fillId="0" borderId="0" xfId="6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9" fontId="1" fillId="0" borderId="0" xfId="60" applyFont="1" applyFill="1" applyBorder="1" applyAlignment="1">
      <alignment/>
    </xf>
    <xf numFmtId="9" fontId="15" fillId="0" borderId="0" xfId="60" applyFont="1" applyFill="1" applyBorder="1" applyAlignment="1">
      <alignment/>
    </xf>
    <xf numFmtId="0" fontId="14" fillId="0" borderId="27" xfId="0" applyFont="1" applyFill="1" applyBorder="1" applyAlignment="1">
      <alignment horizontal="left"/>
    </xf>
    <xf numFmtId="170" fontId="13" fillId="0" borderId="27" xfId="0" applyNumberFormat="1" applyFont="1" applyFill="1" applyBorder="1" applyAlignment="1">
      <alignment/>
    </xf>
    <xf numFmtId="9" fontId="14" fillId="0" borderId="27" xfId="0" applyNumberFormat="1" applyFont="1" applyFill="1" applyBorder="1" applyAlignment="1">
      <alignment/>
    </xf>
    <xf numFmtId="169" fontId="0" fillId="0" borderId="54" xfId="0" applyNumberFormat="1" applyFont="1" applyFill="1" applyBorder="1" applyAlignment="1" applyProtection="1">
      <alignment vertical="center"/>
      <protection/>
    </xf>
    <xf numFmtId="169" fontId="0" fillId="0" borderId="55" xfId="0" applyNumberFormat="1" applyFont="1" applyFill="1" applyBorder="1" applyAlignment="1" applyProtection="1">
      <alignment vertical="center"/>
      <protection/>
    </xf>
    <xf numFmtId="183" fontId="0" fillId="0" borderId="0" xfId="0" applyNumberFormat="1" applyFill="1" applyAlignment="1">
      <alignment/>
    </xf>
    <xf numFmtId="44" fontId="0" fillId="0" borderId="26" xfId="44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>
      <alignment/>
    </xf>
    <xf numFmtId="0" fontId="3" fillId="0" borderId="41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0" fontId="0" fillId="0" borderId="57" xfId="0" applyFont="1" applyFill="1" applyBorder="1" applyAlignment="1">
      <alignment/>
    </xf>
    <xf numFmtId="0" fontId="0" fillId="0" borderId="30" xfId="0" applyFont="1" applyFill="1" applyBorder="1" applyAlignment="1" applyProtection="1">
      <alignment/>
      <protection locked="0"/>
    </xf>
    <xf numFmtId="0" fontId="20" fillId="0" borderId="58" xfId="0" applyFont="1" applyFill="1" applyBorder="1" applyAlignment="1">
      <alignment horizontal="justify" wrapText="1"/>
    </xf>
    <xf numFmtId="2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 locked="0"/>
    </xf>
    <xf numFmtId="15" fontId="4" fillId="0" borderId="57" xfId="0" applyNumberFormat="1" applyFont="1" applyFill="1" applyBorder="1" applyAlignment="1" applyProtection="1">
      <alignment/>
      <protection/>
    </xf>
    <xf numFmtId="0" fontId="4" fillId="0" borderId="57" xfId="0" applyFont="1" applyFill="1" applyBorder="1" applyAlignment="1" applyProtection="1">
      <alignment/>
      <protection/>
    </xf>
    <xf numFmtId="0" fontId="4" fillId="0" borderId="57" xfId="0" applyFont="1" applyFill="1" applyBorder="1" applyAlignment="1">
      <alignment/>
    </xf>
    <xf numFmtId="15" fontId="4" fillId="0" borderId="6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61" xfId="0" applyFont="1" applyFill="1" applyBorder="1" applyAlignment="1" applyProtection="1">
      <alignment/>
      <protection/>
    </xf>
    <xf numFmtId="164" fontId="0" fillId="0" borderId="30" xfId="42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164" fontId="0" fillId="0" borderId="62" xfId="42" applyNumberFormat="1" applyFont="1" applyFill="1" applyBorder="1" applyAlignment="1" applyProtection="1">
      <alignment/>
      <protection/>
    </xf>
    <xf numFmtId="44" fontId="4" fillId="0" borderId="13" xfId="44" applyFont="1" applyFill="1" applyBorder="1" applyAlignment="1" applyProtection="1">
      <alignment vertical="center"/>
      <protection/>
    </xf>
    <xf numFmtId="44" fontId="0" fillId="0" borderId="20" xfId="44" applyFont="1" applyFill="1" applyBorder="1" applyAlignment="1" applyProtection="1">
      <alignment vertical="center"/>
      <protection/>
    </xf>
    <xf numFmtId="44" fontId="0" fillId="0" borderId="40" xfId="44" applyNumberFormat="1" applyFont="1" applyFill="1" applyBorder="1" applyAlignment="1" applyProtection="1">
      <alignment vertical="center"/>
      <protection/>
    </xf>
    <xf numFmtId="44" fontId="0" fillId="0" borderId="42" xfId="44" applyNumberFormat="1" applyFont="1" applyFill="1" applyBorder="1" applyAlignment="1" applyProtection="1">
      <alignment vertical="center"/>
      <protection/>
    </xf>
    <xf numFmtId="44" fontId="4" fillId="0" borderId="13" xfId="44" applyNumberFormat="1" applyFont="1" applyFill="1" applyBorder="1" applyAlignment="1" applyProtection="1">
      <alignment vertical="center"/>
      <protection/>
    </xf>
    <xf numFmtId="44" fontId="0" fillId="0" borderId="48" xfId="44" applyNumberFormat="1" applyFont="1" applyFill="1" applyBorder="1" applyAlignment="1" applyProtection="1">
      <alignment vertical="center"/>
      <protection/>
    </xf>
    <xf numFmtId="44" fontId="0" fillId="0" borderId="19" xfId="44" applyNumberFormat="1" applyFont="1" applyFill="1" applyBorder="1" applyAlignment="1" applyProtection="1">
      <alignment vertical="center"/>
      <protection/>
    </xf>
    <xf numFmtId="44" fontId="0" fillId="0" borderId="20" xfId="44" applyNumberFormat="1" applyFont="1" applyFill="1" applyBorder="1" applyAlignment="1" applyProtection="1">
      <alignment vertical="center"/>
      <protection/>
    </xf>
    <xf numFmtId="44" fontId="0" fillId="0" borderId="47" xfId="44" applyFont="1" applyFill="1" applyBorder="1" applyAlignment="1" applyProtection="1">
      <alignment vertical="center"/>
      <protection/>
    </xf>
    <xf numFmtId="44" fontId="0" fillId="0" borderId="50" xfId="44" applyFont="1" applyFill="1" applyBorder="1" applyAlignment="1" applyProtection="1">
      <alignment vertical="center"/>
      <protection/>
    </xf>
    <xf numFmtId="44" fontId="0" fillId="0" borderId="51" xfId="44" applyFont="1" applyFill="1" applyBorder="1" applyAlignment="1" applyProtection="1">
      <alignment vertical="center"/>
      <protection/>
    </xf>
    <xf numFmtId="170" fontId="0" fillId="0" borderId="63" xfId="60" applyNumberForma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43" fontId="0" fillId="0" borderId="31" xfId="60" applyNumberFormat="1" applyFill="1" applyBorder="1" applyAlignment="1">
      <alignment vertical="center"/>
    </xf>
    <xf numFmtId="170" fontId="0" fillId="0" borderId="50" xfId="60" applyNumberForma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44" fontId="0" fillId="0" borderId="32" xfId="60" applyNumberFormat="1" applyFill="1" applyBorder="1" applyAlignment="1">
      <alignment vertical="center"/>
    </xf>
    <xf numFmtId="170" fontId="0" fillId="0" borderId="0" xfId="60" applyNumberFormat="1" applyFill="1" applyBorder="1" applyAlignment="1">
      <alignment vertical="center"/>
    </xf>
    <xf numFmtId="170" fontId="0" fillId="0" borderId="65" xfId="60" applyNumberFormat="1" applyFill="1" applyBorder="1" applyAlignment="1">
      <alignment vertical="center"/>
    </xf>
    <xf numFmtId="175" fontId="0" fillId="0" borderId="0" xfId="0" applyNumberFormat="1" applyFill="1" applyBorder="1" applyAlignment="1">
      <alignment vertical="center"/>
    </xf>
    <xf numFmtId="170" fontId="4" fillId="0" borderId="66" xfId="60" applyNumberFormat="1" applyFont="1" applyFill="1" applyBorder="1" applyAlignment="1">
      <alignment vertical="center"/>
    </xf>
    <xf numFmtId="175" fontId="4" fillId="0" borderId="0" xfId="0" applyNumberFormat="1" applyFont="1" applyFill="1" applyBorder="1" applyAlignment="1">
      <alignment vertical="center"/>
    </xf>
    <xf numFmtId="170" fontId="4" fillId="0" borderId="0" xfId="6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0" fontId="0" fillId="0" borderId="26" xfId="60" applyNumberFormat="1" applyFont="1" applyFill="1" applyBorder="1" applyAlignment="1">
      <alignment vertical="center"/>
    </xf>
    <xf numFmtId="170" fontId="0" fillId="0" borderId="0" xfId="6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0" fontId="0" fillId="0" borderId="67" xfId="60" applyNumberForma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170" fontId="4" fillId="0" borderId="33" xfId="60" applyNumberFormat="1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>
      <alignment vertical="center"/>
    </xf>
    <xf numFmtId="44" fontId="0" fillId="0" borderId="33" xfId="44" applyFont="1" applyFill="1" applyBorder="1" applyAlignment="1" applyProtection="1">
      <alignment vertical="center"/>
      <protection/>
    </xf>
    <xf numFmtId="44" fontId="0" fillId="0" borderId="33" xfId="44" applyNumberFormat="1" applyFont="1" applyFill="1" applyBorder="1" applyAlignment="1" applyProtection="1">
      <alignment vertical="center"/>
      <protection/>
    </xf>
    <xf numFmtId="44" fontId="4" fillId="0" borderId="33" xfId="44" applyFont="1" applyFill="1" applyBorder="1" applyAlignment="1" applyProtection="1">
      <alignment vertical="center"/>
      <protection/>
    </xf>
    <xf numFmtId="44" fontId="4" fillId="0" borderId="33" xfId="44" applyNumberFormat="1" applyFont="1" applyFill="1" applyBorder="1" applyAlignment="1" applyProtection="1">
      <alignment vertical="center"/>
      <protection/>
    </xf>
    <xf numFmtId="44" fontId="4" fillId="22" borderId="26" xfId="44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68" xfId="0" applyFill="1" applyBorder="1" applyAlignment="1">
      <alignment vertical="center"/>
    </xf>
    <xf numFmtId="9" fontId="0" fillId="0" borderId="68" xfId="6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44" fontId="0" fillId="0" borderId="11" xfId="44" applyFill="1" applyBorder="1" applyAlignment="1">
      <alignment vertical="center"/>
    </xf>
    <xf numFmtId="44" fontId="0" fillId="0" borderId="44" xfId="44" applyFill="1" applyBorder="1" applyAlignment="1">
      <alignment vertical="center"/>
    </xf>
    <xf numFmtId="44" fontId="4" fillId="0" borderId="34" xfId="44" applyFont="1" applyFill="1" applyBorder="1" applyAlignment="1">
      <alignment vertical="center"/>
    </xf>
    <xf numFmtId="170" fontId="0" fillId="0" borderId="33" xfId="60" applyNumberFormat="1" applyFont="1" applyFill="1" applyBorder="1" applyAlignment="1">
      <alignment vertical="center"/>
    </xf>
    <xf numFmtId="170" fontId="4" fillId="22" borderId="26" xfId="60" applyNumberFormat="1" applyFont="1" applyFill="1" applyBorder="1" applyAlignment="1">
      <alignment vertical="center"/>
    </xf>
    <xf numFmtId="44" fontId="0" fillId="0" borderId="33" xfId="44" applyNumberFormat="1" applyFont="1" applyFill="1" applyBorder="1" applyAlignment="1">
      <alignment vertical="center"/>
    </xf>
    <xf numFmtId="44" fontId="0" fillId="0" borderId="37" xfId="44" applyFont="1" applyFill="1" applyBorder="1" applyAlignment="1">
      <alignment vertical="center"/>
    </xf>
    <xf numFmtId="0" fontId="11" fillId="0" borderId="57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Continuous"/>
    </xf>
    <xf numFmtId="0" fontId="11" fillId="0" borderId="60" xfId="0" applyFont="1" applyFill="1" applyBorder="1" applyAlignment="1">
      <alignment horizontal="centerContinuous"/>
    </xf>
    <xf numFmtId="0" fontId="11" fillId="0" borderId="10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/>
    </xf>
    <xf numFmtId="44" fontId="11" fillId="0" borderId="17" xfId="44" applyFont="1" applyFill="1" applyBorder="1" applyAlignment="1">
      <alignment/>
    </xf>
    <xf numFmtId="196" fontId="11" fillId="0" borderId="62" xfId="60" applyNumberFormat="1" applyFont="1" applyFill="1" applyBorder="1" applyAlignment="1">
      <alignment/>
    </xf>
    <xf numFmtId="44" fontId="11" fillId="29" borderId="0" xfId="44" applyFont="1" applyFill="1" applyBorder="1" applyAlignment="1">
      <alignment/>
    </xf>
    <xf numFmtId="196" fontId="11" fillId="29" borderId="0" xfId="60" applyNumberFormat="1" applyFont="1" applyFill="1" applyBorder="1" applyAlignment="1">
      <alignment/>
    </xf>
    <xf numFmtId="44" fontId="11" fillId="29" borderId="59" xfId="44" applyFont="1" applyFill="1" applyBorder="1" applyAlignment="1">
      <alignment/>
    </xf>
    <xf numFmtId="196" fontId="11" fillId="29" borderId="61" xfId="60" applyNumberFormat="1" applyFont="1" applyFill="1" applyBorder="1" applyAlignment="1">
      <alignment/>
    </xf>
    <xf numFmtId="0" fontId="11" fillId="29" borderId="49" xfId="0" applyFont="1" applyFill="1" applyBorder="1" applyAlignment="1">
      <alignment/>
    </xf>
    <xf numFmtId="170" fontId="4" fillId="22" borderId="33" xfId="6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/>
    </xf>
    <xf numFmtId="44" fontId="0" fillId="0" borderId="0" xfId="44" applyFill="1" applyAlignment="1">
      <alignment/>
    </xf>
    <xf numFmtId="170" fontId="0" fillId="0" borderId="0" xfId="60" applyNumberFormat="1" applyFill="1" applyAlignment="1">
      <alignment/>
    </xf>
    <xf numFmtId="0" fontId="0" fillId="0" borderId="0" xfId="0" applyFont="1" applyFill="1" applyAlignment="1">
      <alignment/>
    </xf>
    <xf numFmtId="44" fontId="0" fillId="0" borderId="70" xfId="0" applyNumberFormat="1" applyFont="1" applyFill="1" applyBorder="1" applyAlignment="1">
      <alignment/>
    </xf>
    <xf numFmtId="170" fontId="0" fillId="0" borderId="70" xfId="6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0" fontId="4" fillId="0" borderId="70" xfId="0" applyFont="1" applyFill="1" applyBorder="1" applyAlignment="1">
      <alignment/>
    </xf>
    <xf numFmtId="44" fontId="4" fillId="0" borderId="70" xfId="0" applyNumberFormat="1" applyFont="1" applyFill="1" applyBorder="1" applyAlignment="1">
      <alignment/>
    </xf>
    <xf numFmtId="170" fontId="4" fillId="0" borderId="70" xfId="6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9" fontId="0" fillId="0" borderId="68" xfId="60" applyFill="1" applyBorder="1" applyAlignment="1">
      <alignment vertical="center"/>
    </xf>
    <xf numFmtId="44" fontId="0" fillId="0" borderId="33" xfId="44" applyFill="1" applyBorder="1" applyAlignment="1">
      <alignment vertical="center"/>
    </xf>
    <xf numFmtId="44" fontId="0" fillId="0" borderId="68" xfId="44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170" fontId="0" fillId="0" borderId="0" xfId="60" applyNumberFormat="1" applyFill="1" applyAlignment="1">
      <alignment vertical="center"/>
    </xf>
    <xf numFmtId="0" fontId="0" fillId="0" borderId="57" xfId="0" applyFont="1" applyFill="1" applyBorder="1" applyAlignment="1">
      <alignment vertical="center"/>
    </xf>
    <xf numFmtId="165" fontId="0" fillId="0" borderId="60" xfId="46" applyNumberFormat="1" applyFont="1" applyFill="1" applyBorder="1" applyAlignment="1" applyProtection="1">
      <alignment vertical="center"/>
      <protection/>
    </xf>
    <xf numFmtId="44" fontId="0" fillId="0" borderId="70" xfId="0" applyNumberFormat="1" applyFont="1" applyFill="1" applyBorder="1" applyAlignment="1">
      <alignment vertical="center"/>
    </xf>
    <xf numFmtId="170" fontId="0" fillId="0" borderId="70" xfId="60" applyNumberFormat="1" applyFont="1" applyFill="1" applyBorder="1" applyAlignment="1">
      <alignment vertical="center"/>
    </xf>
    <xf numFmtId="165" fontId="4" fillId="0" borderId="33" xfId="46" applyNumberFormat="1" applyFont="1" applyFill="1" applyBorder="1" applyAlignment="1" applyProtection="1">
      <alignment vertical="center"/>
      <protection/>
    </xf>
    <xf numFmtId="0" fontId="0" fillId="0" borderId="30" xfId="0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44" fontId="4" fillId="0" borderId="70" xfId="0" applyNumberFormat="1" applyFont="1" applyFill="1" applyBorder="1" applyAlignment="1">
      <alignment vertical="center"/>
    </xf>
    <xf numFmtId="170" fontId="4" fillId="0" borderId="70" xfId="60" applyNumberFormat="1" applyFont="1" applyFill="1" applyBorder="1" applyAlignment="1">
      <alignment vertical="center"/>
    </xf>
    <xf numFmtId="44" fontId="0" fillId="0" borderId="15" xfId="44" applyFill="1" applyBorder="1" applyAlignment="1">
      <alignment vertical="center"/>
    </xf>
    <xf numFmtId="44" fontId="4" fillId="0" borderId="44" xfId="44" applyFont="1" applyFill="1" applyBorder="1" applyAlignment="1">
      <alignment vertical="center"/>
    </xf>
    <xf numFmtId="170" fontId="4" fillId="0" borderId="65" xfId="60" applyNumberFormat="1" applyFont="1" applyFill="1" applyBorder="1" applyAlignment="1">
      <alignment vertical="center"/>
    </xf>
    <xf numFmtId="15" fontId="0" fillId="0" borderId="0" xfId="0" applyNumberFormat="1" applyFill="1" applyAlignment="1">
      <alignment vertical="center"/>
    </xf>
    <xf numFmtId="44" fontId="0" fillId="0" borderId="0" xfId="44" applyFill="1" applyAlignment="1">
      <alignment vertical="center"/>
    </xf>
    <xf numFmtId="10" fontId="0" fillId="0" borderId="0" xfId="60" applyNumberFormat="1" applyFill="1" applyAlignment="1">
      <alignment vertical="center"/>
    </xf>
    <xf numFmtId="44" fontId="17" fillId="0" borderId="0" xfId="44" applyFont="1" applyFill="1" applyAlignment="1">
      <alignment vertical="center"/>
    </xf>
    <xf numFmtId="170" fontId="0" fillId="0" borderId="60" xfId="60" applyNumberFormat="1" applyFont="1" applyFill="1" applyBorder="1" applyAlignment="1">
      <alignment vertical="center"/>
    </xf>
    <xf numFmtId="44" fontId="0" fillId="0" borderId="71" xfId="44" applyFont="1" applyFill="1" applyBorder="1" applyAlignment="1" applyProtection="1">
      <alignment vertical="center"/>
      <protection/>
    </xf>
    <xf numFmtId="44" fontId="4" fillId="0" borderId="37" xfId="44" applyFont="1" applyFill="1" applyBorder="1" applyAlignment="1" applyProtection="1">
      <alignment vertical="center"/>
      <protection/>
    </xf>
    <xf numFmtId="44" fontId="4" fillId="22" borderId="34" xfId="44" applyFont="1" applyFill="1" applyBorder="1" applyAlignment="1" applyProtection="1">
      <alignment vertical="center"/>
      <protection/>
    </xf>
    <xf numFmtId="170" fontId="4" fillId="22" borderId="62" xfId="60" applyNumberFormat="1" applyFont="1" applyFill="1" applyBorder="1" applyAlignment="1">
      <alignment vertical="center"/>
    </xf>
    <xf numFmtId="170" fontId="0" fillId="0" borderId="62" xfId="60" applyNumberFormat="1" applyFont="1" applyFill="1" applyBorder="1" applyAlignment="1">
      <alignment vertical="center"/>
    </xf>
    <xf numFmtId="44" fontId="0" fillId="0" borderId="37" xfId="44" applyFont="1" applyFill="1" applyBorder="1" applyAlignment="1" applyProtection="1">
      <alignment vertical="center"/>
      <protection/>
    </xf>
    <xf numFmtId="44" fontId="4" fillId="22" borderId="37" xfId="44" applyFont="1" applyFill="1" applyBorder="1" applyAlignment="1" applyProtection="1">
      <alignment vertical="center"/>
      <protection/>
    </xf>
    <xf numFmtId="44" fontId="0" fillId="0" borderId="0" xfId="44" applyFont="1" applyFill="1" applyAlignment="1">
      <alignment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right"/>
      <protection/>
    </xf>
    <xf numFmtId="0" fontId="0" fillId="0" borderId="57" xfId="0" applyBorder="1" applyAlignment="1">
      <alignment/>
    </xf>
    <xf numFmtId="165" fontId="0" fillId="0" borderId="57" xfId="0" applyNumberFormat="1" applyBorder="1" applyAlignment="1">
      <alignment/>
    </xf>
    <xf numFmtId="183" fontId="0" fillId="0" borderId="57" xfId="0" applyNumberFormat="1" applyBorder="1" applyAlignment="1">
      <alignment/>
    </xf>
    <xf numFmtId="0" fontId="0" fillId="0" borderId="17" xfId="0" applyFont="1" applyFill="1" applyBorder="1" applyAlignment="1" applyProtection="1">
      <alignment horizontal="right" vertical="center"/>
      <protection/>
    </xf>
    <xf numFmtId="44" fontId="0" fillId="0" borderId="62" xfId="44" applyFont="1" applyFill="1" applyBorder="1" applyAlignment="1" applyProtection="1">
      <alignment vertical="center"/>
      <protection/>
    </xf>
    <xf numFmtId="165" fontId="4" fillId="0" borderId="62" xfId="46" applyNumberFormat="1" applyFont="1" applyFill="1" applyBorder="1" applyAlignment="1" applyProtection="1">
      <alignment vertical="center"/>
      <protection/>
    </xf>
    <xf numFmtId="165" fontId="4" fillId="22" borderId="34" xfId="46" applyNumberFormat="1" applyFont="1" applyFill="1" applyBorder="1" applyAlignment="1" applyProtection="1">
      <alignment vertical="center"/>
      <protection/>
    </xf>
    <xf numFmtId="44" fontId="0" fillId="0" borderId="11" xfId="44" applyFont="1" applyFill="1" applyBorder="1" applyAlignment="1">
      <alignment vertical="center"/>
    </xf>
    <xf numFmtId="183" fontId="0" fillId="0" borderId="0" xfId="60" applyNumberFormat="1" applyFill="1" applyBorder="1" applyAlignment="1">
      <alignment vertical="center"/>
    </xf>
    <xf numFmtId="170" fontId="0" fillId="0" borderId="0" xfId="60" applyNumberFormat="1" applyFont="1" applyFill="1" applyAlignment="1">
      <alignment vertical="center"/>
    </xf>
    <xf numFmtId="44" fontId="0" fillId="0" borderId="44" xfId="44" applyFont="1" applyFill="1" applyBorder="1" applyAlignment="1">
      <alignment vertical="center"/>
    </xf>
    <xf numFmtId="9" fontId="0" fillId="0" borderId="30" xfId="60" applyFont="1" applyFill="1" applyBorder="1" applyAlignment="1">
      <alignment vertical="center"/>
    </xf>
    <xf numFmtId="44" fontId="0" fillId="0" borderId="62" xfId="44" applyFont="1" applyFill="1" applyBorder="1" applyAlignment="1">
      <alignment vertical="center"/>
    </xf>
    <xf numFmtId="44" fontId="0" fillId="0" borderId="34" xfId="44" applyFont="1" applyFill="1" applyBorder="1" applyAlignment="1">
      <alignment vertical="center"/>
    </xf>
    <xf numFmtId="170" fontId="0" fillId="0" borderId="62" xfId="60" applyNumberFormat="1" applyFill="1" applyBorder="1" applyAlignment="1">
      <alignment vertical="center"/>
    </xf>
    <xf numFmtId="0" fontId="4" fillId="0" borderId="16" xfId="0" applyFont="1" applyBorder="1" applyAlignment="1" applyProtection="1">
      <alignment/>
      <protection/>
    </xf>
    <xf numFmtId="0" fontId="0" fillId="0" borderId="57" xfId="0" applyFont="1" applyBorder="1" applyAlignment="1" applyProtection="1">
      <alignment/>
      <protection/>
    </xf>
    <xf numFmtId="0" fontId="0" fillId="0" borderId="57" xfId="0" applyFont="1" applyBorder="1" applyAlignment="1">
      <alignment/>
    </xf>
    <xf numFmtId="15" fontId="4" fillId="0" borderId="57" xfId="0" applyNumberFormat="1" applyFont="1" applyBorder="1" applyAlignment="1">
      <alignment/>
    </xf>
    <xf numFmtId="0" fontId="4" fillId="0" borderId="57" xfId="0" applyFont="1" applyBorder="1" applyAlignment="1" applyProtection="1">
      <alignment/>
      <protection/>
    </xf>
    <xf numFmtId="0" fontId="4" fillId="0" borderId="57" xfId="0" applyFont="1" applyBorder="1" applyAlignment="1">
      <alignment/>
    </xf>
    <xf numFmtId="15" fontId="4" fillId="0" borderId="6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61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64" fontId="4" fillId="0" borderId="30" xfId="42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164" fontId="0" fillId="0" borderId="30" xfId="42" applyNumberFormat="1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164" fontId="0" fillId="0" borderId="62" xfId="42" applyNumberFormat="1" applyFont="1" applyFill="1" applyBorder="1" applyAlignment="1" applyProtection="1">
      <alignment/>
      <protection/>
    </xf>
    <xf numFmtId="0" fontId="0" fillId="0" borderId="58" xfId="0" applyFill="1" applyBorder="1" applyAlignment="1">
      <alignment/>
    </xf>
    <xf numFmtId="0" fontId="0" fillId="0" borderId="54" xfId="0" applyFill="1" applyBorder="1" applyAlignment="1">
      <alignment/>
    </xf>
    <xf numFmtId="0" fontId="1" fillId="0" borderId="64" xfId="0" applyFont="1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72" xfId="0" applyFont="1" applyFill="1" applyBorder="1" applyAlignment="1" applyProtection="1">
      <alignment/>
      <protection/>
    </xf>
    <xf numFmtId="0" fontId="0" fillId="0" borderId="72" xfId="0" applyFont="1" applyFill="1" applyBorder="1" applyAlignment="1">
      <alignment/>
    </xf>
    <xf numFmtId="15" fontId="0" fillId="0" borderId="54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5" fontId="0" fillId="0" borderId="0" xfId="0" applyNumberFormat="1" applyFill="1" applyAlignment="1">
      <alignment/>
    </xf>
    <xf numFmtId="44" fontId="0" fillId="0" borderId="0" xfId="44" applyFill="1" applyAlignment="1">
      <alignment/>
    </xf>
    <xf numFmtId="170" fontId="0" fillId="0" borderId="0" xfId="60" applyNumberFormat="1" applyFill="1" applyAlignment="1">
      <alignment/>
    </xf>
    <xf numFmtId="44" fontId="17" fillId="0" borderId="0" xfId="44" applyFont="1" applyFill="1" applyAlignment="1">
      <alignment/>
    </xf>
    <xf numFmtId="43" fontId="0" fillId="0" borderId="0" xfId="42" applyFont="1" applyFill="1" applyAlignment="1">
      <alignment/>
    </xf>
    <xf numFmtId="44" fontId="0" fillId="0" borderId="70" xfId="0" applyNumberFormat="1" applyFont="1" applyFill="1" applyBorder="1" applyAlignment="1">
      <alignment/>
    </xf>
    <xf numFmtId="170" fontId="0" fillId="0" borderId="70" xfId="6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0" fontId="4" fillId="0" borderId="70" xfId="0" applyFont="1" applyFill="1" applyBorder="1" applyAlignment="1">
      <alignment/>
    </xf>
    <xf numFmtId="44" fontId="4" fillId="0" borderId="70" xfId="0" applyNumberFormat="1" applyFont="1" applyFill="1" applyBorder="1" applyAlignment="1">
      <alignment/>
    </xf>
    <xf numFmtId="170" fontId="4" fillId="0" borderId="70" xfId="60" applyNumberFormat="1" applyFont="1" applyFill="1" applyBorder="1" applyAlignment="1">
      <alignment/>
    </xf>
    <xf numFmtId="43" fontId="0" fillId="0" borderId="0" xfId="42" applyNumberFormat="1" applyFill="1" applyAlignment="1">
      <alignment/>
    </xf>
    <xf numFmtId="0" fontId="4" fillId="0" borderId="58" xfId="0" applyFont="1" applyFill="1" applyBorder="1" applyAlignment="1" applyProtection="1">
      <alignment/>
      <protection/>
    </xf>
    <xf numFmtId="15" fontId="0" fillId="0" borderId="72" xfId="0" applyNumberFormat="1" applyFont="1" applyFill="1" applyBorder="1" applyAlignment="1">
      <alignment/>
    </xf>
    <xf numFmtId="0" fontId="4" fillId="0" borderId="64" xfId="0" applyFont="1" applyFill="1" applyBorder="1" applyAlignment="1" applyProtection="1">
      <alignment horizontal="right"/>
      <protection/>
    </xf>
    <xf numFmtId="0" fontId="4" fillId="0" borderId="40" xfId="0" applyFont="1" applyFill="1" applyBorder="1" applyAlignment="1" applyProtection="1">
      <alignment horizontal="right"/>
      <protection/>
    </xf>
    <xf numFmtId="170" fontId="0" fillId="22" borderId="62" xfId="60" applyNumberFormat="1" applyFill="1" applyBorder="1" applyAlignment="1">
      <alignment vertical="center"/>
    </xf>
    <xf numFmtId="43" fontId="0" fillId="0" borderId="0" xfId="42" applyFill="1" applyAlignment="1">
      <alignment vertical="center"/>
    </xf>
    <xf numFmtId="43" fontId="0" fillId="0" borderId="0" xfId="42" applyFont="1" applyFill="1" applyAlignment="1">
      <alignment vertical="center"/>
    </xf>
    <xf numFmtId="44" fontId="0" fillId="0" borderId="40" xfId="46" applyNumberFormat="1" applyFont="1" applyFill="1" applyBorder="1" applyAlignment="1" applyProtection="1">
      <alignment vertical="center"/>
      <protection/>
    </xf>
    <xf numFmtId="44" fontId="0" fillId="0" borderId="42" xfId="46" applyNumberFormat="1" applyFont="1" applyFill="1" applyBorder="1" applyAlignment="1" applyProtection="1">
      <alignment vertical="center"/>
      <protection/>
    </xf>
    <xf numFmtId="44" fontId="4" fillId="0" borderId="13" xfId="46" applyNumberFormat="1" applyFont="1" applyFill="1" applyBorder="1" applyAlignment="1" applyProtection="1">
      <alignment vertical="center"/>
      <protection/>
    </xf>
    <xf numFmtId="44" fontId="0" fillId="0" borderId="47" xfId="0" applyNumberFormat="1" applyFont="1" applyFill="1" applyBorder="1" applyAlignment="1" applyProtection="1">
      <alignment vertical="center"/>
      <protection/>
    </xf>
    <xf numFmtId="44" fontId="0" fillId="0" borderId="50" xfId="0" applyNumberFormat="1" applyFont="1" applyFill="1" applyBorder="1" applyAlignment="1" applyProtection="1">
      <alignment vertical="center"/>
      <protection/>
    </xf>
    <xf numFmtId="44" fontId="0" fillId="0" borderId="51" xfId="0" applyNumberFormat="1" applyFont="1" applyFill="1" applyBorder="1" applyAlignment="1" applyProtection="1">
      <alignment vertical="center"/>
      <protection/>
    </xf>
    <xf numFmtId="44" fontId="0" fillId="0" borderId="60" xfId="46" applyNumberFormat="1" applyFont="1" applyFill="1" applyBorder="1" applyAlignment="1" applyProtection="1">
      <alignment vertical="center"/>
      <protection/>
    </xf>
    <xf numFmtId="44" fontId="4" fillId="0" borderId="33" xfId="46" applyNumberFormat="1" applyFont="1" applyFill="1" applyBorder="1" applyAlignment="1" applyProtection="1">
      <alignment vertical="center"/>
      <protection/>
    </xf>
    <xf numFmtId="44" fontId="0" fillId="0" borderId="62" xfId="44" applyNumberFormat="1" applyFont="1" applyFill="1" applyBorder="1" applyAlignment="1" applyProtection="1">
      <alignment vertical="center"/>
      <protection/>
    </xf>
    <xf numFmtId="44" fontId="0" fillId="0" borderId="48" xfId="0" applyNumberFormat="1" applyFont="1" applyFill="1" applyBorder="1" applyAlignment="1" applyProtection="1">
      <alignment vertical="center"/>
      <protection/>
    </xf>
    <xf numFmtId="44" fontId="0" fillId="0" borderId="42" xfId="0" applyNumberFormat="1" applyFont="1" applyFill="1" applyBorder="1" applyAlignment="1" applyProtection="1">
      <alignment vertical="center"/>
      <protection/>
    </xf>
    <xf numFmtId="44" fontId="0" fillId="0" borderId="19" xfId="0" applyNumberFormat="1" applyFont="1" applyFill="1" applyBorder="1" applyAlignment="1" applyProtection="1">
      <alignment vertical="center"/>
      <protection/>
    </xf>
    <xf numFmtId="44" fontId="0" fillId="0" borderId="62" xfId="44" applyNumberFormat="1" applyFont="1" applyFill="1" applyBorder="1" applyAlignment="1">
      <alignment vertical="center"/>
    </xf>
    <xf numFmtId="9" fontId="0" fillId="0" borderId="68" xfId="60" applyFont="1" applyFill="1" applyBorder="1" applyAlignment="1">
      <alignment vertical="center"/>
    </xf>
    <xf numFmtId="44" fontId="0" fillId="0" borderId="31" xfId="44" applyFill="1" applyBorder="1" applyAlignment="1">
      <alignment vertical="center"/>
    </xf>
    <xf numFmtId="44" fontId="0" fillId="0" borderId="31" xfId="44" applyFont="1" applyFill="1" applyBorder="1" applyAlignment="1">
      <alignment/>
    </xf>
    <xf numFmtId="44" fontId="0" fillId="0" borderId="31" xfId="44" applyFont="1" applyFill="1" applyBorder="1" applyAlignment="1">
      <alignment vertical="center"/>
    </xf>
    <xf numFmtId="44" fontId="0" fillId="0" borderId="32" xfId="44" applyFont="1" applyFill="1" applyBorder="1" applyAlignment="1">
      <alignment vertical="center"/>
    </xf>
    <xf numFmtId="0" fontId="20" fillId="0" borderId="21" xfId="0" applyFont="1" applyFill="1" applyBorder="1" applyAlignment="1">
      <alignment horizontal="justify" wrapText="1"/>
    </xf>
    <xf numFmtId="44" fontId="0" fillId="0" borderId="21" xfId="60" applyNumberFormat="1" applyFill="1" applyBorder="1" applyAlignment="1">
      <alignment/>
    </xf>
    <xf numFmtId="0" fontId="0" fillId="0" borderId="21" xfId="0" applyFill="1" applyBorder="1" applyAlignment="1">
      <alignment/>
    </xf>
    <xf numFmtId="0" fontId="4" fillId="0" borderId="21" xfId="0" applyFont="1" applyFill="1" applyBorder="1" applyAlignment="1">
      <alignment/>
    </xf>
    <xf numFmtId="44" fontId="0" fillId="0" borderId="21" xfId="44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44" fontId="0" fillId="22" borderId="34" xfId="44" applyFill="1" applyBorder="1" applyAlignment="1">
      <alignment vertical="center"/>
    </xf>
    <xf numFmtId="3" fontId="0" fillId="0" borderId="0" xfId="0" applyNumberFormat="1" applyFill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Final - 2004 RAM for rate schedule - milton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Bill for typical residential customer (TOU) - PowerStream North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4225"/>
          <c:y val="0.30425"/>
          <c:w val="0.4615"/>
          <c:h val="0.45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'PSN chart'!$H$5:$H$10</c:f>
              <c:strCache/>
            </c:strRef>
          </c:cat>
          <c:val>
            <c:numRef>
              <c:f>'PSN chart'!$I$5:$I$10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Bill for typical residential customer (TOU) - PowerStream South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235"/>
          <c:y val="0.23425"/>
          <c:w val="0.49825"/>
          <c:h val="0.42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2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'PSS chart'!$H$5:$H$10</c:f>
              <c:strCache/>
            </c:strRef>
          </c:cat>
          <c:val>
            <c:numRef>
              <c:f>'PSS chart'!$I$5:$I$10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Bill for typical residential customer (TOU) - PowerStream 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435"/>
          <c:y val="0.29675"/>
          <c:w val="0.457"/>
          <c:h val="0.39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2"/>
            <c:spPr>
              <a:gradFill rotWithShape="1">
                <a:gsLst>
                  <a:gs pos="0">
                    <a:srgbClr val="00CCFF"/>
                  </a:gs>
                  <a:gs pos="100000">
                    <a:srgbClr val="0000FF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00"/>
                  </a:gs>
                  <a:gs pos="100000">
                    <a:srgbClr val="00FF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100000">
                    <a:srgbClr val="FFFF00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99CCFF"/>
                  </a:gs>
                  <a:gs pos="100000">
                    <a:srgbClr val="C0C0C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CC99FF"/>
                  </a:gs>
                  <a:gs pos="100000">
                    <a:srgbClr val="993366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dist"/>
                <a:lstStyle/>
                <a:p>
                  <a:pPr algn="dist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,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' Composite chart'!$J$5:$J$10</c:f>
              <c:strCache/>
            </c:strRef>
          </c:cat>
          <c:val>
            <c:numRef>
              <c:f>' Composite chart'!$K$5:$K$10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21</xdr:row>
      <xdr:rowOff>9525</xdr:rowOff>
    </xdr:from>
    <xdr:to>
      <xdr:col>6</xdr:col>
      <xdr:colOff>285750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323850" y="3409950"/>
        <a:ext cx="65722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21</xdr:row>
      <xdr:rowOff>114300</xdr:rowOff>
    </xdr:from>
    <xdr:to>
      <xdr:col>6</xdr:col>
      <xdr:colOff>485775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523875" y="3514725"/>
        <a:ext cx="57054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23</xdr:row>
      <xdr:rowOff>133350</xdr:rowOff>
    </xdr:from>
    <xdr:to>
      <xdr:col>6</xdr:col>
      <xdr:colOff>85725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895350" y="3886200"/>
        <a:ext cx="5753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zoomScalePageLayoutView="0" workbookViewId="0" topLeftCell="A7">
      <selection activeCell="I21" sqref="I21"/>
    </sheetView>
  </sheetViews>
  <sheetFormatPr defaultColWidth="9.140625" defaultRowHeight="12.75"/>
  <cols>
    <col min="2" max="2" width="39.7109375" style="0" customWidth="1"/>
    <col min="3" max="6" width="9.140625" style="14" customWidth="1"/>
    <col min="7" max="7" width="21.00390625" style="0" customWidth="1"/>
  </cols>
  <sheetData>
    <row r="2" ht="12.75">
      <c r="B2" s="3" t="s">
        <v>64</v>
      </c>
    </row>
    <row r="3" ht="12.75">
      <c r="B3" s="3"/>
    </row>
    <row r="4" ht="12.75">
      <c r="B4" s="3" t="s">
        <v>79</v>
      </c>
    </row>
    <row r="5" ht="13.5" thickBot="1"/>
    <row r="6" spans="2:6" ht="12.75">
      <c r="B6" s="46"/>
      <c r="C6" s="221" t="s">
        <v>1</v>
      </c>
      <c r="D6" s="221"/>
      <c r="E6" s="222" t="s">
        <v>49</v>
      </c>
      <c r="F6" s="223"/>
    </row>
    <row r="7" spans="2:6" ht="12.75">
      <c r="B7" s="47"/>
      <c r="C7" s="224" t="s">
        <v>7</v>
      </c>
      <c r="D7" s="224" t="s">
        <v>8</v>
      </c>
      <c r="E7" s="225" t="s">
        <v>7</v>
      </c>
      <c r="F7" s="226" t="s">
        <v>8</v>
      </c>
    </row>
    <row r="8" spans="2:6" ht="12.75">
      <c r="B8" s="233" t="s">
        <v>42</v>
      </c>
      <c r="C8" s="229">
        <f>'PS SOUTH (TOU)'!I28</f>
        <v>-3.061170000000004</v>
      </c>
      <c r="D8" s="230">
        <f>'PS SOUTH (TOU)'!J28</f>
        <v>-0.0292659563010775</v>
      </c>
      <c r="E8" s="231">
        <f>'PS SOUTH (TOU)'!I66</f>
        <v>14.532929999999993</v>
      </c>
      <c r="F8" s="232">
        <f>'PS SOUTH (TOU)'!J66</f>
        <v>0.05771385167011849</v>
      </c>
    </row>
    <row r="9" spans="2:6" ht="13.5" thickBot="1">
      <c r="B9" s="48" t="s">
        <v>31</v>
      </c>
      <c r="C9" s="85">
        <f>'PS North (TOU)'!I28</f>
        <v>1.9831499999999949</v>
      </c>
      <c r="D9" s="86">
        <f>'PS North (TOU)'!J28</f>
        <v>0.0177225024740613</v>
      </c>
      <c r="E9" s="227">
        <f>'PS North (TOU)'!I65</f>
        <v>12.753179999999986</v>
      </c>
      <c r="F9" s="228">
        <f>'PS North (TOU)'!J65</f>
        <v>0.04910911983768765</v>
      </c>
    </row>
    <row r="12" ht="12.75">
      <c r="B12" s="3"/>
    </row>
    <row r="13" ht="12.75">
      <c r="B13" s="3" t="s">
        <v>65</v>
      </c>
    </row>
    <row r="14" ht="13.5" thickBot="1"/>
    <row r="15" spans="2:6" ht="12.75">
      <c r="B15" s="46"/>
      <c r="C15" s="221" t="s">
        <v>1</v>
      </c>
      <c r="D15" s="221"/>
      <c r="E15" s="222" t="s">
        <v>49</v>
      </c>
      <c r="F15" s="223"/>
    </row>
    <row r="16" spans="2:6" ht="12.75">
      <c r="B16" s="47"/>
      <c r="C16" s="224" t="s">
        <v>7</v>
      </c>
      <c r="D16" s="224" t="s">
        <v>8</v>
      </c>
      <c r="E16" s="225" t="s">
        <v>7</v>
      </c>
      <c r="F16" s="226" t="s">
        <v>8</v>
      </c>
    </row>
    <row r="17" spans="2:6" ht="12.75">
      <c r="B17" s="233" t="s">
        <v>42</v>
      </c>
      <c r="C17" s="229">
        <f>'PS SOUTH Tiered'!I27</f>
        <v>-3.061170000000004</v>
      </c>
      <c r="D17" s="230">
        <f>'PS SOUTH Tiered'!J27</f>
        <v>-0.029754714392305964</v>
      </c>
      <c r="E17" s="231">
        <f>'PS SOUTH Tiered'!I56</f>
        <v>14.532929999999993</v>
      </c>
      <c r="F17" s="232">
        <f>'PS SOUTH Tiered'!J56</f>
        <v>0.056790344830655856</v>
      </c>
    </row>
    <row r="18" spans="2:6" ht="13.5" thickBot="1">
      <c r="B18" s="48" t="s">
        <v>31</v>
      </c>
      <c r="C18" s="85">
        <f>'PS North Tiered '!I27</f>
        <v>1.9831499999999949</v>
      </c>
      <c r="D18" s="86">
        <f>'PS North Tiered '!J27</f>
        <v>0.017977818138235544</v>
      </c>
      <c r="E18" s="227">
        <f>'PS North Tiered '!I53</f>
        <v>12.753180000000043</v>
      </c>
      <c r="F18" s="228">
        <f>'PS North Tiered '!J53</f>
        <v>0.048287748774323104</v>
      </c>
    </row>
    <row r="27" ht="12.75">
      <c r="D27" s="367"/>
    </row>
  </sheetData>
  <sheetProtection/>
  <printOptions/>
  <pageMargins left="0.75" right="0.75" top="1" bottom="0.47" header="0.5" footer="0.18"/>
  <pageSetup horizontalDpi="600" verticalDpi="600" orientation="landscape" scale="92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B2:O75"/>
  <sheetViews>
    <sheetView zoomScalePageLayoutView="0" workbookViewId="0" topLeftCell="A53">
      <selection activeCell="M51" sqref="M51"/>
    </sheetView>
  </sheetViews>
  <sheetFormatPr defaultColWidth="9.140625" defaultRowHeight="12.75" outlineLevelRow="1" outlineLevelCol="1"/>
  <cols>
    <col min="1" max="1" width="9.140625" style="14" customWidth="1"/>
    <col min="2" max="2" width="27.28125" style="14" customWidth="1"/>
    <col min="3" max="3" width="11.140625" style="14" customWidth="1"/>
    <col min="4" max="4" width="12.140625" style="14" customWidth="1"/>
    <col min="5" max="5" width="14.57421875" style="14" customWidth="1"/>
    <col min="6" max="6" width="9.8515625" style="14" bestFit="1" customWidth="1"/>
    <col min="7" max="7" width="12.140625" style="14" customWidth="1"/>
    <col min="8" max="8" width="14.57421875" style="14" customWidth="1"/>
    <col min="9" max="9" width="11.57421875" style="89" bestFit="1" customWidth="1"/>
    <col min="10" max="10" width="9.421875" style="14" customWidth="1"/>
    <col min="11" max="11" width="11.00390625" style="14" customWidth="1"/>
    <col min="12" max="12" width="10.28125" style="14" bestFit="1" customWidth="1" outlineLevel="1"/>
    <col min="13" max="13" width="14.57421875" style="14" customWidth="1" outlineLevel="1"/>
    <col min="14" max="16384" width="9.140625" style="14" customWidth="1"/>
  </cols>
  <sheetData>
    <row r="2" ht="31.5" customHeight="1">
      <c r="B2" s="87" t="s">
        <v>72</v>
      </c>
    </row>
    <row r="3" ht="12.75" customHeight="1">
      <c r="B3" s="87"/>
    </row>
    <row r="4" ht="15">
      <c r="B4" s="91" t="s">
        <v>73</v>
      </c>
    </row>
    <row r="5" ht="15">
      <c r="B5" s="91" t="s">
        <v>0</v>
      </c>
    </row>
    <row r="6" ht="13.5" thickBot="1">
      <c r="B6" s="88"/>
    </row>
    <row r="7" spans="2:9" s="55" customFormat="1" ht="12.75">
      <c r="B7" s="154"/>
      <c r="C7" s="155"/>
      <c r="D7" s="156"/>
      <c r="E7" s="163">
        <v>40664</v>
      </c>
      <c r="F7" s="164"/>
      <c r="G7" s="165"/>
      <c r="H7" s="166">
        <v>40878</v>
      </c>
      <c r="I7" s="93"/>
    </row>
    <row r="8" spans="2:9" s="55" customFormat="1" ht="12.75">
      <c r="B8" s="160" t="s">
        <v>2</v>
      </c>
      <c r="C8" s="162">
        <v>800</v>
      </c>
      <c r="D8" s="364" t="s">
        <v>77</v>
      </c>
      <c r="E8" s="167">
        <v>1.0299</v>
      </c>
      <c r="F8" s="136"/>
      <c r="G8" s="136"/>
      <c r="H8" s="168">
        <f>E8</f>
        <v>1.0299</v>
      </c>
      <c r="I8" s="93"/>
    </row>
    <row r="9" spans="2:9" s="55" customFormat="1" ht="13.5" thickBot="1">
      <c r="B9" s="161"/>
      <c r="C9" s="157"/>
      <c r="D9" s="135"/>
      <c r="E9" s="169"/>
      <c r="F9" s="169"/>
      <c r="G9" s="170"/>
      <c r="H9" s="171"/>
      <c r="I9" s="93"/>
    </row>
    <row r="10" spans="2:6" ht="15" thickBot="1">
      <c r="B10" s="98"/>
      <c r="C10" s="98"/>
      <c r="F10" s="98"/>
    </row>
    <row r="11" spans="2:13" ht="39.75" customHeight="1" thickBot="1">
      <c r="B11" s="151"/>
      <c r="C11" s="368" t="str">
        <f>CONCATENATE("As of ",TEXT(E7,"MMM DD, YYYY"))</f>
        <v>As of May 01, 2011</v>
      </c>
      <c r="D11" s="369"/>
      <c r="E11" s="370"/>
      <c r="F11" s="368" t="str">
        <f>CONCATENATE("As of ",TEXT(H7,"MMM DD, YYYY"))</f>
        <v>As of Dec 01, 2011</v>
      </c>
      <c r="G11" s="369"/>
      <c r="H11" s="370"/>
      <c r="I11" s="99" t="str">
        <f>"Bill Impact "&amp;TEXT(H7,"MMM YYYY")&amp;" to "&amp;TEXT(E7,"MMM YYYY")</f>
        <v>Bill Impact Dec 2011 to May 2011</v>
      </c>
      <c r="J11" s="100"/>
      <c r="K11" s="20" t="s">
        <v>3</v>
      </c>
      <c r="L11" s="20" t="s">
        <v>3</v>
      </c>
      <c r="M11" s="21"/>
    </row>
    <row r="12" spans="2:15" ht="26.25" thickBot="1">
      <c r="B12" s="152"/>
      <c r="C12" s="101" t="s">
        <v>4</v>
      </c>
      <c r="D12" s="102" t="s">
        <v>5</v>
      </c>
      <c r="E12" s="103" t="s">
        <v>6</v>
      </c>
      <c r="F12" s="101" t="s">
        <v>4</v>
      </c>
      <c r="G12" s="102" t="s">
        <v>5</v>
      </c>
      <c r="H12" s="103" t="s">
        <v>6</v>
      </c>
      <c r="I12" s="104" t="s">
        <v>7</v>
      </c>
      <c r="J12" s="105" t="s">
        <v>8</v>
      </c>
      <c r="K12" s="69"/>
      <c r="L12" s="359" t="s">
        <v>69</v>
      </c>
      <c r="M12" s="360"/>
      <c r="N12" s="68"/>
      <c r="O12" s="70"/>
    </row>
    <row r="13" spans="2:15" ht="17.25" customHeight="1">
      <c r="B13" s="106" t="s">
        <v>9</v>
      </c>
      <c r="C13" s="7">
        <v>1</v>
      </c>
      <c r="D13" s="107">
        <f>11.89+1.28+0.16</f>
        <v>13.33</v>
      </c>
      <c r="E13" s="128">
        <f aca="true" t="shared" si="0" ref="E13:E18">C13*D13</f>
        <v>13.33</v>
      </c>
      <c r="F13" s="7">
        <v>1</v>
      </c>
      <c r="G13" s="107">
        <f>11.89+1.28+0.16+M15</f>
        <v>10.32</v>
      </c>
      <c r="H13" s="174">
        <f aca="true" t="shared" si="1" ref="H13:H18">F13*G13</f>
        <v>10.32</v>
      </c>
      <c r="I13" s="214">
        <f aca="true" t="shared" si="2" ref="I13:I26">H13-E13</f>
        <v>-3.01</v>
      </c>
      <c r="J13" s="183">
        <f aca="true" t="shared" si="3" ref="J13:J26">I13/E$26</f>
        <v>-0.025899076372634916</v>
      </c>
      <c r="K13" s="69"/>
      <c r="L13" s="361" t="s">
        <v>67</v>
      </c>
      <c r="M13" s="363">
        <v>-3.15</v>
      </c>
      <c r="N13" s="70"/>
      <c r="O13" s="70"/>
    </row>
    <row r="14" spans="2:15" ht="17.25" customHeight="1">
      <c r="B14" s="109" t="s">
        <v>10</v>
      </c>
      <c r="C14" s="81">
        <f>C8</f>
        <v>800</v>
      </c>
      <c r="D14" s="80">
        <f>0.0134+0.0001-0.0003</f>
        <v>0.0132</v>
      </c>
      <c r="E14" s="129">
        <f t="shared" si="0"/>
        <v>10.56</v>
      </c>
      <c r="F14" s="81">
        <f>C14</f>
        <v>800</v>
      </c>
      <c r="G14" s="80">
        <f>0.0134+0.0001-0.0003</f>
        <v>0.0132</v>
      </c>
      <c r="H14" s="175">
        <f t="shared" si="1"/>
        <v>10.56</v>
      </c>
      <c r="I14" s="214">
        <f t="shared" si="2"/>
        <v>0</v>
      </c>
      <c r="J14" s="186">
        <f t="shared" si="3"/>
        <v>0</v>
      </c>
      <c r="K14" s="69"/>
      <c r="L14" s="361" t="s">
        <v>68</v>
      </c>
      <c r="M14" s="360">
        <v>0.14</v>
      </c>
      <c r="N14" s="70"/>
      <c r="O14" s="70"/>
    </row>
    <row r="15" spans="2:15" ht="17.25" customHeight="1">
      <c r="B15" s="109" t="s">
        <v>11</v>
      </c>
      <c r="C15" s="81">
        <v>0</v>
      </c>
      <c r="D15" s="80"/>
      <c r="E15" s="129">
        <f t="shared" si="0"/>
        <v>0</v>
      </c>
      <c r="F15" s="81">
        <f>G9</f>
        <v>0</v>
      </c>
      <c r="G15" s="80">
        <f>D15</f>
        <v>0</v>
      </c>
      <c r="H15" s="175">
        <f t="shared" si="1"/>
        <v>0</v>
      </c>
      <c r="I15" s="214">
        <f t="shared" si="2"/>
        <v>0</v>
      </c>
      <c r="J15" s="186">
        <f t="shared" si="3"/>
        <v>0</v>
      </c>
      <c r="K15" s="69"/>
      <c r="L15" s="362" t="s">
        <v>52</v>
      </c>
      <c r="M15" s="360">
        <f>SUM(M12:M14)</f>
        <v>-3.01</v>
      </c>
      <c r="N15" s="70"/>
      <c r="O15" s="70"/>
    </row>
    <row r="16" spans="2:15" ht="17.25" customHeight="1">
      <c r="B16" s="109" t="s">
        <v>12</v>
      </c>
      <c r="C16" s="81">
        <f>C14</f>
        <v>800</v>
      </c>
      <c r="D16" s="80">
        <v>0.0002</v>
      </c>
      <c r="E16" s="129">
        <f t="shared" si="0"/>
        <v>0.16</v>
      </c>
      <c r="F16" s="81">
        <f>C16</f>
        <v>800</v>
      </c>
      <c r="G16" s="80">
        <v>0.0002</v>
      </c>
      <c r="H16" s="175">
        <f t="shared" si="1"/>
        <v>0.16</v>
      </c>
      <c r="I16" s="214">
        <f t="shared" si="2"/>
        <v>0</v>
      </c>
      <c r="J16" s="186">
        <f t="shared" si="3"/>
        <v>0</v>
      </c>
      <c r="K16" s="69"/>
      <c r="L16" s="69"/>
      <c r="M16" s="130"/>
      <c r="N16" s="70"/>
      <c r="O16" s="70"/>
    </row>
    <row r="17" spans="2:14" ht="17.25" customHeight="1">
      <c r="B17" s="111" t="s">
        <v>13</v>
      </c>
      <c r="C17" s="81">
        <f>C16</f>
        <v>800</v>
      </c>
      <c r="D17" s="80">
        <v>0</v>
      </c>
      <c r="E17" s="129">
        <f t="shared" si="0"/>
        <v>0</v>
      </c>
      <c r="F17" s="81">
        <f>C17</f>
        <v>800</v>
      </c>
      <c r="G17" s="80">
        <v>0</v>
      </c>
      <c r="H17" s="175">
        <f t="shared" si="1"/>
        <v>0</v>
      </c>
      <c r="I17" s="214">
        <f t="shared" si="2"/>
        <v>0</v>
      </c>
      <c r="J17" s="186">
        <f t="shared" si="3"/>
        <v>0</v>
      </c>
      <c r="K17" s="69"/>
      <c r="L17" s="130"/>
      <c r="M17" s="70"/>
      <c r="N17" s="70"/>
    </row>
    <row r="18" spans="2:14" ht="17.25" customHeight="1" thickBot="1">
      <c r="B18" s="112" t="s">
        <v>14</v>
      </c>
      <c r="C18" s="113">
        <v>0</v>
      </c>
      <c r="D18" s="80">
        <v>0</v>
      </c>
      <c r="E18" s="129">
        <f t="shared" si="0"/>
        <v>0</v>
      </c>
      <c r="F18" s="113">
        <f>+F15</f>
        <v>0</v>
      </c>
      <c r="G18" s="80">
        <f>D18</f>
        <v>0</v>
      </c>
      <c r="H18" s="175">
        <f t="shared" si="1"/>
        <v>0</v>
      </c>
      <c r="I18" s="215">
        <f t="shared" si="2"/>
        <v>0</v>
      </c>
      <c r="J18" s="190">
        <f t="shared" si="3"/>
        <v>0</v>
      </c>
      <c r="K18" s="69"/>
      <c r="L18" s="130"/>
      <c r="M18" s="131"/>
      <c r="N18" s="131"/>
    </row>
    <row r="19" spans="2:12" ht="17.25" customHeight="1" thickBot="1">
      <c r="B19" s="8" t="s">
        <v>15</v>
      </c>
      <c r="C19" s="368"/>
      <c r="D19" s="371"/>
      <c r="E19" s="172">
        <f>SUM(E13:E18)</f>
        <v>24.05</v>
      </c>
      <c r="F19" s="368"/>
      <c r="G19" s="371"/>
      <c r="H19" s="176">
        <f>SUM(H13:H18)</f>
        <v>21.040000000000003</v>
      </c>
      <c r="I19" s="216">
        <f t="shared" si="2"/>
        <v>-3.009999999999998</v>
      </c>
      <c r="J19" s="192">
        <f t="shared" si="3"/>
        <v>-0.025899076372634902</v>
      </c>
      <c r="K19" s="132"/>
      <c r="L19" s="133"/>
    </row>
    <row r="20" spans="2:12" ht="17.25" customHeight="1">
      <c r="B20" s="114" t="s">
        <v>16</v>
      </c>
      <c r="C20" s="115">
        <f>C14*E8</f>
        <v>823.9200000000001</v>
      </c>
      <c r="D20" s="79">
        <f>0.0052+0.0013+0.007</f>
        <v>0.0135</v>
      </c>
      <c r="E20" s="180">
        <f>+(D20-0.007)*C20+$C8*0.007+0.25</f>
        <v>11.205480000000001</v>
      </c>
      <c r="F20" s="115">
        <f>F14*H8</f>
        <v>823.9200000000001</v>
      </c>
      <c r="G20" s="79">
        <f>D20</f>
        <v>0.0135</v>
      </c>
      <c r="H20" s="177">
        <f>+(G20-0.007)*F20+$C8*0.007+0.25</f>
        <v>11.205480000000001</v>
      </c>
      <c r="I20" s="214">
        <f t="shared" si="2"/>
        <v>0</v>
      </c>
      <c r="J20" s="183">
        <f t="shared" si="3"/>
        <v>0</v>
      </c>
      <c r="K20" s="69"/>
      <c r="L20" s="130"/>
    </row>
    <row r="21" spans="2:12" ht="17.25" customHeight="1">
      <c r="B21" s="118" t="s">
        <v>17</v>
      </c>
      <c r="C21" s="10">
        <f>IF(C15=0,C14*E8,C15)</f>
        <v>823.9200000000001</v>
      </c>
      <c r="D21" s="80">
        <f>0.0064+0.0026</f>
        <v>0.009000000000000001</v>
      </c>
      <c r="E21" s="181">
        <f>C21*D21</f>
        <v>7.415280000000002</v>
      </c>
      <c r="F21" s="27">
        <f>IF(F15=0,F14*H8,F15)</f>
        <v>823.9200000000001</v>
      </c>
      <c r="G21" s="80">
        <f>D21</f>
        <v>0.009000000000000001</v>
      </c>
      <c r="H21" s="175">
        <f>F21*G21</f>
        <v>7.415280000000002</v>
      </c>
      <c r="I21" s="214">
        <f t="shared" si="2"/>
        <v>0</v>
      </c>
      <c r="J21" s="186">
        <f t="shared" si="3"/>
        <v>0</v>
      </c>
      <c r="K21" s="69"/>
      <c r="L21" s="130"/>
    </row>
    <row r="22" spans="2:12" ht="17.25" customHeight="1">
      <c r="B22" s="111" t="s">
        <v>18</v>
      </c>
      <c r="C22" s="10">
        <f>C$21*$D33</f>
        <v>527.3088</v>
      </c>
      <c r="D22" s="43">
        <v>0.059</v>
      </c>
      <c r="E22" s="182">
        <f>C22*D22</f>
        <v>31.1112192</v>
      </c>
      <c r="F22" s="10">
        <f>C22</f>
        <v>527.3088</v>
      </c>
      <c r="G22" s="43">
        <f>D22</f>
        <v>0.059</v>
      </c>
      <c r="H22" s="178">
        <f>F22*G22</f>
        <v>31.1112192</v>
      </c>
      <c r="I22" s="214">
        <f t="shared" si="2"/>
        <v>0</v>
      </c>
      <c r="J22" s="186">
        <f t="shared" si="3"/>
        <v>0</v>
      </c>
      <c r="K22" s="69"/>
      <c r="L22" s="130"/>
    </row>
    <row r="23" spans="2:12" ht="17.25" customHeight="1">
      <c r="B23" s="111" t="s">
        <v>19</v>
      </c>
      <c r="C23" s="10">
        <f>C$21*$D34</f>
        <v>148.3056</v>
      </c>
      <c r="D23" s="43">
        <v>0.089</v>
      </c>
      <c r="E23" s="182">
        <f>C23*D23</f>
        <v>13.199198399999998</v>
      </c>
      <c r="F23" s="10">
        <f>C23</f>
        <v>148.3056</v>
      </c>
      <c r="G23" s="147">
        <f>D23</f>
        <v>0.089</v>
      </c>
      <c r="H23" s="178">
        <f>F23*G23</f>
        <v>13.199198399999998</v>
      </c>
      <c r="I23" s="214">
        <f t="shared" si="2"/>
        <v>0</v>
      </c>
      <c r="J23" s="186">
        <f t="shared" si="3"/>
        <v>0</v>
      </c>
      <c r="K23" s="69"/>
      <c r="L23" s="130"/>
    </row>
    <row r="24" spans="2:12" ht="17.25" customHeight="1" thickBot="1">
      <c r="B24" s="153" t="s">
        <v>20</v>
      </c>
      <c r="C24" s="124">
        <f>C$21*$D35</f>
        <v>148.3056</v>
      </c>
      <c r="D24" s="44">
        <v>0.107</v>
      </c>
      <c r="E24" s="173">
        <f>C24*D24</f>
        <v>15.8686992</v>
      </c>
      <c r="F24" s="124">
        <f>C24</f>
        <v>148.3056</v>
      </c>
      <c r="G24" s="148">
        <f>D24</f>
        <v>0.107</v>
      </c>
      <c r="H24" s="179">
        <f>F24*G24</f>
        <v>15.8686992</v>
      </c>
      <c r="I24" s="215">
        <f t="shared" si="2"/>
        <v>0</v>
      </c>
      <c r="J24" s="190">
        <f t="shared" si="3"/>
        <v>0</v>
      </c>
      <c r="K24" s="69"/>
      <c r="L24" s="130"/>
    </row>
    <row r="25" spans="2:10" s="125" customFormat="1" ht="17.25" customHeight="1" thickBot="1">
      <c r="B25" s="203" t="s">
        <v>21</v>
      </c>
      <c r="C25" s="204"/>
      <c r="D25" s="204"/>
      <c r="E25" s="205">
        <f>SUM(E19:E24)</f>
        <v>102.8498768</v>
      </c>
      <c r="F25" s="204"/>
      <c r="G25" s="204"/>
      <c r="H25" s="206">
        <f>SUM(H19:H24)</f>
        <v>99.8398768</v>
      </c>
      <c r="I25" s="274">
        <f t="shared" si="2"/>
        <v>-3.010000000000005</v>
      </c>
      <c r="J25" s="273">
        <f t="shared" si="3"/>
        <v>-0.02589907637263496</v>
      </c>
    </row>
    <row r="26" spans="2:10" ht="17.25" customHeight="1" thickBot="1">
      <c r="B26" s="82" t="s">
        <v>22</v>
      </c>
      <c r="C26" s="201"/>
      <c r="D26" s="201"/>
      <c r="E26" s="207">
        <f>E25*(1+0.13)</f>
        <v>116.220360784</v>
      </c>
      <c r="F26" s="201"/>
      <c r="G26" s="201"/>
      <c r="H26" s="208">
        <f>H25*(1+0.13)</f>
        <v>112.81906078399999</v>
      </c>
      <c r="I26" s="270">
        <f t="shared" si="2"/>
        <v>-3.401300000000006</v>
      </c>
      <c r="J26" s="202">
        <f t="shared" si="3"/>
        <v>-0.02926595630107751</v>
      </c>
    </row>
    <row r="27" spans="2:10" ht="17.25" customHeight="1" thickBot="1">
      <c r="B27" s="210" t="s">
        <v>47</v>
      </c>
      <c r="C27" s="212">
        <v>0.1</v>
      </c>
      <c r="D27" s="213"/>
      <c r="E27" s="205">
        <f>-E26*C27</f>
        <v>-11.6220360784</v>
      </c>
      <c r="F27" s="213"/>
      <c r="G27" s="213"/>
      <c r="H27" s="219">
        <f>-C27*H26</f>
        <v>-11.281906078399999</v>
      </c>
      <c r="I27" s="220">
        <f>+H27-E27</f>
        <v>0.34013000000000204</v>
      </c>
      <c r="J27" s="217">
        <f>+I27/E27</f>
        <v>-0.02926595630107763</v>
      </c>
    </row>
    <row r="28" spans="2:10" ht="17.25" customHeight="1" thickBot="1">
      <c r="B28" s="82" t="s">
        <v>48</v>
      </c>
      <c r="C28" s="201"/>
      <c r="D28" s="201"/>
      <c r="E28" s="207">
        <f>SUM(E26:E27)</f>
        <v>104.59832470559999</v>
      </c>
      <c r="F28" s="201"/>
      <c r="G28" s="201"/>
      <c r="H28" s="208">
        <f>SUM(H26:H27)</f>
        <v>101.53715470559999</v>
      </c>
      <c r="I28" s="275">
        <f>H28-E28</f>
        <v>-3.061170000000004</v>
      </c>
      <c r="J28" s="234">
        <f>I28/E$28</f>
        <v>-0.0292659563010775</v>
      </c>
    </row>
    <row r="29" spans="2:10" ht="12.75">
      <c r="B29" s="53"/>
      <c r="C29" s="5"/>
      <c r="D29" s="5"/>
      <c r="E29" s="54"/>
      <c r="F29" s="55"/>
      <c r="G29" s="55"/>
      <c r="H29" s="55"/>
      <c r="I29" s="55"/>
      <c r="J29" s="55"/>
    </row>
    <row r="30" spans="2:10" ht="12.75" hidden="1" outlineLevel="1">
      <c r="B30" s="53"/>
      <c r="C30" s="5"/>
      <c r="D30" s="5"/>
      <c r="F30" s="16" t="s">
        <v>57</v>
      </c>
      <c r="G30" s="55"/>
      <c r="H30" s="55"/>
      <c r="I30" s="55"/>
      <c r="J30" s="55"/>
    </row>
    <row r="31" spans="2:12" ht="12.75" hidden="1" outlineLevel="1">
      <c r="B31" s="57"/>
      <c r="C31" s="58" t="s">
        <v>54</v>
      </c>
      <c r="D31" s="58"/>
      <c r="F31" s="71"/>
      <c r="H31" s="71"/>
      <c r="I31" s="71"/>
      <c r="J31" s="71"/>
      <c r="K31" s="71"/>
      <c r="L31" s="71" t="s">
        <v>56</v>
      </c>
    </row>
    <row r="32" spans="2:12" ht="12.75" hidden="1" outlineLevel="1">
      <c r="B32" s="137" t="s">
        <v>25</v>
      </c>
      <c r="C32" s="137" t="s">
        <v>55</v>
      </c>
      <c r="D32" s="137" t="s">
        <v>53</v>
      </c>
      <c r="F32" s="49">
        <f>SUM(E22:E24)</f>
        <v>60.1791168</v>
      </c>
      <c r="G32" s="372" t="s">
        <v>23</v>
      </c>
      <c r="H32" s="372"/>
      <c r="I32" s="49">
        <f>SUM(H22:H24)</f>
        <v>60.1791168</v>
      </c>
      <c r="J32" s="49">
        <f aca="true" t="shared" si="4" ref="J32:J37">+I32-F32</f>
        <v>0</v>
      </c>
      <c r="K32" s="50">
        <f aca="true" t="shared" si="5" ref="K32:K37">+J32/F32</f>
        <v>0</v>
      </c>
      <c r="L32" s="50">
        <f aca="true" t="shared" si="6" ref="L32:L37">+J32/$F$37</f>
        <v>0</v>
      </c>
    </row>
    <row r="33" spans="2:12" ht="12.75" hidden="1" outlineLevel="1">
      <c r="B33" s="138" t="s">
        <v>26</v>
      </c>
      <c r="C33" s="139">
        <v>0.533</v>
      </c>
      <c r="D33" s="140">
        <v>0.64</v>
      </c>
      <c r="F33" s="49">
        <f>E19+E21</f>
        <v>31.465280000000003</v>
      </c>
      <c r="G33" s="372" t="s">
        <v>24</v>
      </c>
      <c r="H33" s="372"/>
      <c r="I33" s="49">
        <f>H19+H21</f>
        <v>28.455280000000005</v>
      </c>
      <c r="J33" s="49">
        <f t="shared" si="4"/>
        <v>-3.009999999999998</v>
      </c>
      <c r="K33" s="50">
        <f t="shared" si="5"/>
        <v>-0.09566099523029821</v>
      </c>
      <c r="L33" s="50">
        <f t="shared" si="6"/>
        <v>-0.02877675152514989</v>
      </c>
    </row>
    <row r="34" spans="2:12" ht="12.75" hidden="1" outlineLevel="1">
      <c r="B34" s="138" t="s">
        <v>27</v>
      </c>
      <c r="C34" s="139">
        <v>0.273</v>
      </c>
      <c r="D34" s="140">
        <v>0.18</v>
      </c>
      <c r="E34" s="56" t="s">
        <v>3</v>
      </c>
      <c r="F34" s="51">
        <f>+E20</f>
        <v>11.205480000000001</v>
      </c>
      <c r="G34" s="372" t="s">
        <v>30</v>
      </c>
      <c r="H34" s="372"/>
      <c r="I34" s="51">
        <f>+H20</f>
        <v>11.205480000000001</v>
      </c>
      <c r="J34" s="49">
        <f t="shared" si="4"/>
        <v>0</v>
      </c>
      <c r="K34" s="50">
        <f t="shared" si="5"/>
        <v>0</v>
      </c>
      <c r="L34" s="50">
        <f t="shared" si="6"/>
        <v>0</v>
      </c>
    </row>
    <row r="35" spans="2:12" ht="12.75" hidden="1" outlineLevel="1">
      <c r="B35" s="141" t="s">
        <v>28</v>
      </c>
      <c r="C35" s="142">
        <v>0.194</v>
      </c>
      <c r="D35" s="143">
        <v>0.18</v>
      </c>
      <c r="E35" s="15"/>
      <c r="F35" s="51">
        <f>+E26-E25</f>
        <v>13.37048398399999</v>
      </c>
      <c r="G35" s="372" t="s">
        <v>50</v>
      </c>
      <c r="H35" s="372"/>
      <c r="I35" s="51">
        <f>+H26-H25</f>
        <v>12.979183983999988</v>
      </c>
      <c r="J35" s="49">
        <f t="shared" si="4"/>
        <v>-0.3913000000000011</v>
      </c>
      <c r="K35" s="50">
        <f t="shared" si="5"/>
        <v>-0.02926595630107756</v>
      </c>
      <c r="L35" s="50">
        <f t="shared" si="6"/>
        <v>-0.0037409776982694986</v>
      </c>
    </row>
    <row r="36" spans="2:12" ht="13.5" hidden="1" outlineLevel="1" thickBot="1">
      <c r="B36" s="144"/>
      <c r="C36" s="145">
        <f>SUM(C33:C35)</f>
        <v>1</v>
      </c>
      <c r="D36" s="146">
        <f>SUM(D33:D35)</f>
        <v>1</v>
      </c>
      <c r="E36" s="15"/>
      <c r="F36" s="51">
        <f>+E27</f>
        <v>-11.6220360784</v>
      </c>
      <c r="G36" s="372" t="s">
        <v>51</v>
      </c>
      <c r="H36" s="372"/>
      <c r="I36" s="51">
        <f>+H27</f>
        <v>-11.281906078399999</v>
      </c>
      <c r="J36" s="49">
        <f t="shared" si="4"/>
        <v>0.34013000000000204</v>
      </c>
      <c r="K36" s="50">
        <f t="shared" si="5"/>
        <v>-0.02926595630107763</v>
      </c>
      <c r="L36" s="50">
        <f t="shared" si="6"/>
        <v>0.0032517729223419593</v>
      </c>
    </row>
    <row r="37" spans="5:12" ht="13.5" hidden="1" outlineLevel="1" thickTop="1">
      <c r="E37" s="15"/>
      <c r="F37" s="52">
        <f>SUM(F32:F36)</f>
        <v>104.59832470559999</v>
      </c>
      <c r="G37" s="372" t="s">
        <v>52</v>
      </c>
      <c r="H37" s="372"/>
      <c r="I37" s="52">
        <f>SUM(I32:I36)</f>
        <v>101.5371547056</v>
      </c>
      <c r="J37" s="49">
        <f t="shared" si="4"/>
        <v>-3.06116999999999</v>
      </c>
      <c r="K37" s="50">
        <f t="shared" si="5"/>
        <v>-0.02926595630107736</v>
      </c>
      <c r="L37" s="50">
        <f t="shared" si="6"/>
        <v>-0.02926595630107736</v>
      </c>
    </row>
    <row r="38" spans="4:10" ht="12.75" collapsed="1">
      <c r="D38" s="15"/>
      <c r="G38" s="16"/>
      <c r="H38" s="17"/>
      <c r="I38" s="18"/>
      <c r="J38" s="19"/>
    </row>
    <row r="39" spans="4:10" ht="12.75">
      <c r="D39" s="15"/>
      <c r="G39" s="16"/>
      <c r="H39" s="17"/>
      <c r="I39" s="18"/>
      <c r="J39" s="19"/>
    </row>
    <row r="40" spans="2:10" ht="15.75">
      <c r="B40" s="87" t="str">
        <f>B2</f>
        <v>POWERSTREAM SOUTH</v>
      </c>
      <c r="D40" s="15"/>
      <c r="G40" s="16"/>
      <c r="H40" s="17"/>
      <c r="I40" s="18"/>
      <c r="J40" s="19"/>
    </row>
    <row r="41" spans="5:11" ht="12.75">
      <c r="E41" s="15"/>
      <c r="H41" s="16"/>
      <c r="I41" s="17"/>
      <c r="J41" s="18"/>
      <c r="K41" s="19"/>
    </row>
    <row r="42" ht="15">
      <c r="B42" s="91" t="s">
        <v>74</v>
      </c>
    </row>
    <row r="43" ht="15">
      <c r="B43" s="91" t="s">
        <v>29</v>
      </c>
    </row>
    <row r="44" ht="13.5" thickBot="1">
      <c r="B44" s="88"/>
    </row>
    <row r="45" spans="2:12" ht="12.75">
      <c r="B45" s="154"/>
      <c r="C45" s="155"/>
      <c r="D45" s="156"/>
      <c r="E45" s="163">
        <f>E7</f>
        <v>40664</v>
      </c>
      <c r="F45" s="164"/>
      <c r="G45" s="165"/>
      <c r="H45" s="166">
        <f>H7</f>
        <v>40878</v>
      </c>
      <c r="I45" s="93"/>
      <c r="J45" s="55"/>
      <c r="K45" s="55"/>
      <c r="L45" s="55"/>
    </row>
    <row r="46" spans="2:11" ht="12.75">
      <c r="B46" s="160" t="s">
        <v>2</v>
      </c>
      <c r="C46" s="162">
        <v>2000</v>
      </c>
      <c r="D46" s="364" t="s">
        <v>77</v>
      </c>
      <c r="E46" s="167">
        <f>E8</f>
        <v>1.0299</v>
      </c>
      <c r="F46" s="136"/>
      <c r="G46" s="136"/>
      <c r="H46" s="168">
        <f>E46</f>
        <v>1.0299</v>
      </c>
      <c r="I46" s="93"/>
      <c r="J46" s="55"/>
      <c r="K46" s="55"/>
    </row>
    <row r="47" spans="2:12" ht="13.5" thickBot="1">
      <c r="B47" s="161"/>
      <c r="C47" s="157"/>
      <c r="D47" s="135"/>
      <c r="E47" s="169"/>
      <c r="F47" s="169"/>
      <c r="G47" s="170"/>
      <c r="H47" s="171"/>
      <c r="I47" s="93"/>
      <c r="J47" s="55"/>
      <c r="K47" s="55"/>
      <c r="L47" s="55"/>
    </row>
    <row r="48" spans="2:6" ht="15" thickBot="1">
      <c r="B48" s="98"/>
      <c r="C48" s="98"/>
      <c r="F48" s="98"/>
    </row>
    <row r="49" spans="2:13" ht="41.25" customHeight="1" thickBot="1">
      <c r="B49" s="151"/>
      <c r="C49" s="368" t="str">
        <f>C11</f>
        <v>As of May 01, 2011</v>
      </c>
      <c r="D49" s="369"/>
      <c r="E49" s="370"/>
      <c r="F49" s="368" t="str">
        <f>F11</f>
        <v>As of Dec 01, 2011</v>
      </c>
      <c r="G49" s="369"/>
      <c r="H49" s="370"/>
      <c r="I49" s="99" t="str">
        <f>I11</f>
        <v>Bill Impact Dec 2011 to May 2011</v>
      </c>
      <c r="J49" s="100"/>
      <c r="K49" s="20" t="s">
        <v>3</v>
      </c>
      <c r="L49" s="20" t="s">
        <v>3</v>
      </c>
      <c r="M49" s="21"/>
    </row>
    <row r="50" spans="2:13" ht="27.75" customHeight="1" thickBot="1">
      <c r="B50" s="152"/>
      <c r="C50" s="101" t="s">
        <v>4</v>
      </c>
      <c r="D50" s="102" t="s">
        <v>5</v>
      </c>
      <c r="E50" s="103" t="s">
        <v>6</v>
      </c>
      <c r="F50" s="101" t="s">
        <v>4</v>
      </c>
      <c r="G50" s="102" t="s">
        <v>5</v>
      </c>
      <c r="H50" s="103" t="s">
        <v>6</v>
      </c>
      <c r="I50" s="104" t="s">
        <v>7</v>
      </c>
      <c r="J50" s="105" t="s">
        <v>8</v>
      </c>
      <c r="K50" s="20" t="s">
        <v>3</v>
      </c>
      <c r="L50" s="158" t="s">
        <v>69</v>
      </c>
      <c r="M50" s="159"/>
    </row>
    <row r="51" spans="2:13" s="35" customFormat="1" ht="17.25" customHeight="1">
      <c r="B51" s="106" t="s">
        <v>9</v>
      </c>
      <c r="C51" s="7">
        <v>1</v>
      </c>
      <c r="D51" s="107">
        <f>28.39+0.43+1.01</f>
        <v>29.830000000000002</v>
      </c>
      <c r="E51" s="128">
        <f aca="true" t="shared" si="7" ref="E51:E56">C51*D51</f>
        <v>29.830000000000002</v>
      </c>
      <c r="F51" s="7">
        <v>1</v>
      </c>
      <c r="G51" s="107">
        <f>28.39+0.43+1.01+M53</f>
        <v>44.120000000000005</v>
      </c>
      <c r="H51" s="174">
        <f aca="true" t="shared" si="8" ref="H51:H56">F51*G51</f>
        <v>44.120000000000005</v>
      </c>
      <c r="I51" s="214">
        <f aca="true" t="shared" si="9" ref="I51:I64">H51-E51</f>
        <v>14.290000000000003</v>
      </c>
      <c r="J51" s="183">
        <f aca="true" t="shared" si="10" ref="J51:J64">I51/E$64</f>
        <v>0.051074205017804006</v>
      </c>
      <c r="K51" s="20" t="s">
        <v>3</v>
      </c>
      <c r="L51" s="184" t="s">
        <v>67</v>
      </c>
      <c r="M51" s="185">
        <v>10.92</v>
      </c>
    </row>
    <row r="52" spans="2:13" s="35" customFormat="1" ht="17.25" customHeight="1">
      <c r="B52" s="109" t="s">
        <v>10</v>
      </c>
      <c r="C52" s="81">
        <f>C46</f>
        <v>2000</v>
      </c>
      <c r="D52" s="80">
        <f>0.0115+0.0001-0.0002</f>
        <v>0.011399999999999999</v>
      </c>
      <c r="E52" s="129">
        <f t="shared" si="7"/>
        <v>22.799999999999997</v>
      </c>
      <c r="F52" s="81">
        <f>C52</f>
        <v>2000</v>
      </c>
      <c r="G52" s="80">
        <f>0.0115+0.0001-0.0002</f>
        <v>0.011399999999999999</v>
      </c>
      <c r="H52" s="175">
        <f t="shared" si="8"/>
        <v>22.799999999999997</v>
      </c>
      <c r="I52" s="214">
        <f t="shared" si="9"/>
        <v>0</v>
      </c>
      <c r="J52" s="186">
        <f t="shared" si="10"/>
        <v>0</v>
      </c>
      <c r="K52" s="20" t="s">
        <v>3</v>
      </c>
      <c r="L52" s="184" t="s">
        <v>68</v>
      </c>
      <c r="M52" s="355">
        <v>3.37</v>
      </c>
    </row>
    <row r="53" spans="2:13" s="35" customFormat="1" ht="17.25" customHeight="1">
      <c r="B53" s="109" t="s">
        <v>11</v>
      </c>
      <c r="C53" s="81">
        <v>0</v>
      </c>
      <c r="D53" s="80">
        <v>0</v>
      </c>
      <c r="E53" s="129">
        <f t="shared" si="7"/>
        <v>0</v>
      </c>
      <c r="F53" s="81">
        <f>G47</f>
        <v>0</v>
      </c>
      <c r="G53" s="80">
        <f>D53</f>
        <v>0</v>
      </c>
      <c r="H53" s="175">
        <f t="shared" si="8"/>
        <v>0</v>
      </c>
      <c r="I53" s="214">
        <f t="shared" si="9"/>
        <v>0</v>
      </c>
      <c r="J53" s="186">
        <f t="shared" si="10"/>
        <v>0</v>
      </c>
      <c r="K53" s="20" t="s">
        <v>3</v>
      </c>
      <c r="L53" s="187" t="s">
        <v>52</v>
      </c>
      <c r="M53" s="188">
        <f>SUM(M51:M52)</f>
        <v>14.29</v>
      </c>
    </row>
    <row r="54" spans="2:12" s="35" customFormat="1" ht="17.25" customHeight="1">
      <c r="B54" s="109" t="s">
        <v>12</v>
      </c>
      <c r="C54" s="81">
        <f>C46</f>
        <v>2000</v>
      </c>
      <c r="D54" s="80">
        <v>0.0001</v>
      </c>
      <c r="E54" s="129">
        <f t="shared" si="7"/>
        <v>0.2</v>
      </c>
      <c r="F54" s="81">
        <f>C54</f>
        <v>2000</v>
      </c>
      <c r="G54" s="80">
        <v>0.0001</v>
      </c>
      <c r="H54" s="175">
        <f t="shared" si="8"/>
        <v>0.2</v>
      </c>
      <c r="I54" s="214">
        <f t="shared" si="9"/>
        <v>0</v>
      </c>
      <c r="J54" s="186">
        <f t="shared" si="10"/>
        <v>0</v>
      </c>
      <c r="K54" s="20" t="s">
        <v>3</v>
      </c>
      <c r="L54" s="189"/>
    </row>
    <row r="55" spans="2:12" s="35" customFormat="1" ht="17.25" customHeight="1">
      <c r="B55" s="111" t="s">
        <v>13</v>
      </c>
      <c r="C55" s="81">
        <f>C54</f>
        <v>2000</v>
      </c>
      <c r="D55" s="80">
        <v>0</v>
      </c>
      <c r="E55" s="129">
        <f t="shared" si="7"/>
        <v>0</v>
      </c>
      <c r="F55" s="81">
        <f>C55</f>
        <v>2000</v>
      </c>
      <c r="G55" s="80">
        <v>0</v>
      </c>
      <c r="H55" s="175">
        <f t="shared" si="8"/>
        <v>0</v>
      </c>
      <c r="I55" s="214">
        <f t="shared" si="9"/>
        <v>0</v>
      </c>
      <c r="J55" s="186">
        <f t="shared" si="10"/>
        <v>0</v>
      </c>
      <c r="K55" s="20" t="s">
        <v>3</v>
      </c>
      <c r="L55" s="189"/>
    </row>
    <row r="56" spans="2:12" s="35" customFormat="1" ht="17.25" customHeight="1" thickBot="1">
      <c r="B56" s="112" t="s">
        <v>14</v>
      </c>
      <c r="C56" s="113">
        <f>+C53</f>
        <v>0</v>
      </c>
      <c r="D56" s="80">
        <v>0</v>
      </c>
      <c r="E56" s="129">
        <f t="shared" si="7"/>
        <v>0</v>
      </c>
      <c r="F56" s="113">
        <f>+F53</f>
        <v>0</v>
      </c>
      <c r="G56" s="80">
        <f>D56</f>
        <v>0</v>
      </c>
      <c r="H56" s="175">
        <f t="shared" si="8"/>
        <v>0</v>
      </c>
      <c r="I56" s="215">
        <f t="shared" si="9"/>
        <v>0</v>
      </c>
      <c r="J56" s="190">
        <f t="shared" si="10"/>
        <v>0</v>
      </c>
      <c r="K56" s="191"/>
      <c r="L56" s="189"/>
    </row>
    <row r="57" spans="2:12" s="35" customFormat="1" ht="17.25" customHeight="1" thickBot="1">
      <c r="B57" s="8" t="s">
        <v>15</v>
      </c>
      <c r="C57" s="368"/>
      <c r="D57" s="371"/>
      <c r="E57" s="172">
        <f>SUM(E51:E56)</f>
        <v>52.83</v>
      </c>
      <c r="F57" s="368"/>
      <c r="G57" s="371"/>
      <c r="H57" s="176">
        <f>SUM(H51:H56)</f>
        <v>67.12</v>
      </c>
      <c r="I57" s="216">
        <f t="shared" si="9"/>
        <v>14.290000000000006</v>
      </c>
      <c r="J57" s="192">
        <f t="shared" si="10"/>
        <v>0.05107420501780402</v>
      </c>
      <c r="K57" s="193"/>
      <c r="L57" s="194"/>
    </row>
    <row r="58" spans="2:12" s="35" customFormat="1" ht="17.25" customHeight="1">
      <c r="B58" s="114" t="s">
        <v>16</v>
      </c>
      <c r="C58" s="115">
        <f>C52*E46</f>
        <v>2059.8</v>
      </c>
      <c r="D58" s="79">
        <f>D20</f>
        <v>0.0135</v>
      </c>
      <c r="E58" s="180">
        <f>+(D58-0.007)*C58+$C46*0.007+0.25</f>
        <v>27.6387</v>
      </c>
      <c r="F58" s="115">
        <f>F52*H46</f>
        <v>2059.8</v>
      </c>
      <c r="G58" s="79">
        <f>G20</f>
        <v>0.0135</v>
      </c>
      <c r="H58" s="177">
        <f>+(G58-0.007)*F58+$C46*0.007+0.25</f>
        <v>27.6387</v>
      </c>
      <c r="I58" s="214">
        <f t="shared" si="9"/>
        <v>0</v>
      </c>
      <c r="J58" s="183">
        <f t="shared" si="10"/>
        <v>0</v>
      </c>
      <c r="K58" s="191"/>
      <c r="L58" s="189"/>
    </row>
    <row r="59" spans="2:12" s="35" customFormat="1" ht="17.25" customHeight="1">
      <c r="B59" s="118" t="s">
        <v>17</v>
      </c>
      <c r="C59" s="10">
        <f>IF(C53=0,C52*E46,C53)</f>
        <v>2059.8</v>
      </c>
      <c r="D59" s="80">
        <f>0.0058+0.0023</f>
        <v>0.0081</v>
      </c>
      <c r="E59" s="181">
        <f>C59*D59</f>
        <v>16.68438</v>
      </c>
      <c r="F59" s="27">
        <f>IF(F53=0,F52*H46,F53)</f>
        <v>2059.8</v>
      </c>
      <c r="G59" s="80">
        <f>0.0058+0.0023</f>
        <v>0.0081</v>
      </c>
      <c r="H59" s="175">
        <f>F59*G59</f>
        <v>16.68438</v>
      </c>
      <c r="I59" s="214">
        <f t="shared" si="9"/>
        <v>0</v>
      </c>
      <c r="J59" s="186">
        <f t="shared" si="10"/>
        <v>0</v>
      </c>
      <c r="K59" s="191"/>
      <c r="L59" s="189"/>
    </row>
    <row r="60" spans="2:12" s="35" customFormat="1" ht="17.25" customHeight="1">
      <c r="B60" s="111" t="s">
        <v>18</v>
      </c>
      <c r="C60" s="10">
        <f>C$59*D33</f>
        <v>1318.2720000000002</v>
      </c>
      <c r="D60" s="43">
        <f>D22</f>
        <v>0.059</v>
      </c>
      <c r="E60" s="182">
        <f>C60*D60</f>
        <v>77.77804800000001</v>
      </c>
      <c r="F60" s="10">
        <f>C60</f>
        <v>1318.2720000000002</v>
      </c>
      <c r="G60" s="43">
        <f>G22</f>
        <v>0.059</v>
      </c>
      <c r="H60" s="178">
        <f>F60*G60</f>
        <v>77.77804800000001</v>
      </c>
      <c r="I60" s="214">
        <f t="shared" si="9"/>
        <v>0</v>
      </c>
      <c r="J60" s="186">
        <f t="shared" si="10"/>
        <v>0</v>
      </c>
      <c r="K60" s="191"/>
      <c r="L60" s="189"/>
    </row>
    <row r="61" spans="2:12" s="35" customFormat="1" ht="17.25" customHeight="1">
      <c r="B61" s="111" t="s">
        <v>19</v>
      </c>
      <c r="C61" s="10">
        <f>C$59*D34</f>
        <v>370.764</v>
      </c>
      <c r="D61" s="43">
        <f>D23</f>
        <v>0.089</v>
      </c>
      <c r="E61" s="182">
        <f>C61*D61</f>
        <v>32.997996</v>
      </c>
      <c r="F61" s="10">
        <f>C61</f>
        <v>370.764</v>
      </c>
      <c r="G61" s="147">
        <f>G23</f>
        <v>0.089</v>
      </c>
      <c r="H61" s="178">
        <f>F61*G61</f>
        <v>32.997996</v>
      </c>
      <c r="I61" s="214"/>
      <c r="J61" s="186">
        <f t="shared" si="10"/>
        <v>0</v>
      </c>
      <c r="K61" s="191"/>
      <c r="L61" s="189"/>
    </row>
    <row r="62" spans="2:12" s="35" customFormat="1" ht="17.25" customHeight="1" thickBot="1">
      <c r="B62" s="153" t="s">
        <v>20</v>
      </c>
      <c r="C62" s="124">
        <f>C$59*D35</f>
        <v>370.764</v>
      </c>
      <c r="D62" s="44">
        <f>D24</f>
        <v>0.107</v>
      </c>
      <c r="E62" s="173">
        <f>C62*D62</f>
        <v>39.671748</v>
      </c>
      <c r="F62" s="124">
        <f>C62</f>
        <v>370.764</v>
      </c>
      <c r="G62" s="148">
        <f>G24</f>
        <v>0.107</v>
      </c>
      <c r="H62" s="179">
        <f>F62*G62</f>
        <v>39.671748</v>
      </c>
      <c r="I62" s="215">
        <f t="shared" si="9"/>
        <v>0</v>
      </c>
      <c r="J62" s="190">
        <f t="shared" si="10"/>
        <v>0</v>
      </c>
      <c r="K62" s="191"/>
      <c r="L62" s="189"/>
    </row>
    <row r="63" spans="2:12" s="196" customFormat="1" ht="17.25" customHeight="1" thickBot="1">
      <c r="B63" s="203" t="s">
        <v>21</v>
      </c>
      <c r="C63" s="204"/>
      <c r="D63" s="204"/>
      <c r="E63" s="205">
        <f>SUM(E57:E62)</f>
        <v>247.600872</v>
      </c>
      <c r="F63" s="204"/>
      <c r="G63" s="204"/>
      <c r="H63" s="206">
        <f>SUM(H57:H62)</f>
        <v>261.890872</v>
      </c>
      <c r="I63" s="150">
        <f t="shared" si="9"/>
        <v>14.289999999999992</v>
      </c>
      <c r="J63" s="197">
        <f t="shared" si="10"/>
        <v>0.05107420501780397</v>
      </c>
      <c r="K63" s="24"/>
      <c r="L63" s="198"/>
    </row>
    <row r="64" spans="2:12" s="35" customFormat="1" ht="17.25" customHeight="1" thickBot="1">
      <c r="B64" s="82" t="s">
        <v>22</v>
      </c>
      <c r="C64" s="201"/>
      <c r="D64" s="201"/>
      <c r="E64" s="207">
        <f>E63*(1+0.13)</f>
        <v>279.78898535999997</v>
      </c>
      <c r="F64" s="201"/>
      <c r="G64" s="201"/>
      <c r="H64" s="208">
        <f>H63*(1+0.13)</f>
        <v>295.93668535999996</v>
      </c>
      <c r="I64" s="126">
        <f t="shared" si="9"/>
        <v>16.147699999999986</v>
      </c>
      <c r="J64" s="202">
        <f t="shared" si="10"/>
        <v>0.05771385167011847</v>
      </c>
      <c r="K64" s="25"/>
      <c r="L64" s="194"/>
    </row>
    <row r="65" spans="2:10" s="35" customFormat="1" ht="17.25" customHeight="1" thickBot="1">
      <c r="B65" s="210" t="s">
        <v>47</v>
      </c>
      <c r="C65" s="212">
        <v>0.1</v>
      </c>
      <c r="D65" s="213"/>
      <c r="E65" s="205">
        <f>-E64*C65</f>
        <v>-27.978898536</v>
      </c>
      <c r="F65" s="213"/>
      <c r="G65" s="213"/>
      <c r="H65" s="219">
        <f>-C65*H64</f>
        <v>-29.593668535999996</v>
      </c>
      <c r="I65" s="220">
        <f>+H65-E65</f>
        <v>-1.6147699999999965</v>
      </c>
      <c r="J65" s="217">
        <f>+I65/E65</f>
        <v>0.05771385167011839</v>
      </c>
    </row>
    <row r="66" spans="2:10" s="35" customFormat="1" ht="17.25" customHeight="1" thickBot="1">
      <c r="B66" s="13" t="s">
        <v>48</v>
      </c>
      <c r="C66" s="199"/>
      <c r="D66" s="199"/>
      <c r="E66" s="207">
        <f>SUM(E64:E65)</f>
        <v>251.81008682399997</v>
      </c>
      <c r="F66" s="199"/>
      <c r="G66" s="199"/>
      <c r="H66" s="208">
        <f>SUM(H64:H65)</f>
        <v>266.34301682399996</v>
      </c>
      <c r="I66" s="209">
        <f>H66-E66</f>
        <v>14.532929999999993</v>
      </c>
      <c r="J66" s="218">
        <f>I66/E66</f>
        <v>0.05771385167011849</v>
      </c>
    </row>
    <row r="67" spans="8:12" ht="12.75">
      <c r="H67" s="127"/>
      <c r="I67" s="14"/>
      <c r="K67" s="25"/>
      <c r="L67" s="23"/>
    </row>
    <row r="68" spans="5:12" s="71" customFormat="1" ht="12.75" hidden="1" outlineLevel="1">
      <c r="E68" s="88" t="s">
        <v>57</v>
      </c>
      <c r="K68" s="25"/>
      <c r="L68" s="23"/>
    </row>
    <row r="69" spans="8:12" ht="12.75" hidden="1" outlineLevel="1">
      <c r="H69" s="127"/>
      <c r="I69" s="14"/>
      <c r="J69" s="149"/>
      <c r="K69" s="14" t="s">
        <v>56</v>
      </c>
      <c r="L69" s="23"/>
    </row>
    <row r="70" spans="5:12" ht="12.75" hidden="1" outlineLevel="1">
      <c r="E70" s="49">
        <f>SUM(E60:E62)</f>
        <v>150.44779200000002</v>
      </c>
      <c r="F70" s="373" t="s">
        <v>23</v>
      </c>
      <c r="G70" s="374"/>
      <c r="H70" s="49">
        <f>SUM(H60:H62)</f>
        <v>150.44779200000002</v>
      </c>
      <c r="I70" s="49">
        <f aca="true" t="shared" si="11" ref="I70:I75">+H70-E70</f>
        <v>0</v>
      </c>
      <c r="J70" s="50">
        <f aca="true" t="shared" si="12" ref="J70:J75">+I70/E70</f>
        <v>0</v>
      </c>
      <c r="K70" s="50">
        <f aca="true" t="shared" si="13" ref="K70:K75">+I70/$F$37</f>
        <v>0</v>
      </c>
      <c r="L70" s="23"/>
    </row>
    <row r="71" spans="5:12" ht="12.75" hidden="1" outlineLevel="1">
      <c r="E71" s="49">
        <f>+E57+E59</f>
        <v>69.51438</v>
      </c>
      <c r="F71" s="373" t="s">
        <v>24</v>
      </c>
      <c r="G71" s="374"/>
      <c r="H71" s="49">
        <f>+H57+H59</f>
        <v>83.80438000000001</v>
      </c>
      <c r="I71" s="49">
        <f t="shared" si="11"/>
        <v>14.290000000000006</v>
      </c>
      <c r="J71" s="50">
        <f t="shared" si="12"/>
        <v>0.2055689772389541</v>
      </c>
      <c r="K71" s="50">
        <f t="shared" si="13"/>
        <v>0.1366178668752134</v>
      </c>
      <c r="L71" s="23"/>
    </row>
    <row r="72" spans="5:11" ht="12.75" hidden="1" outlineLevel="1">
      <c r="E72" s="51">
        <f>+E58</f>
        <v>27.6387</v>
      </c>
      <c r="F72" s="373" t="s">
        <v>30</v>
      </c>
      <c r="G72" s="374"/>
      <c r="H72" s="51">
        <f>+H58</f>
        <v>27.6387</v>
      </c>
      <c r="I72" s="49">
        <f t="shared" si="11"/>
        <v>0</v>
      </c>
      <c r="J72" s="50">
        <f t="shared" si="12"/>
        <v>0</v>
      </c>
      <c r="K72" s="50">
        <f t="shared" si="13"/>
        <v>0</v>
      </c>
    </row>
    <row r="73" spans="5:11" ht="12.75" hidden="1" outlineLevel="1">
      <c r="E73" s="51">
        <f>+E64-E63</f>
        <v>32.18811335999996</v>
      </c>
      <c r="F73" s="373" t="s">
        <v>50</v>
      </c>
      <c r="G73" s="374"/>
      <c r="H73" s="51">
        <f>+H64-H63</f>
        <v>34.045813359999954</v>
      </c>
      <c r="I73" s="49">
        <f t="shared" si="11"/>
        <v>1.8576999999999941</v>
      </c>
      <c r="J73" s="50">
        <f t="shared" si="12"/>
        <v>0.0577138516701184</v>
      </c>
      <c r="K73" s="50">
        <f t="shared" si="13"/>
        <v>0.01776032269377768</v>
      </c>
    </row>
    <row r="74" spans="5:11" ht="12.75" hidden="1" outlineLevel="1">
      <c r="E74" s="51">
        <f>+E65</f>
        <v>-27.978898536</v>
      </c>
      <c r="F74" s="373" t="s">
        <v>51</v>
      </c>
      <c r="G74" s="374"/>
      <c r="H74" s="51">
        <f>+H65</f>
        <v>-29.593668535999996</v>
      </c>
      <c r="I74" s="49">
        <f t="shared" si="11"/>
        <v>-1.6147699999999965</v>
      </c>
      <c r="J74" s="50">
        <f t="shared" si="12"/>
        <v>0.05771385167011839</v>
      </c>
      <c r="K74" s="50">
        <f t="shared" si="13"/>
        <v>-0.015437818956899076</v>
      </c>
    </row>
    <row r="75" spans="5:11" ht="12.75" hidden="1" outlineLevel="1">
      <c r="E75" s="52">
        <f>SUM(E70:E74)</f>
        <v>251.81008682399997</v>
      </c>
      <c r="F75" s="373" t="s">
        <v>52</v>
      </c>
      <c r="G75" s="374"/>
      <c r="H75" s="52">
        <f>SUM(H70:H74)</f>
        <v>266.343016824</v>
      </c>
      <c r="I75" s="49">
        <f t="shared" si="11"/>
        <v>14.53293000000005</v>
      </c>
      <c r="J75" s="50">
        <f t="shared" si="12"/>
        <v>0.05771385167011872</v>
      </c>
      <c r="K75" s="50">
        <f t="shared" si="13"/>
        <v>0.13894037061209247</v>
      </c>
    </row>
    <row r="76" ht="12.75" collapsed="1"/>
  </sheetData>
  <sheetProtection/>
  <mergeCells count="20">
    <mergeCell ref="F74:G74"/>
    <mergeCell ref="F75:G75"/>
    <mergeCell ref="F70:G70"/>
    <mergeCell ref="F71:G71"/>
    <mergeCell ref="F72:G72"/>
    <mergeCell ref="F73:G73"/>
    <mergeCell ref="C57:D57"/>
    <mergeCell ref="C19:D19"/>
    <mergeCell ref="C11:E11"/>
    <mergeCell ref="C49:E49"/>
    <mergeCell ref="F11:H11"/>
    <mergeCell ref="F19:G19"/>
    <mergeCell ref="F49:H49"/>
    <mergeCell ref="F57:G57"/>
    <mergeCell ref="G32:H32"/>
    <mergeCell ref="G33:H33"/>
    <mergeCell ref="G34:H34"/>
    <mergeCell ref="G35:H35"/>
    <mergeCell ref="G36:H36"/>
    <mergeCell ref="G37:H37"/>
  </mergeCells>
  <printOptions horizontalCentered="1"/>
  <pageMargins left="0.4" right="0.17" top="0.51" bottom="0.39" header="0.16" footer="0.17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2:O74"/>
  <sheetViews>
    <sheetView tabSelected="1" zoomScalePageLayoutView="0" workbookViewId="0" topLeftCell="A18">
      <selection activeCell="M49" sqref="M49"/>
    </sheetView>
  </sheetViews>
  <sheetFormatPr defaultColWidth="9.140625" defaultRowHeight="12.75" outlineLevelRow="1"/>
  <cols>
    <col min="1" max="1" width="4.8515625" style="0" customWidth="1"/>
    <col min="2" max="2" width="31.57421875" style="0" customWidth="1"/>
    <col min="3" max="3" width="11.57421875" style="0" customWidth="1"/>
    <col min="4" max="4" width="12.140625" style="0" customWidth="1"/>
    <col min="5" max="5" width="14.57421875" style="0" customWidth="1"/>
    <col min="6" max="6" width="9.28125" style="0" bestFit="1" customWidth="1"/>
    <col min="7" max="7" width="12.140625" style="0" customWidth="1"/>
    <col min="8" max="8" width="14.57421875" style="0" customWidth="1"/>
    <col min="9" max="9" width="11.00390625" style="0" customWidth="1"/>
    <col min="10" max="10" width="9.421875" style="0" customWidth="1"/>
    <col min="11" max="11" width="9.8515625" style="0" customWidth="1"/>
  </cols>
  <sheetData>
    <row r="2" ht="31.5" customHeight="1">
      <c r="B2" s="1" t="s">
        <v>71</v>
      </c>
    </row>
    <row r="3" ht="12.75" customHeight="1">
      <c r="B3" s="1"/>
    </row>
    <row r="4" ht="15">
      <c r="B4" s="2" t="s">
        <v>73</v>
      </c>
    </row>
    <row r="5" ht="15">
      <c r="B5" s="2" t="s">
        <v>0</v>
      </c>
    </row>
    <row r="6" ht="13.5" thickBot="1">
      <c r="B6" s="3"/>
    </row>
    <row r="7" spans="2:8" s="302" customFormat="1" ht="17.25" customHeight="1">
      <c r="B7" s="295" t="s">
        <v>1</v>
      </c>
      <c r="C7" s="296"/>
      <c r="D7" s="297"/>
      <c r="E7" s="298">
        <v>40664</v>
      </c>
      <c r="F7" s="299"/>
      <c r="G7" s="300"/>
      <c r="H7" s="301">
        <v>40878</v>
      </c>
    </row>
    <row r="8" spans="2:8" s="307" customFormat="1" ht="17.25" customHeight="1">
      <c r="B8" s="160" t="s">
        <v>2</v>
      </c>
      <c r="C8" s="303">
        <v>800</v>
      </c>
      <c r="D8" s="364" t="s">
        <v>77</v>
      </c>
      <c r="E8" s="304">
        <v>1.0565</v>
      </c>
      <c r="F8" s="305"/>
      <c r="G8" s="305"/>
      <c r="H8" s="306">
        <f>E8</f>
        <v>1.0565</v>
      </c>
    </row>
    <row r="9" spans="2:8" s="307" customFormat="1" ht="17.25" customHeight="1" thickBot="1">
      <c r="B9" s="279"/>
      <c r="C9" s="308"/>
      <c r="D9" s="309"/>
      <c r="E9" s="310"/>
      <c r="F9" s="310"/>
      <c r="G9" s="311"/>
      <c r="H9" s="312"/>
    </row>
    <row r="10" spans="2:6" s="14" customFormat="1" ht="15" thickBot="1">
      <c r="B10" s="98"/>
      <c r="C10" s="98"/>
      <c r="F10" s="98"/>
    </row>
    <row r="11" spans="2:13" s="14" customFormat="1" ht="39.75" customHeight="1" thickBot="1">
      <c r="B11" s="151"/>
      <c r="C11" s="368" t="str">
        <f>CONCATENATE("As of ",TEXT(E7,"MMM DD, YYYY"))</f>
        <v>As of May 01, 2011</v>
      </c>
      <c r="D11" s="369"/>
      <c r="E11" s="370"/>
      <c r="F11" s="368" t="str">
        <f>CONCATENATE("As of ",TEXT(H7,"MMM DD, YYYY"))</f>
        <v>As of Dec 01, 2011</v>
      </c>
      <c r="G11" s="369"/>
      <c r="H11" s="370"/>
      <c r="I11" s="99" t="str">
        <f>"Bill Impact "&amp;TEXT(H7,"MMM YYYY")&amp;" to "&amp;TEXT(E7,"MMM YYYY")</f>
        <v>Bill Impact Dec 2011 to May 2011</v>
      </c>
      <c r="J11" s="100"/>
      <c r="K11" s="20" t="s">
        <v>3</v>
      </c>
      <c r="L11" s="313"/>
      <c r="M11" s="314" t="s">
        <v>66</v>
      </c>
    </row>
    <row r="12" spans="2:13" s="14" customFormat="1" ht="26.25" thickBot="1">
      <c r="B12" s="152"/>
      <c r="C12" s="101" t="s">
        <v>4</v>
      </c>
      <c r="D12" s="102" t="s">
        <v>5</v>
      </c>
      <c r="E12" s="103" t="s">
        <v>6</v>
      </c>
      <c r="F12" s="101" t="s">
        <v>4</v>
      </c>
      <c r="G12" s="102" t="s">
        <v>5</v>
      </c>
      <c r="H12" s="103" t="s">
        <v>6</v>
      </c>
      <c r="I12" s="277" t="s">
        <v>7</v>
      </c>
      <c r="J12" s="105" t="s">
        <v>8</v>
      </c>
      <c r="K12" s="22"/>
      <c r="L12" s="315" t="s">
        <v>67</v>
      </c>
      <c r="M12" s="356">
        <v>0.17</v>
      </c>
    </row>
    <row r="13" spans="2:13" s="35" customFormat="1" ht="17.25" customHeight="1">
      <c r="B13" s="106" t="s">
        <v>9</v>
      </c>
      <c r="C13" s="7">
        <v>1</v>
      </c>
      <c r="D13" s="107">
        <f>15.21+0.16</f>
        <v>15.370000000000001</v>
      </c>
      <c r="E13" s="108">
        <f aca="true" t="shared" si="0" ref="E13:E18">C13*D13</f>
        <v>15.370000000000001</v>
      </c>
      <c r="F13" s="7">
        <v>1</v>
      </c>
      <c r="G13" s="107">
        <f>15.21+0.16+M14</f>
        <v>17.32</v>
      </c>
      <c r="H13" s="108">
        <f aca="true" t="shared" si="1" ref="H13:H18">F13*G13</f>
        <v>17.32</v>
      </c>
      <c r="I13" s="287">
        <f aca="true" t="shared" si="2" ref="I13:I27">H13-E13</f>
        <v>1.9499999999999993</v>
      </c>
      <c r="J13" s="183">
        <f aca="true" t="shared" si="3" ref="J13:J27">I13/E$26</f>
        <v>0.015683630508018884</v>
      </c>
      <c r="K13" s="288"/>
      <c r="L13" s="316" t="s">
        <v>68</v>
      </c>
      <c r="M13" s="357">
        <v>1.78</v>
      </c>
    </row>
    <row r="14" spans="2:13" s="35" customFormat="1" ht="17.25" customHeight="1">
      <c r="B14" s="109" t="s">
        <v>10</v>
      </c>
      <c r="C14" s="81">
        <f>C8</f>
        <v>800</v>
      </c>
      <c r="D14" s="80">
        <f>0.0136+0.0008-0.0005</f>
        <v>0.0139</v>
      </c>
      <c r="E14" s="110">
        <f t="shared" si="0"/>
        <v>11.12</v>
      </c>
      <c r="F14" s="81">
        <f>C14</f>
        <v>800</v>
      </c>
      <c r="G14" s="80">
        <f>0.0136+0.0008-0.0005</f>
        <v>0.0139</v>
      </c>
      <c r="H14" s="110">
        <f t="shared" si="1"/>
        <v>11.12</v>
      </c>
      <c r="I14" s="287">
        <f t="shared" si="2"/>
        <v>0</v>
      </c>
      <c r="J14" s="186">
        <f t="shared" si="3"/>
        <v>0</v>
      </c>
      <c r="K14" s="288"/>
      <c r="L14" s="317" t="s">
        <v>52</v>
      </c>
      <c r="M14" s="358">
        <f>SUM(M12:M13)</f>
        <v>1.95</v>
      </c>
    </row>
    <row r="15" spans="2:11" s="35" customFormat="1" ht="17.25" customHeight="1">
      <c r="B15" s="109" t="s">
        <v>11</v>
      </c>
      <c r="C15" s="81">
        <v>0</v>
      </c>
      <c r="D15" s="107">
        <v>0</v>
      </c>
      <c r="E15" s="110">
        <f t="shared" si="0"/>
        <v>0</v>
      </c>
      <c r="F15" s="81">
        <f>G9</f>
        <v>0</v>
      </c>
      <c r="G15" s="107">
        <f>D15</f>
        <v>0</v>
      </c>
      <c r="H15" s="110">
        <f t="shared" si="1"/>
        <v>0</v>
      </c>
      <c r="I15" s="287">
        <f t="shared" si="2"/>
        <v>0</v>
      </c>
      <c r="J15" s="186">
        <f t="shared" si="3"/>
        <v>0</v>
      </c>
      <c r="K15" s="288"/>
    </row>
    <row r="16" spans="2:11" s="35" customFormat="1" ht="17.25" customHeight="1">
      <c r="B16" s="109" t="s">
        <v>12</v>
      </c>
      <c r="C16" s="81">
        <f>C14</f>
        <v>800</v>
      </c>
      <c r="D16" s="80">
        <v>0.0004</v>
      </c>
      <c r="E16" s="110">
        <f t="shared" si="0"/>
        <v>0.32</v>
      </c>
      <c r="F16" s="81">
        <f>C16</f>
        <v>800</v>
      </c>
      <c r="G16" s="80">
        <v>0.0004</v>
      </c>
      <c r="H16" s="110">
        <f t="shared" si="1"/>
        <v>0.32</v>
      </c>
      <c r="I16" s="287">
        <f t="shared" si="2"/>
        <v>0</v>
      </c>
      <c r="J16" s="186">
        <f t="shared" si="3"/>
        <v>0</v>
      </c>
      <c r="K16" s="288"/>
    </row>
    <row r="17" spans="2:15" s="35" customFormat="1" ht="17.25" customHeight="1">
      <c r="B17" s="111" t="s">
        <v>13</v>
      </c>
      <c r="C17" s="81">
        <f>C14</f>
        <v>800</v>
      </c>
      <c r="D17" s="80">
        <v>0</v>
      </c>
      <c r="E17" s="129">
        <f t="shared" si="0"/>
        <v>0</v>
      </c>
      <c r="F17" s="81">
        <f>C17</f>
        <v>800</v>
      </c>
      <c r="G17" s="80">
        <v>0</v>
      </c>
      <c r="H17" s="110">
        <f t="shared" si="1"/>
        <v>0</v>
      </c>
      <c r="I17" s="287">
        <f t="shared" si="2"/>
        <v>0</v>
      </c>
      <c r="J17" s="186">
        <f t="shared" si="3"/>
        <v>0</v>
      </c>
      <c r="K17" s="288"/>
      <c r="N17" s="289"/>
      <c r="O17" s="289"/>
    </row>
    <row r="18" spans="2:10" s="35" customFormat="1" ht="17.25" customHeight="1" thickBot="1">
      <c r="B18" s="112" t="s">
        <v>14</v>
      </c>
      <c r="C18" s="113">
        <v>0</v>
      </c>
      <c r="D18" s="80">
        <v>0</v>
      </c>
      <c r="E18" s="110">
        <f t="shared" si="0"/>
        <v>0</v>
      </c>
      <c r="F18" s="113">
        <f>+F15</f>
        <v>0</v>
      </c>
      <c r="G18" s="80">
        <f>D18</f>
        <v>0</v>
      </c>
      <c r="H18" s="110">
        <f t="shared" si="1"/>
        <v>0</v>
      </c>
      <c r="I18" s="290">
        <f t="shared" si="2"/>
        <v>0</v>
      </c>
      <c r="J18" s="190">
        <f t="shared" si="3"/>
        <v>0</v>
      </c>
    </row>
    <row r="19" spans="2:10" s="35" customFormat="1" ht="17.25" customHeight="1" thickBot="1">
      <c r="B19" s="8" t="s">
        <v>15</v>
      </c>
      <c r="C19" s="368"/>
      <c r="D19" s="371"/>
      <c r="E19" s="9">
        <f>SUM(E13:E18)</f>
        <v>26.810000000000002</v>
      </c>
      <c r="F19" s="368"/>
      <c r="G19" s="371"/>
      <c r="H19" s="9">
        <f>SUM(H13:H18)</f>
        <v>28.759999999999998</v>
      </c>
      <c r="I19" s="216">
        <f t="shared" si="2"/>
        <v>1.9499999999999957</v>
      </c>
      <c r="J19" s="192">
        <f t="shared" si="3"/>
        <v>0.015683630508018857</v>
      </c>
    </row>
    <row r="20" spans="2:10" s="35" customFormat="1" ht="17.25" customHeight="1">
      <c r="B20" s="114" t="s">
        <v>16</v>
      </c>
      <c r="C20" s="115">
        <f>C14*E8</f>
        <v>845.2</v>
      </c>
      <c r="D20" s="79">
        <f>0.0052+0.0013+0.007</f>
        <v>0.0135</v>
      </c>
      <c r="E20" s="116">
        <f>+(D20-0.007)*C20+$C8*0.007+0.25</f>
        <v>11.343800000000002</v>
      </c>
      <c r="F20" s="115">
        <f>F14*H8</f>
        <v>845.2</v>
      </c>
      <c r="G20" s="79">
        <f>D20</f>
        <v>0.0135</v>
      </c>
      <c r="H20" s="117">
        <f>+(G20-0.007)*F20+$C8*0.007+0.25</f>
        <v>11.343800000000002</v>
      </c>
      <c r="I20" s="287">
        <f t="shared" si="2"/>
        <v>0</v>
      </c>
      <c r="J20" s="183">
        <f t="shared" si="3"/>
        <v>0</v>
      </c>
    </row>
    <row r="21" spans="2:10" s="35" customFormat="1" ht="17.25" customHeight="1">
      <c r="B21" s="118" t="s">
        <v>17</v>
      </c>
      <c r="C21" s="10">
        <f>IF(C15=0,C14*E8,C15)</f>
        <v>845.2</v>
      </c>
      <c r="D21" s="119">
        <f>0.0065+0.0055</f>
        <v>0.012</v>
      </c>
      <c r="E21" s="120">
        <f>C21*D21</f>
        <v>10.1424</v>
      </c>
      <c r="F21" s="27">
        <f>IF(F15=0,F14*H8,F15)</f>
        <v>845.2</v>
      </c>
      <c r="G21" s="119">
        <f>0.0065+0.0055</f>
        <v>0.012</v>
      </c>
      <c r="H21" s="121">
        <f>F21*G21</f>
        <v>10.1424</v>
      </c>
      <c r="I21" s="287">
        <f t="shared" si="2"/>
        <v>0</v>
      </c>
      <c r="J21" s="186">
        <f t="shared" si="3"/>
        <v>0</v>
      </c>
    </row>
    <row r="22" spans="2:10" s="35" customFormat="1" ht="17.25" customHeight="1">
      <c r="B22" s="111" t="s">
        <v>18</v>
      </c>
      <c r="C22" s="10">
        <f>C$21*D35</f>
        <v>540.928</v>
      </c>
      <c r="D22" s="43">
        <f>'PS SOUTH (TOU)'!D22</f>
        <v>0.059</v>
      </c>
      <c r="E22" s="122">
        <f>C22*D22</f>
        <v>31.914751999999996</v>
      </c>
      <c r="F22" s="27">
        <f>+$F$20*D35</f>
        <v>540.928</v>
      </c>
      <c r="G22" s="43">
        <f>D22</f>
        <v>0.059</v>
      </c>
      <c r="H22" s="123">
        <f>F22*G22</f>
        <v>31.914751999999996</v>
      </c>
      <c r="I22" s="287">
        <f t="shared" si="2"/>
        <v>0</v>
      </c>
      <c r="J22" s="186">
        <f t="shared" si="3"/>
        <v>0</v>
      </c>
    </row>
    <row r="23" spans="2:10" s="35" customFormat="1" ht="17.25" customHeight="1">
      <c r="B23" s="111" t="s">
        <v>19</v>
      </c>
      <c r="C23" s="10">
        <f>C$21*D36</f>
        <v>152.136</v>
      </c>
      <c r="D23" s="43">
        <f>'PS SOUTH (TOU)'!D23</f>
        <v>0.089</v>
      </c>
      <c r="E23" s="122">
        <f>C23*D23</f>
        <v>13.540104</v>
      </c>
      <c r="F23" s="27">
        <f>+$F$20*D36</f>
        <v>152.136</v>
      </c>
      <c r="G23" s="45">
        <f>D23</f>
        <v>0.089</v>
      </c>
      <c r="H23" s="123">
        <f>F23*G23</f>
        <v>13.540104</v>
      </c>
      <c r="I23" s="287">
        <f t="shared" si="2"/>
        <v>0</v>
      </c>
      <c r="J23" s="186">
        <f t="shared" si="3"/>
        <v>0</v>
      </c>
    </row>
    <row r="24" spans="2:10" s="35" customFormat="1" ht="17.25" customHeight="1" thickBot="1">
      <c r="B24" s="134" t="s">
        <v>20</v>
      </c>
      <c r="C24" s="11">
        <f>C$21*D37</f>
        <v>152.136</v>
      </c>
      <c r="D24" s="43">
        <f>'PS SOUTH (TOU)'!D24</f>
        <v>0.107</v>
      </c>
      <c r="E24" s="122">
        <f>C24*D24</f>
        <v>16.278551999999998</v>
      </c>
      <c r="F24" s="124">
        <f>+$F$20*D37</f>
        <v>152.136</v>
      </c>
      <c r="G24" s="44">
        <f>D24</f>
        <v>0.107</v>
      </c>
      <c r="H24" s="123">
        <f>F24*G24</f>
        <v>16.278551999999998</v>
      </c>
      <c r="I24" s="287">
        <f t="shared" si="2"/>
        <v>0</v>
      </c>
      <c r="J24" s="200">
        <f t="shared" si="3"/>
        <v>0</v>
      </c>
    </row>
    <row r="25" spans="2:10" s="196" customFormat="1" ht="17.25" customHeight="1" thickBot="1">
      <c r="B25" s="12" t="s">
        <v>21</v>
      </c>
      <c r="C25" s="252"/>
      <c r="D25" s="252"/>
      <c r="E25" s="253">
        <f>SUM(E19:E24)</f>
        <v>110.029608</v>
      </c>
      <c r="F25" s="195"/>
      <c r="G25" s="195"/>
      <c r="H25" s="253">
        <f>SUM(H19:H24)</f>
        <v>111.97960799999998</v>
      </c>
      <c r="I25" s="269">
        <f t="shared" si="2"/>
        <v>1.9499999999999886</v>
      </c>
      <c r="J25" s="268">
        <f t="shared" si="3"/>
        <v>0.0156836305080188</v>
      </c>
    </row>
    <row r="26" spans="2:10" s="35" customFormat="1" ht="17.25" customHeight="1" thickBot="1">
      <c r="B26" s="82" t="s">
        <v>22</v>
      </c>
      <c r="C26" s="201"/>
      <c r="D26" s="201"/>
      <c r="E26" s="256">
        <f>E25*(1+0.13)</f>
        <v>124.33345703999998</v>
      </c>
      <c r="F26" s="201"/>
      <c r="G26" s="201"/>
      <c r="H26" s="256">
        <f>H25*(1+0.13)</f>
        <v>126.53695703999998</v>
      </c>
      <c r="I26" s="270">
        <f t="shared" si="2"/>
        <v>2.203499999999991</v>
      </c>
      <c r="J26" s="202">
        <f t="shared" si="3"/>
        <v>0.017722502474061277</v>
      </c>
    </row>
    <row r="27" spans="2:10" s="35" customFormat="1" ht="17.25" customHeight="1" thickBot="1">
      <c r="B27" s="283" t="s">
        <v>47</v>
      </c>
      <c r="C27" s="291">
        <v>0.1</v>
      </c>
      <c r="D27" s="204"/>
      <c r="E27" s="284">
        <f>-E26*C27</f>
        <v>-12.433345703999999</v>
      </c>
      <c r="F27" s="204"/>
      <c r="G27" s="204"/>
      <c r="H27" s="292">
        <f>-C27*H26</f>
        <v>-12.653695703999999</v>
      </c>
      <c r="I27" s="293">
        <f t="shared" si="2"/>
        <v>-0.22034999999999982</v>
      </c>
      <c r="J27" s="294">
        <f t="shared" si="3"/>
        <v>-0.0017722502474061333</v>
      </c>
    </row>
    <row r="28" spans="2:10" s="35" customFormat="1" ht="17.25" customHeight="1" thickBot="1">
      <c r="B28" s="13" t="s">
        <v>48</v>
      </c>
      <c r="C28" s="199"/>
      <c r="D28" s="199"/>
      <c r="E28" s="285">
        <f>SUM(E26:E27)</f>
        <v>111.90011133599998</v>
      </c>
      <c r="F28" s="199"/>
      <c r="G28" s="199"/>
      <c r="H28" s="285">
        <f>SUM(H26:H27)</f>
        <v>113.88326133599998</v>
      </c>
      <c r="I28" s="286">
        <f>H28-E28</f>
        <v>1.9831499999999949</v>
      </c>
      <c r="J28" s="272">
        <f>I28/E$28</f>
        <v>0.0177225024740613</v>
      </c>
    </row>
    <row r="29" spans="2:10" ht="12.75">
      <c r="B29" s="280"/>
      <c r="C29" s="280"/>
      <c r="D29" s="280"/>
      <c r="E29" s="280"/>
      <c r="F29" s="280"/>
      <c r="G29" s="280"/>
      <c r="H29" s="281"/>
      <c r="I29" s="280"/>
      <c r="J29" s="282"/>
    </row>
    <row r="30" spans="4:10" ht="12.75">
      <c r="D30" s="71"/>
      <c r="E30" s="69"/>
      <c r="F30" s="71"/>
      <c r="G30" s="71"/>
      <c r="H30" s="16"/>
      <c r="I30" s="19"/>
      <c r="J30" s="72"/>
    </row>
    <row r="31" spans="5:10" ht="12.75">
      <c r="E31" s="375" t="s">
        <v>57</v>
      </c>
      <c r="F31" s="375"/>
      <c r="G31" s="71"/>
      <c r="H31" s="16"/>
      <c r="I31" s="19"/>
      <c r="J31" s="72"/>
    </row>
    <row r="32" spans="2:11" ht="12.75">
      <c r="B32" s="58" t="s">
        <v>54</v>
      </c>
      <c r="E32" s="73"/>
      <c r="F32" s="71"/>
      <c r="G32" s="71"/>
      <c r="H32" s="16"/>
      <c r="I32" s="19"/>
      <c r="J32" s="72"/>
      <c r="K32" t="s">
        <v>56</v>
      </c>
    </row>
    <row r="33" spans="2:11" ht="12.75">
      <c r="B33" s="57"/>
      <c r="C33" s="58"/>
      <c r="E33" s="74">
        <f>+E22+E23+E24</f>
        <v>61.73340799999999</v>
      </c>
      <c r="F33" s="372" t="s">
        <v>23</v>
      </c>
      <c r="G33" s="372"/>
      <c r="H33" s="74">
        <f>+H22+H23+H24</f>
        <v>61.73340799999999</v>
      </c>
      <c r="I33" s="49">
        <f>+H33-E33</f>
        <v>0</v>
      </c>
      <c r="J33" s="50">
        <f aca="true" t="shared" si="4" ref="J33:J38">+I33/E33</f>
        <v>0</v>
      </c>
      <c r="K33" s="50">
        <f aca="true" t="shared" si="5" ref="K33:K38">+I33/$E$38</f>
        <v>0</v>
      </c>
    </row>
    <row r="34" spans="2:11" ht="12.75">
      <c r="B34" s="59" t="s">
        <v>25</v>
      </c>
      <c r="C34" s="59" t="str">
        <f>'PS SOUTH (TOU)'!C32</f>
        <v>Oct. 2010</v>
      </c>
      <c r="D34" s="59" t="str">
        <f>'PS SOUTH (TOU)'!D32</f>
        <v> Apr. 19, 2011</v>
      </c>
      <c r="E34" s="74">
        <f>+E19+E21</f>
        <v>36.952400000000004</v>
      </c>
      <c r="F34" s="372" t="s">
        <v>24</v>
      </c>
      <c r="G34" s="372"/>
      <c r="H34" s="74">
        <f>+H19+H21</f>
        <v>38.9024</v>
      </c>
      <c r="I34" s="49">
        <f>+H34-E34</f>
        <v>1.9499999999999957</v>
      </c>
      <c r="J34" s="50">
        <f t="shared" si="4"/>
        <v>0.05277059135536516</v>
      </c>
      <c r="K34" s="50">
        <f t="shared" si="5"/>
        <v>0.017426256120020953</v>
      </c>
    </row>
    <row r="35" spans="2:11" ht="12.75">
      <c r="B35" s="60" t="s">
        <v>26</v>
      </c>
      <c r="C35" s="61">
        <f>'PS SOUTH (TOU)'!C33</f>
        <v>0.533</v>
      </c>
      <c r="D35" s="61">
        <f>'PS SOUTH (TOU)'!D33</f>
        <v>0.64</v>
      </c>
      <c r="E35" s="74">
        <f>+E20</f>
        <v>11.343800000000002</v>
      </c>
      <c r="F35" s="372" t="s">
        <v>30</v>
      </c>
      <c r="G35" s="372"/>
      <c r="H35" s="74">
        <f>+H20</f>
        <v>11.343800000000002</v>
      </c>
      <c r="I35" s="49">
        <f>+H35-E35</f>
        <v>0</v>
      </c>
      <c r="J35" s="50">
        <f t="shared" si="4"/>
        <v>0</v>
      </c>
      <c r="K35" s="50">
        <f t="shared" si="5"/>
        <v>0</v>
      </c>
    </row>
    <row r="36" spans="2:11" ht="12.75">
      <c r="B36" s="62" t="s">
        <v>27</v>
      </c>
      <c r="C36" s="63">
        <f>'PS SOUTH (TOU)'!C34</f>
        <v>0.273</v>
      </c>
      <c r="D36" s="63">
        <f>'PS SOUTH (TOU)'!D34</f>
        <v>0.18</v>
      </c>
      <c r="E36" s="51">
        <f>+E26-E25</f>
        <v>14.303849039999989</v>
      </c>
      <c r="F36" s="372" t="s">
        <v>50</v>
      </c>
      <c r="G36" s="372"/>
      <c r="H36" s="51">
        <f>+H26-H25</f>
        <v>14.557349039999991</v>
      </c>
      <c r="I36" s="49">
        <f>+H36-E36</f>
        <v>0.2535000000000025</v>
      </c>
      <c r="J36" s="50">
        <f t="shared" si="4"/>
        <v>0.017722502474061534</v>
      </c>
      <c r="K36" s="50">
        <f t="shared" si="5"/>
        <v>0.0022654132956027515</v>
      </c>
    </row>
    <row r="37" spans="2:11" ht="12.75">
      <c r="B37" s="64" t="s">
        <v>28</v>
      </c>
      <c r="C37" s="65">
        <f>'PS SOUTH (TOU)'!C35</f>
        <v>0.194</v>
      </c>
      <c r="D37" s="65">
        <f>'PS SOUTH (TOU)'!D35</f>
        <v>0.18</v>
      </c>
      <c r="E37" s="74">
        <f>+E27</f>
        <v>-12.433345703999999</v>
      </c>
      <c r="F37" s="372" t="s">
        <v>51</v>
      </c>
      <c r="G37" s="372"/>
      <c r="H37" s="74">
        <f>+H27</f>
        <v>-12.653695703999999</v>
      </c>
      <c r="I37" s="49">
        <f>+H37-E37</f>
        <v>-0.22034999999999982</v>
      </c>
      <c r="J37" s="50">
        <f t="shared" si="4"/>
        <v>0.017722502474061333</v>
      </c>
      <c r="K37" s="50">
        <f t="shared" si="5"/>
        <v>-0.0019691669415623707</v>
      </c>
    </row>
    <row r="38" spans="2:11" ht="13.5" thickBot="1">
      <c r="B38" s="66"/>
      <c r="C38" s="67">
        <f>SUM(C35:C37)</f>
        <v>1</v>
      </c>
      <c r="D38" s="67">
        <f>SUM(D35:D37)</f>
        <v>1</v>
      </c>
      <c r="E38" s="49">
        <f>SUM(E33:E37)</f>
        <v>111.90011133599998</v>
      </c>
      <c r="F38" s="372" t="s">
        <v>52</v>
      </c>
      <c r="G38" s="372"/>
      <c r="H38" s="49">
        <f>SUM(H33:H37)</f>
        <v>113.88326133599999</v>
      </c>
      <c r="I38" s="49">
        <f>SUM(I33:I37)</f>
        <v>1.9831499999999984</v>
      </c>
      <c r="J38" s="75">
        <f t="shared" si="4"/>
        <v>0.017722502474061333</v>
      </c>
      <c r="K38" s="50">
        <f t="shared" si="5"/>
        <v>0.017722502474061333</v>
      </c>
    </row>
    <row r="39" spans="5:11" ht="13.5" thickTop="1">
      <c r="E39" s="28"/>
      <c r="H39" s="16"/>
      <c r="I39" s="29"/>
      <c r="J39" s="18"/>
      <c r="K39" s="29"/>
    </row>
    <row r="40" spans="2:11" ht="36" customHeight="1">
      <c r="B40" s="1" t="str">
        <f>B2</f>
        <v>POWERSTREAM NORTH </v>
      </c>
      <c r="E40" s="28"/>
      <c r="H40" s="16"/>
      <c r="I40" s="29"/>
      <c r="J40" s="18"/>
      <c r="K40" s="29"/>
    </row>
    <row r="41" spans="2:5" ht="15">
      <c r="B41" s="91" t="s">
        <v>74</v>
      </c>
      <c r="E41" s="28"/>
    </row>
    <row r="42" spans="2:5" ht="15">
      <c r="B42" s="2" t="s">
        <v>29</v>
      </c>
      <c r="E42" s="28"/>
    </row>
    <row r="43" spans="2:5" ht="13.5" thickBot="1">
      <c r="B43" s="3"/>
      <c r="E43" s="28"/>
    </row>
    <row r="44" spans="2:10" ht="12.75">
      <c r="B44" s="295"/>
      <c r="C44" s="296"/>
      <c r="D44" s="297"/>
      <c r="E44" s="298">
        <f>E7</f>
        <v>40664</v>
      </c>
      <c r="F44" s="299"/>
      <c r="G44" s="300"/>
      <c r="H44" s="301">
        <f>H7</f>
        <v>40878</v>
      </c>
      <c r="I44" s="4"/>
      <c r="J44" s="4"/>
    </row>
    <row r="45" spans="2:10" s="14" customFormat="1" ht="12.75">
      <c r="B45" s="160" t="s">
        <v>2</v>
      </c>
      <c r="C45" s="303">
        <v>2000</v>
      </c>
      <c r="D45" s="364" t="s">
        <v>77</v>
      </c>
      <c r="E45" s="304">
        <f>E8</f>
        <v>1.0565</v>
      </c>
      <c r="F45" s="305"/>
      <c r="G45" s="305"/>
      <c r="H45" s="306">
        <f>H8</f>
        <v>1.0565</v>
      </c>
      <c r="I45" s="55"/>
      <c r="J45" s="55"/>
    </row>
    <row r="46" spans="2:10" s="14" customFormat="1" ht="13.5" thickBot="1">
      <c r="B46" s="279"/>
      <c r="C46" s="308"/>
      <c r="D46" s="309"/>
      <c r="E46" s="310"/>
      <c r="F46" s="310"/>
      <c r="G46" s="311"/>
      <c r="H46" s="312"/>
      <c r="I46" s="55"/>
      <c r="J46" s="55"/>
    </row>
    <row r="47" spans="2:6" s="14" customFormat="1" ht="15" thickBot="1">
      <c r="B47" s="98"/>
      <c r="C47" s="98"/>
      <c r="F47" s="98"/>
    </row>
    <row r="48" spans="2:13" s="14" customFormat="1" ht="26.25" thickBot="1">
      <c r="B48" s="151"/>
      <c r="C48" s="368" t="str">
        <f>C11</f>
        <v>As of May 01, 2011</v>
      </c>
      <c r="D48" s="369"/>
      <c r="E48" s="370"/>
      <c r="F48" s="368" t="str">
        <f>F11</f>
        <v>As of Dec 01, 2011</v>
      </c>
      <c r="G48" s="369"/>
      <c r="H48" s="370"/>
      <c r="I48" s="99" t="str">
        <f>I11</f>
        <v>Bill Impact Dec 2011 to May 2011</v>
      </c>
      <c r="J48" s="100"/>
      <c r="K48" s="20" t="s">
        <v>3</v>
      </c>
      <c r="L48" s="313"/>
      <c r="M48" s="314" t="s">
        <v>66</v>
      </c>
    </row>
    <row r="49" spans="2:13" s="14" customFormat="1" ht="26.25" thickBot="1">
      <c r="B49" s="152"/>
      <c r="C49" s="101" t="s">
        <v>4</v>
      </c>
      <c r="D49" s="102" t="s">
        <v>5</v>
      </c>
      <c r="E49" s="103" t="s">
        <v>6</v>
      </c>
      <c r="F49" s="101" t="s">
        <v>4</v>
      </c>
      <c r="G49" s="102" t="s">
        <v>5</v>
      </c>
      <c r="H49" s="103" t="s">
        <v>6</v>
      </c>
      <c r="I49" s="277" t="s">
        <v>7</v>
      </c>
      <c r="J49" s="105" t="s">
        <v>8</v>
      </c>
      <c r="K49" s="22"/>
      <c r="L49" s="315" t="s">
        <v>67</v>
      </c>
      <c r="M49" s="356">
        <v>7.81</v>
      </c>
    </row>
    <row r="50" spans="2:13" s="35" customFormat="1" ht="17.25" customHeight="1">
      <c r="B50" s="106" t="s">
        <v>9</v>
      </c>
      <c r="C50" s="7">
        <v>1</v>
      </c>
      <c r="D50" s="107">
        <f>15.97+0.43</f>
        <v>16.400000000000002</v>
      </c>
      <c r="E50" s="108">
        <f aca="true" t="shared" si="6" ref="E50:E55">C50*D50</f>
        <v>16.400000000000002</v>
      </c>
      <c r="F50" s="7">
        <v>1</v>
      </c>
      <c r="G50" s="107">
        <f>15.97+0.43+M51</f>
        <v>28.94</v>
      </c>
      <c r="H50" s="108">
        <f aca="true" t="shared" si="7" ref="H50:H55">F50*G50</f>
        <v>28.94</v>
      </c>
      <c r="I50" s="287">
        <f aca="true" t="shared" si="8" ref="I50:I64">H50-E50</f>
        <v>12.54</v>
      </c>
      <c r="J50" s="183">
        <f aca="true" t="shared" si="9" ref="J50:J63">I50/E$63</f>
        <v>0.043459398086449295</v>
      </c>
      <c r="K50" s="288"/>
      <c r="L50" s="316" t="s">
        <v>68</v>
      </c>
      <c r="M50" s="357">
        <v>4.73</v>
      </c>
    </row>
    <row r="51" spans="2:13" s="35" customFormat="1" ht="17.25" customHeight="1">
      <c r="B51" s="109" t="s">
        <v>10</v>
      </c>
      <c r="C51" s="81">
        <f>C45</f>
        <v>2000</v>
      </c>
      <c r="D51" s="80">
        <f>0.0163+0.0007-0.0003</f>
        <v>0.016699999999999996</v>
      </c>
      <c r="E51" s="110">
        <f t="shared" si="6"/>
        <v>33.39999999999999</v>
      </c>
      <c r="F51" s="81">
        <f>C51</f>
        <v>2000</v>
      </c>
      <c r="G51" s="80">
        <f>0.0163+0.0007-0.0003</f>
        <v>0.016699999999999996</v>
      </c>
      <c r="H51" s="110">
        <f t="shared" si="7"/>
        <v>33.39999999999999</v>
      </c>
      <c r="I51" s="287">
        <f t="shared" si="8"/>
        <v>0</v>
      </c>
      <c r="J51" s="186">
        <f t="shared" si="9"/>
        <v>0</v>
      </c>
      <c r="K51" s="288"/>
      <c r="L51" s="317" t="s">
        <v>52</v>
      </c>
      <c r="M51" s="358">
        <f>SUM(M49:M50)</f>
        <v>12.54</v>
      </c>
    </row>
    <row r="52" spans="2:10" s="35" customFormat="1" ht="17.25" customHeight="1">
      <c r="B52" s="109" t="s">
        <v>11</v>
      </c>
      <c r="C52" s="81">
        <v>0</v>
      </c>
      <c r="D52" s="107"/>
      <c r="E52" s="110">
        <f t="shared" si="6"/>
        <v>0</v>
      </c>
      <c r="F52" s="81">
        <f>G46</f>
        <v>0</v>
      </c>
      <c r="G52" s="107"/>
      <c r="H52" s="110">
        <f t="shared" si="7"/>
        <v>0</v>
      </c>
      <c r="I52" s="287">
        <f t="shared" si="8"/>
        <v>0</v>
      </c>
      <c r="J52" s="186">
        <f t="shared" si="9"/>
        <v>0</v>
      </c>
    </row>
    <row r="53" spans="2:10" s="35" customFormat="1" ht="17.25" customHeight="1">
      <c r="B53" s="109" t="s">
        <v>12</v>
      </c>
      <c r="C53" s="81">
        <f>C45</f>
        <v>2000</v>
      </c>
      <c r="D53" s="80">
        <v>0.0001</v>
      </c>
      <c r="E53" s="110">
        <f t="shared" si="6"/>
        <v>0.2</v>
      </c>
      <c r="F53" s="81">
        <f>C53</f>
        <v>2000</v>
      </c>
      <c r="G53" s="80">
        <v>0.0001</v>
      </c>
      <c r="H53" s="110">
        <f t="shared" si="7"/>
        <v>0.2</v>
      </c>
      <c r="I53" s="287">
        <f t="shared" si="8"/>
        <v>0</v>
      </c>
      <c r="J53" s="186">
        <f t="shared" si="9"/>
        <v>0</v>
      </c>
    </row>
    <row r="54" spans="2:10" s="35" customFormat="1" ht="17.25" customHeight="1">
      <c r="B54" s="111" t="s">
        <v>13</v>
      </c>
      <c r="C54" s="81">
        <f>C45</f>
        <v>2000</v>
      </c>
      <c r="D54" s="80">
        <v>0</v>
      </c>
      <c r="E54" s="129">
        <f t="shared" si="6"/>
        <v>0</v>
      </c>
      <c r="F54" s="81">
        <f>C54</f>
        <v>2000</v>
      </c>
      <c r="G54" s="80">
        <v>0</v>
      </c>
      <c r="H54" s="110">
        <f t="shared" si="7"/>
        <v>0</v>
      </c>
      <c r="I54" s="287">
        <f t="shared" si="8"/>
        <v>0</v>
      </c>
      <c r="J54" s="186">
        <f t="shared" si="9"/>
        <v>0</v>
      </c>
    </row>
    <row r="55" spans="2:10" s="35" customFormat="1" ht="17.25" customHeight="1" thickBot="1">
      <c r="B55" s="112" t="s">
        <v>14</v>
      </c>
      <c r="C55" s="113">
        <f>+C52</f>
        <v>0</v>
      </c>
      <c r="D55" s="80">
        <v>0</v>
      </c>
      <c r="E55" s="110">
        <f t="shared" si="6"/>
        <v>0</v>
      </c>
      <c r="F55" s="113">
        <f>+F52</f>
        <v>0</v>
      </c>
      <c r="G55" s="80">
        <v>0</v>
      </c>
      <c r="H55" s="110">
        <f t="shared" si="7"/>
        <v>0</v>
      </c>
      <c r="I55" s="290">
        <f t="shared" si="8"/>
        <v>0</v>
      </c>
      <c r="J55" s="190">
        <f t="shared" si="9"/>
        <v>0</v>
      </c>
    </row>
    <row r="56" spans="2:10" s="35" customFormat="1" ht="17.25" customHeight="1" thickBot="1">
      <c r="B56" s="8" t="s">
        <v>15</v>
      </c>
      <c r="C56" s="368"/>
      <c r="D56" s="371"/>
      <c r="E56" s="9">
        <f>SUM(E50:E55)</f>
        <v>50</v>
      </c>
      <c r="F56" s="368"/>
      <c r="G56" s="371"/>
      <c r="H56" s="9">
        <f>SUM(H50:H55)</f>
        <v>62.53999999999999</v>
      </c>
      <c r="I56" s="216">
        <f t="shared" si="8"/>
        <v>12.539999999999992</v>
      </c>
      <c r="J56" s="192">
        <f t="shared" si="9"/>
        <v>0.04345939808644927</v>
      </c>
    </row>
    <row r="57" spans="2:10" s="35" customFormat="1" ht="17.25" customHeight="1">
      <c r="B57" s="114" t="s">
        <v>16</v>
      </c>
      <c r="C57" s="115">
        <f>C51*E45</f>
        <v>2113</v>
      </c>
      <c r="D57" s="79">
        <f>D20</f>
        <v>0.0135</v>
      </c>
      <c r="E57" s="116">
        <f>+(D57-0.007)*C57+$C45*0.007+0.25</f>
        <v>27.984499999999997</v>
      </c>
      <c r="F57" s="115">
        <f>F51*H45</f>
        <v>2113</v>
      </c>
      <c r="G57" s="79">
        <f>G20</f>
        <v>0.0135</v>
      </c>
      <c r="H57" s="117">
        <f>+(G57-0.007)*F57+$C45*0.007+0.25</f>
        <v>27.984499999999997</v>
      </c>
      <c r="I57" s="287">
        <f t="shared" si="8"/>
        <v>0</v>
      </c>
      <c r="J57" s="183">
        <f t="shared" si="9"/>
        <v>0</v>
      </c>
    </row>
    <row r="58" spans="2:10" s="35" customFormat="1" ht="17.25" customHeight="1">
      <c r="B58" s="118" t="s">
        <v>17</v>
      </c>
      <c r="C58" s="10">
        <f>IF(C52=0,C51*E45,C52)</f>
        <v>2113</v>
      </c>
      <c r="D58" s="119">
        <f>0.006+0.0049</f>
        <v>0.0109</v>
      </c>
      <c r="E58" s="120">
        <f>C58*D58</f>
        <v>23.0317</v>
      </c>
      <c r="F58" s="27">
        <f>IF(F52=0,F51*H45,F52)</f>
        <v>2113</v>
      </c>
      <c r="G58" s="119">
        <f>0.006+0.0049</f>
        <v>0.0109</v>
      </c>
      <c r="H58" s="121">
        <f>F58*G58</f>
        <v>23.0317</v>
      </c>
      <c r="I58" s="287">
        <f t="shared" si="8"/>
        <v>0</v>
      </c>
      <c r="J58" s="186">
        <f t="shared" si="9"/>
        <v>0</v>
      </c>
    </row>
    <row r="59" spans="2:10" s="35" customFormat="1" ht="17.25" customHeight="1">
      <c r="B59" s="111" t="s">
        <v>18</v>
      </c>
      <c r="C59" s="10">
        <f>C$57*D35</f>
        <v>1352.32</v>
      </c>
      <c r="D59" s="43">
        <f>D22</f>
        <v>0.059</v>
      </c>
      <c r="E59" s="122">
        <f>C59*D59</f>
        <v>79.78688</v>
      </c>
      <c r="F59" s="27">
        <f>+$F$57*D35</f>
        <v>1352.32</v>
      </c>
      <c r="G59" s="43">
        <f>G22</f>
        <v>0.059</v>
      </c>
      <c r="H59" s="123">
        <f>F59*G59</f>
        <v>79.78688</v>
      </c>
      <c r="I59" s="287">
        <f t="shared" si="8"/>
        <v>0</v>
      </c>
      <c r="J59" s="186">
        <f t="shared" si="9"/>
        <v>0</v>
      </c>
    </row>
    <row r="60" spans="2:10" s="35" customFormat="1" ht="17.25" customHeight="1">
      <c r="B60" s="111" t="s">
        <v>19</v>
      </c>
      <c r="C60" s="10">
        <f>C$57*D36</f>
        <v>380.34</v>
      </c>
      <c r="D60" s="43">
        <f>D23</f>
        <v>0.089</v>
      </c>
      <c r="E60" s="122">
        <f>D60*C60</f>
        <v>33.85026</v>
      </c>
      <c r="F60" s="27">
        <f>+$F$57*D36</f>
        <v>380.34</v>
      </c>
      <c r="G60" s="45">
        <f>G23</f>
        <v>0.089</v>
      </c>
      <c r="H60" s="123">
        <f>F60*G60</f>
        <v>33.85026</v>
      </c>
      <c r="I60" s="287">
        <f t="shared" si="8"/>
        <v>0</v>
      </c>
      <c r="J60" s="186">
        <f t="shared" si="9"/>
        <v>0</v>
      </c>
    </row>
    <row r="61" spans="2:10" s="35" customFormat="1" ht="17.25" customHeight="1" thickBot="1">
      <c r="B61" s="134" t="s">
        <v>20</v>
      </c>
      <c r="C61" s="11">
        <f>C$57*D37</f>
        <v>380.34</v>
      </c>
      <c r="D61" s="43">
        <f>D24</f>
        <v>0.107</v>
      </c>
      <c r="E61" s="122">
        <f>C61*D61</f>
        <v>40.69638</v>
      </c>
      <c r="F61" s="124">
        <f>+$F$57*D37</f>
        <v>380.34</v>
      </c>
      <c r="G61" s="44">
        <f>G24</f>
        <v>0.107</v>
      </c>
      <c r="H61" s="123">
        <f>F61*G61</f>
        <v>40.69638</v>
      </c>
      <c r="I61" s="287">
        <f t="shared" si="8"/>
        <v>0</v>
      </c>
      <c r="J61" s="200">
        <f t="shared" si="9"/>
        <v>0</v>
      </c>
    </row>
    <row r="62" spans="2:10" s="196" customFormat="1" ht="17.25" customHeight="1" thickBot="1">
      <c r="B62" s="12" t="s">
        <v>21</v>
      </c>
      <c r="C62" s="252"/>
      <c r="D62" s="252"/>
      <c r="E62" s="253">
        <f>SUM(E56:E61)</f>
        <v>255.34972</v>
      </c>
      <c r="F62" s="195"/>
      <c r="G62" s="195"/>
      <c r="H62" s="253">
        <f>SUM(H56:H61)</f>
        <v>267.88971999999995</v>
      </c>
      <c r="I62" s="269">
        <f t="shared" si="8"/>
        <v>12.539999999999964</v>
      </c>
      <c r="J62" s="268">
        <f t="shared" si="9"/>
        <v>0.04345939808644917</v>
      </c>
    </row>
    <row r="63" spans="2:10" s="35" customFormat="1" ht="17.25" customHeight="1" thickBot="1">
      <c r="B63" s="82" t="s">
        <v>22</v>
      </c>
      <c r="C63" s="201"/>
      <c r="D63" s="201"/>
      <c r="E63" s="256">
        <f>E62*(1+0.13)</f>
        <v>288.5451836</v>
      </c>
      <c r="F63" s="201"/>
      <c r="G63" s="201"/>
      <c r="H63" s="256">
        <f>H62*(1+0.13)</f>
        <v>302.71538359999994</v>
      </c>
      <c r="I63" s="270">
        <f t="shared" si="8"/>
        <v>14.170199999999966</v>
      </c>
      <c r="J63" s="202">
        <f t="shared" si="9"/>
        <v>0.049109119837687586</v>
      </c>
    </row>
    <row r="64" spans="2:10" s="35" customFormat="1" ht="17.25" customHeight="1" thickBot="1">
      <c r="B64" s="283" t="s">
        <v>47</v>
      </c>
      <c r="C64" s="291">
        <v>0.1</v>
      </c>
      <c r="D64" s="204"/>
      <c r="E64" s="284">
        <f>-E63*C64</f>
        <v>-28.85451836</v>
      </c>
      <c r="F64" s="204"/>
      <c r="G64" s="204"/>
      <c r="H64" s="292">
        <f>-C64*H63</f>
        <v>-30.271538359999994</v>
      </c>
      <c r="I64" s="293">
        <f t="shared" si="8"/>
        <v>-1.4170199999999937</v>
      </c>
      <c r="J64" s="294">
        <f>I64/E$26</f>
        <v>-0.011396932360242478</v>
      </c>
    </row>
    <row r="65" spans="2:10" s="35" customFormat="1" ht="17.25" customHeight="1" thickBot="1">
      <c r="B65" s="13" t="s">
        <v>48</v>
      </c>
      <c r="C65" s="199"/>
      <c r="D65" s="199"/>
      <c r="E65" s="285">
        <f>SUM(E63:E64)</f>
        <v>259.69066524</v>
      </c>
      <c r="F65" s="199"/>
      <c r="G65" s="199"/>
      <c r="H65" s="285">
        <f>SUM(H63:H64)</f>
        <v>272.44384524</v>
      </c>
      <c r="I65" s="286">
        <f>H65-E65</f>
        <v>12.753179999999986</v>
      </c>
      <c r="J65" s="272">
        <f>I65/E65</f>
        <v>0.04910911983768765</v>
      </c>
    </row>
    <row r="66" ht="12.75">
      <c r="H66" s="26"/>
    </row>
    <row r="67" spans="5:10" ht="12.75" hidden="1" outlineLevel="1">
      <c r="E67" s="78" t="s">
        <v>57</v>
      </c>
      <c r="F67" s="78"/>
      <c r="H67" s="77"/>
      <c r="I67" s="71"/>
      <c r="J67" s="71"/>
    </row>
    <row r="68" spans="5:11" ht="12.75" hidden="1" outlineLevel="1">
      <c r="E68" s="71"/>
      <c r="F68" s="78"/>
      <c r="G68" s="78"/>
      <c r="H68" s="77"/>
      <c r="I68" s="71"/>
      <c r="J68" s="71"/>
      <c r="K68" s="71" t="s">
        <v>56</v>
      </c>
    </row>
    <row r="69" spans="5:11" ht="12.75" hidden="1" outlineLevel="1">
      <c r="E69" s="74">
        <f>+E59+E60+E61</f>
        <v>154.33352</v>
      </c>
      <c r="F69" s="372" t="s">
        <v>23</v>
      </c>
      <c r="G69" s="372"/>
      <c r="H69" s="74">
        <f>+H59+H60+H61</f>
        <v>154.33352</v>
      </c>
      <c r="I69" s="49">
        <f>+H69-E69</f>
        <v>0</v>
      </c>
      <c r="J69" s="50">
        <f aca="true" t="shared" si="10" ref="J69:J74">+I69/E69</f>
        <v>0</v>
      </c>
      <c r="K69" s="76">
        <f aca="true" t="shared" si="11" ref="K69:K74">+I69/$E$38</f>
        <v>0</v>
      </c>
    </row>
    <row r="70" spans="5:11" ht="12.75" hidden="1" outlineLevel="1">
      <c r="E70" s="74">
        <f>+E56+E58</f>
        <v>73.0317</v>
      </c>
      <c r="F70" s="372" t="s">
        <v>24</v>
      </c>
      <c r="G70" s="372"/>
      <c r="H70" s="74">
        <f>+H56+H58</f>
        <v>85.57169999999999</v>
      </c>
      <c r="I70" s="49">
        <f>+H70-E70</f>
        <v>12.539999999999992</v>
      </c>
      <c r="J70" s="50">
        <f t="shared" si="10"/>
        <v>0.1717062590628452</v>
      </c>
      <c r="K70" s="76">
        <f t="shared" si="11"/>
        <v>0.11206423166413493</v>
      </c>
    </row>
    <row r="71" spans="5:11" ht="12.75" hidden="1" outlineLevel="1">
      <c r="E71" s="74">
        <f>+E57</f>
        <v>27.984499999999997</v>
      </c>
      <c r="F71" s="372" t="s">
        <v>30</v>
      </c>
      <c r="G71" s="372"/>
      <c r="H71" s="74">
        <f>+H57</f>
        <v>27.984499999999997</v>
      </c>
      <c r="I71" s="49">
        <f>+H71-E71</f>
        <v>0</v>
      </c>
      <c r="J71" s="50">
        <f t="shared" si="10"/>
        <v>0</v>
      </c>
      <c r="K71" s="76">
        <f t="shared" si="11"/>
        <v>0</v>
      </c>
    </row>
    <row r="72" spans="5:11" ht="12.75" hidden="1" outlineLevel="1">
      <c r="E72" s="51">
        <f>+E63-E62</f>
        <v>33.19546359999998</v>
      </c>
      <c r="F72" s="372" t="s">
        <v>50</v>
      </c>
      <c r="G72" s="372"/>
      <c r="H72" s="51">
        <f>+H63-H62</f>
        <v>34.825663599999984</v>
      </c>
      <c r="I72" s="49">
        <f>+H72-E72</f>
        <v>1.630200000000002</v>
      </c>
      <c r="J72" s="50">
        <f t="shared" si="10"/>
        <v>0.049109119837687794</v>
      </c>
      <c r="K72" s="76">
        <f t="shared" si="11"/>
        <v>0.014568350116337567</v>
      </c>
    </row>
    <row r="73" spans="5:11" ht="12.75" hidden="1" outlineLevel="1">
      <c r="E73" s="74">
        <f>+E64</f>
        <v>-28.85451836</v>
      </c>
      <c r="F73" s="372" t="s">
        <v>51</v>
      </c>
      <c r="G73" s="372"/>
      <c r="H73" s="74">
        <f>+H64</f>
        <v>-30.271538359999994</v>
      </c>
      <c r="I73" s="49">
        <f>+H73-E73</f>
        <v>-1.4170199999999937</v>
      </c>
      <c r="J73" s="50">
        <f t="shared" si="10"/>
        <v>0.04910911983768748</v>
      </c>
      <c r="K73" s="76">
        <f t="shared" si="11"/>
        <v>-0.012663258178047199</v>
      </c>
    </row>
    <row r="74" spans="5:11" ht="12.75" hidden="1" outlineLevel="1">
      <c r="E74" s="49">
        <f>SUM(E69:E73)</f>
        <v>259.69066524</v>
      </c>
      <c r="F74" s="372" t="s">
        <v>52</v>
      </c>
      <c r="G74" s="372"/>
      <c r="H74" s="49">
        <f>SUM(H69:H73)</f>
        <v>272.44384524</v>
      </c>
      <c r="I74" s="49">
        <f>SUM(I69:I73)</f>
        <v>12.75318</v>
      </c>
      <c r="J74" s="50">
        <f t="shared" si="10"/>
        <v>0.049109119837687704</v>
      </c>
      <c r="K74" s="76">
        <f t="shared" si="11"/>
        <v>0.11396932360242529</v>
      </c>
    </row>
    <row r="75" ht="12.75" collapsed="1"/>
  </sheetData>
  <sheetProtection/>
  <mergeCells count="21">
    <mergeCell ref="F73:G73"/>
    <mergeCell ref="F74:G74"/>
    <mergeCell ref="F69:G69"/>
    <mergeCell ref="F70:G70"/>
    <mergeCell ref="F71:G71"/>
    <mergeCell ref="F72:G72"/>
    <mergeCell ref="C19:D19"/>
    <mergeCell ref="C11:E11"/>
    <mergeCell ref="C48:E48"/>
    <mergeCell ref="E31:F31"/>
    <mergeCell ref="F11:H11"/>
    <mergeCell ref="F19:G19"/>
    <mergeCell ref="F48:H48"/>
    <mergeCell ref="F33:G33"/>
    <mergeCell ref="F38:G38"/>
    <mergeCell ref="F34:G34"/>
    <mergeCell ref="F35:G35"/>
    <mergeCell ref="F36:G36"/>
    <mergeCell ref="F37:G37"/>
    <mergeCell ref="C56:D56"/>
    <mergeCell ref="F56:G56"/>
  </mergeCells>
  <printOptions horizontalCentered="1"/>
  <pageMargins left="0.38" right="0.16" top="0.37" bottom="0.26" header="0.22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B2:Q60"/>
  <sheetViews>
    <sheetView view="pageBreakPreview" zoomScale="60" zoomScaleNormal="85" zoomScalePageLayoutView="0" workbookViewId="0" topLeftCell="B22">
      <selection activeCell="C40" sqref="C40:E40"/>
    </sheetView>
  </sheetViews>
  <sheetFormatPr defaultColWidth="9.140625" defaultRowHeight="12.75"/>
  <cols>
    <col min="1" max="1" width="3.8515625" style="14" hidden="1" customWidth="1"/>
    <col min="2" max="2" width="31.57421875" style="14" customWidth="1"/>
    <col min="3" max="3" width="9.7109375" style="14" bestFit="1" customWidth="1"/>
    <col min="4" max="4" width="12.140625" style="14" customWidth="1"/>
    <col min="5" max="5" width="14.57421875" style="14" customWidth="1"/>
    <col min="6" max="6" width="9.7109375" style="14" bestFit="1" customWidth="1"/>
    <col min="7" max="7" width="12.140625" style="14" customWidth="1"/>
    <col min="8" max="8" width="14.57421875" style="14" customWidth="1"/>
    <col min="9" max="9" width="11.00390625" style="89" customWidth="1"/>
    <col min="10" max="10" width="9.421875" style="14" customWidth="1"/>
    <col min="11" max="12" width="9.140625" style="14" customWidth="1"/>
    <col min="13" max="13" width="13.00390625" style="14" bestFit="1" customWidth="1"/>
    <col min="14" max="14" width="12.8515625" style="14" bestFit="1" customWidth="1"/>
    <col min="15" max="15" width="11.57421875" style="14" bestFit="1" customWidth="1"/>
    <col min="16" max="16" width="9.421875" style="14" bestFit="1" customWidth="1"/>
    <col min="17" max="17" width="9.28125" style="14" bestFit="1" customWidth="1"/>
    <col min="18" max="16384" width="9.140625" style="14" customWidth="1"/>
  </cols>
  <sheetData>
    <row r="2" spans="2:7" ht="31.5" customHeight="1">
      <c r="B2" s="87" t="s">
        <v>72</v>
      </c>
      <c r="G2" s="88"/>
    </row>
    <row r="3" spans="2:5" ht="12.75" customHeight="1">
      <c r="B3" s="87"/>
      <c r="E3" s="90"/>
    </row>
    <row r="4" spans="2:5" ht="15">
      <c r="B4" s="91" t="s">
        <v>75</v>
      </c>
      <c r="E4" s="90"/>
    </row>
    <row r="5" spans="2:8" ht="15">
      <c r="B5" s="91" t="s">
        <v>0</v>
      </c>
      <c r="E5" s="92"/>
      <c r="H5" s="90"/>
    </row>
    <row r="6" ht="13.5" thickBot="1">
      <c r="B6" s="88"/>
    </row>
    <row r="7" spans="2:9" s="55" customFormat="1" ht="12.75">
      <c r="B7" s="154"/>
      <c r="C7" s="155"/>
      <c r="D7" s="156"/>
      <c r="E7" s="163">
        <v>40664</v>
      </c>
      <c r="F7" s="164"/>
      <c r="G7" s="165"/>
      <c r="H7" s="166">
        <v>40848</v>
      </c>
      <c r="I7" s="93"/>
    </row>
    <row r="8" spans="2:9" s="55" customFormat="1" ht="12.75">
      <c r="B8" s="160" t="s">
        <v>2</v>
      </c>
      <c r="C8" s="16">
        <v>800</v>
      </c>
      <c r="D8" s="364" t="s">
        <v>77</v>
      </c>
      <c r="E8" s="167">
        <v>1.0299</v>
      </c>
      <c r="F8" s="136"/>
      <c r="G8" s="136"/>
      <c r="H8" s="168">
        <f>E8</f>
        <v>1.0299</v>
      </c>
      <c r="I8" s="93"/>
    </row>
    <row r="9" spans="2:9" s="55" customFormat="1" ht="13.5" thickBot="1">
      <c r="B9" s="161"/>
      <c r="C9" s="157"/>
      <c r="D9" s="365" t="s">
        <v>78</v>
      </c>
      <c r="E9" s="169">
        <v>600</v>
      </c>
      <c r="F9" s="169"/>
      <c r="G9" s="170"/>
      <c r="H9" s="171">
        <v>600</v>
      </c>
      <c r="I9" s="93"/>
    </row>
    <row r="10" spans="2:6" ht="15" thickBot="1">
      <c r="B10" s="98"/>
      <c r="C10" s="98"/>
      <c r="F10" s="98"/>
    </row>
    <row r="11" spans="2:10" ht="39.75" customHeight="1" thickBot="1">
      <c r="B11" s="151"/>
      <c r="C11" s="368" t="str">
        <f>CONCATENATE("As of ",TEXT(E7,"MMM DD, YYYY"))</f>
        <v>As of May 01, 2011</v>
      </c>
      <c r="D11" s="369"/>
      <c r="E11" s="370"/>
      <c r="F11" s="368" t="str">
        <f>CONCATENATE("As of ",TEXT(H7,"MMM DD, YYYY"))</f>
        <v>As of Nov 01, 2011</v>
      </c>
      <c r="G11" s="369"/>
      <c r="H11" s="370"/>
      <c r="I11" s="99" t="str">
        <f>"Bill Impact "&amp;TEXT(H7,"MMM YYYY")&amp;" to "&amp;TEXT(E7,"MMM YYYY")</f>
        <v>Bill Impact Nov 2011 to May 2011</v>
      </c>
      <c r="J11" s="100"/>
    </row>
    <row r="12" spans="2:10" ht="26.25" thickBot="1">
      <c r="B12" s="152"/>
      <c r="C12" s="101" t="s">
        <v>4</v>
      </c>
      <c r="D12" s="102" t="s">
        <v>5</v>
      </c>
      <c r="E12" s="103" t="s">
        <v>6</v>
      </c>
      <c r="F12" s="101" t="s">
        <v>4</v>
      </c>
      <c r="G12" s="102" t="s">
        <v>5</v>
      </c>
      <c r="H12" s="103" t="s">
        <v>6</v>
      </c>
      <c r="I12" s="104" t="s">
        <v>7</v>
      </c>
      <c r="J12" s="105" t="s">
        <v>8</v>
      </c>
    </row>
    <row r="13" spans="2:10" s="35" customFormat="1" ht="17.25" customHeight="1">
      <c r="B13" s="106" t="s">
        <v>9</v>
      </c>
      <c r="C13" s="7">
        <v>1</v>
      </c>
      <c r="D13" s="107">
        <f>11.89+0.16+1.28</f>
        <v>13.33</v>
      </c>
      <c r="E13" s="108">
        <f aca="true" t="shared" si="0" ref="E13:E18">C13*D13</f>
        <v>13.33</v>
      </c>
      <c r="F13" s="7">
        <v>1</v>
      </c>
      <c r="G13" s="107">
        <f>'PS SOUTH (TOU)'!G13</f>
        <v>10.32</v>
      </c>
      <c r="H13" s="108">
        <f aca="true" t="shared" si="1" ref="H13:H18">F13*G13</f>
        <v>10.32</v>
      </c>
      <c r="I13" s="214">
        <f aca="true" t="shared" si="2" ref="I13:I25">H13-E13</f>
        <v>-3.01</v>
      </c>
      <c r="J13" s="183">
        <f aca="true" t="shared" si="3" ref="J13:J25">I13/E$25</f>
        <v>-0.026331605656907894</v>
      </c>
    </row>
    <row r="14" spans="2:10" s="35" customFormat="1" ht="17.25" customHeight="1">
      <c r="B14" s="109" t="s">
        <v>10</v>
      </c>
      <c r="C14" s="81">
        <f>C8</f>
        <v>800</v>
      </c>
      <c r="D14" s="80">
        <f>0.0134+0.0001-0.0003</f>
        <v>0.0132</v>
      </c>
      <c r="E14" s="110">
        <f t="shared" si="0"/>
        <v>10.56</v>
      </c>
      <c r="F14" s="81">
        <f>C14</f>
        <v>800</v>
      </c>
      <c r="G14" s="80">
        <f>0.0134+0.0001-0.0003</f>
        <v>0.0132</v>
      </c>
      <c r="H14" s="110">
        <f t="shared" si="1"/>
        <v>10.56</v>
      </c>
      <c r="I14" s="214">
        <f t="shared" si="2"/>
        <v>0</v>
      </c>
      <c r="J14" s="186">
        <f t="shared" si="3"/>
        <v>0</v>
      </c>
    </row>
    <row r="15" spans="2:10" s="35" customFormat="1" ht="17.25" customHeight="1">
      <c r="B15" s="109" t="s">
        <v>11</v>
      </c>
      <c r="C15" s="81">
        <v>0</v>
      </c>
      <c r="D15" s="80">
        <v>0</v>
      </c>
      <c r="E15" s="110">
        <f t="shared" si="0"/>
        <v>0</v>
      </c>
      <c r="F15" s="81">
        <f>G9</f>
        <v>0</v>
      </c>
      <c r="G15" s="80">
        <v>0</v>
      </c>
      <c r="H15" s="110">
        <f t="shared" si="1"/>
        <v>0</v>
      </c>
      <c r="I15" s="214">
        <f t="shared" si="2"/>
        <v>0</v>
      </c>
      <c r="J15" s="186">
        <f t="shared" si="3"/>
        <v>0</v>
      </c>
    </row>
    <row r="16" spans="2:10" s="35" customFormat="1" ht="17.25" customHeight="1">
      <c r="B16" s="109" t="s">
        <v>12</v>
      </c>
      <c r="C16" s="81">
        <f>C14</f>
        <v>800</v>
      </c>
      <c r="D16" s="80">
        <v>0.0002</v>
      </c>
      <c r="E16" s="110">
        <f t="shared" si="0"/>
        <v>0.16</v>
      </c>
      <c r="F16" s="81">
        <f>C16</f>
        <v>800</v>
      </c>
      <c r="G16" s="80">
        <v>0.0002</v>
      </c>
      <c r="H16" s="110">
        <f t="shared" si="1"/>
        <v>0.16</v>
      </c>
      <c r="I16" s="214">
        <f t="shared" si="2"/>
        <v>0</v>
      </c>
      <c r="J16" s="186">
        <f t="shared" si="3"/>
        <v>0</v>
      </c>
    </row>
    <row r="17" spans="2:10" s="35" customFormat="1" ht="17.25" customHeight="1">
      <c r="B17" s="111" t="s">
        <v>13</v>
      </c>
      <c r="C17" s="81">
        <f>C14</f>
        <v>800</v>
      </c>
      <c r="D17" s="80"/>
      <c r="E17" s="110">
        <f t="shared" si="0"/>
        <v>0</v>
      </c>
      <c r="F17" s="81">
        <f>C17</f>
        <v>800</v>
      </c>
      <c r="G17" s="80"/>
      <c r="H17" s="110">
        <f t="shared" si="1"/>
        <v>0</v>
      </c>
      <c r="I17" s="214">
        <f t="shared" si="2"/>
        <v>0</v>
      </c>
      <c r="J17" s="186">
        <f t="shared" si="3"/>
        <v>0</v>
      </c>
    </row>
    <row r="18" spans="2:10" s="35" customFormat="1" ht="17.25" customHeight="1" thickBot="1">
      <c r="B18" s="112" t="s">
        <v>14</v>
      </c>
      <c r="C18" s="113">
        <v>0</v>
      </c>
      <c r="D18" s="107">
        <v>0</v>
      </c>
      <c r="E18" s="110">
        <f t="shared" si="0"/>
        <v>0</v>
      </c>
      <c r="F18" s="113">
        <f>+F15</f>
        <v>0</v>
      </c>
      <c r="G18" s="107">
        <v>0</v>
      </c>
      <c r="H18" s="110">
        <f t="shared" si="1"/>
        <v>0</v>
      </c>
      <c r="I18" s="261">
        <f t="shared" si="2"/>
        <v>0</v>
      </c>
      <c r="J18" s="200">
        <f t="shared" si="3"/>
        <v>0</v>
      </c>
    </row>
    <row r="19" spans="2:17" s="35" customFormat="1" ht="17.25" customHeight="1" thickBot="1">
      <c r="B19" s="8" t="s">
        <v>15</v>
      </c>
      <c r="C19" s="368"/>
      <c r="D19" s="371"/>
      <c r="E19" s="9">
        <f>SUM(E13:E18)</f>
        <v>24.05</v>
      </c>
      <c r="F19" s="368"/>
      <c r="G19" s="371"/>
      <c r="H19" s="9">
        <f>SUM(H13:H18)</f>
        <v>21.040000000000003</v>
      </c>
      <c r="I19" s="262">
        <f t="shared" si="2"/>
        <v>-3.009999999999998</v>
      </c>
      <c r="J19" s="263">
        <f t="shared" si="3"/>
        <v>-0.026331605656907876</v>
      </c>
      <c r="M19" s="264">
        <f>E7</f>
        <v>40664</v>
      </c>
      <c r="N19" s="264">
        <f>H7</f>
        <v>40848</v>
      </c>
      <c r="Q19" s="35" t="s">
        <v>56</v>
      </c>
    </row>
    <row r="20" spans="2:17" s="35" customFormat="1" ht="17.25" customHeight="1">
      <c r="B20" s="114" t="s">
        <v>16</v>
      </c>
      <c r="C20" s="115">
        <f>C14*E8</f>
        <v>823.9200000000001</v>
      </c>
      <c r="D20" s="79">
        <v>0.0135</v>
      </c>
      <c r="E20" s="116">
        <f>+(D20-0.007)*C20+$C8*0.007+0.25</f>
        <v>11.205480000000001</v>
      </c>
      <c r="F20" s="115">
        <f>F14*H8</f>
        <v>823.9200000000001</v>
      </c>
      <c r="G20" s="79">
        <v>0.0135</v>
      </c>
      <c r="H20" s="117">
        <f>+(G20-0.007)*F20+$C8*0.007+0.25</f>
        <v>11.205480000000001</v>
      </c>
      <c r="I20" s="214">
        <f t="shared" si="2"/>
        <v>0</v>
      </c>
      <c r="J20" s="183">
        <f t="shared" si="3"/>
        <v>0</v>
      </c>
      <c r="L20" s="35" t="s">
        <v>23</v>
      </c>
      <c r="M20" s="265">
        <f>E22+E23</f>
        <v>58.48968000000001</v>
      </c>
      <c r="N20" s="265">
        <f>H22+H23</f>
        <v>58.48968000000001</v>
      </c>
      <c r="O20" s="265">
        <f aca="true" t="shared" si="4" ref="O20:O27">N20-M20</f>
        <v>0</v>
      </c>
      <c r="P20" s="251">
        <f aca="true" t="shared" si="5" ref="P20:P27">O20/M20</f>
        <v>0</v>
      </c>
      <c r="Q20" s="266">
        <f>O20/E27</f>
        <v>0</v>
      </c>
    </row>
    <row r="21" spans="2:16" s="35" customFormat="1" ht="17.25" customHeight="1">
      <c r="B21" s="118" t="s">
        <v>17</v>
      </c>
      <c r="C21" s="10">
        <f>IF(C15=0,C14*E8,C15)</f>
        <v>823.9200000000001</v>
      </c>
      <c r="D21" s="119">
        <f>0.0064+0.0026</f>
        <v>0.009000000000000001</v>
      </c>
      <c r="E21" s="120">
        <f>C21*D21</f>
        <v>7.415280000000002</v>
      </c>
      <c r="F21" s="27">
        <f>IF(F15=0,F14*H8,F15)</f>
        <v>823.9200000000001</v>
      </c>
      <c r="G21" s="119">
        <f>0.0064+0.0026</f>
        <v>0.009000000000000001</v>
      </c>
      <c r="H21" s="121">
        <f>F21*G21</f>
        <v>7.415280000000002</v>
      </c>
      <c r="I21" s="214">
        <f t="shared" si="2"/>
        <v>0</v>
      </c>
      <c r="J21" s="186">
        <f t="shared" si="3"/>
        <v>0</v>
      </c>
      <c r="L21" s="35" t="s">
        <v>58</v>
      </c>
      <c r="M21" s="265">
        <f>E19+E21</f>
        <v>31.465280000000003</v>
      </c>
      <c r="N21" s="265">
        <f>H19+H21</f>
        <v>28.455280000000005</v>
      </c>
      <c r="O21" s="265">
        <f t="shared" si="4"/>
        <v>-3.009999999999998</v>
      </c>
      <c r="P21" s="251">
        <f t="shared" si="5"/>
        <v>-0.09566099523029821</v>
      </c>
    </row>
    <row r="22" spans="2:16" s="35" customFormat="1" ht="17.25" customHeight="1">
      <c r="B22" s="111" t="s">
        <v>38</v>
      </c>
      <c r="C22" s="10">
        <f>IF(C20&lt;E9,C20,E9)</f>
        <v>600</v>
      </c>
      <c r="D22" s="83">
        <v>0.068</v>
      </c>
      <c r="E22" s="122">
        <f>C22*D22</f>
        <v>40.800000000000004</v>
      </c>
      <c r="F22" s="27">
        <f>IF(F20&lt;H9,F20,H9)</f>
        <v>600</v>
      </c>
      <c r="G22" s="83">
        <f>D22</f>
        <v>0.068</v>
      </c>
      <c r="H22" s="123">
        <f>F22*G22</f>
        <v>40.800000000000004</v>
      </c>
      <c r="I22" s="214">
        <f t="shared" si="2"/>
        <v>0</v>
      </c>
      <c r="J22" s="186">
        <f t="shared" si="3"/>
        <v>0</v>
      </c>
      <c r="L22" s="35" t="s">
        <v>59</v>
      </c>
      <c r="M22" s="265">
        <f>E20-0.007*C8</f>
        <v>5.605480000000001</v>
      </c>
      <c r="N22" s="267">
        <f>H20-0.007*800</f>
        <v>5.605480000000001</v>
      </c>
      <c r="O22" s="265">
        <f t="shared" si="4"/>
        <v>0</v>
      </c>
      <c r="P22" s="251">
        <f t="shared" si="5"/>
        <v>0</v>
      </c>
    </row>
    <row r="23" spans="2:16" s="35" customFormat="1" ht="17.25" customHeight="1" thickBot="1">
      <c r="B23" s="111" t="s">
        <v>38</v>
      </c>
      <c r="C23" s="124">
        <f>IF(C20&lt;C22,0,C20-C22)</f>
        <v>223.92000000000007</v>
      </c>
      <c r="D23" s="84">
        <v>0.079</v>
      </c>
      <c r="E23" s="122">
        <f>C23*D23</f>
        <v>17.689680000000006</v>
      </c>
      <c r="F23" s="124">
        <f>IF(F20&lt;F22,0,F20-F22)</f>
        <v>223.92000000000007</v>
      </c>
      <c r="G23" s="84">
        <f>D23</f>
        <v>0.079</v>
      </c>
      <c r="H23" s="123">
        <f>F23*G23</f>
        <v>17.689680000000006</v>
      </c>
      <c r="I23" s="214">
        <f t="shared" si="2"/>
        <v>0</v>
      </c>
      <c r="J23" s="200">
        <f t="shared" si="3"/>
        <v>0</v>
      </c>
      <c r="L23" s="35" t="s">
        <v>60</v>
      </c>
      <c r="M23" s="265">
        <f>0.007*$C$8</f>
        <v>5.6000000000000005</v>
      </c>
      <c r="N23" s="265">
        <f>0.007*$C$8</f>
        <v>5.6000000000000005</v>
      </c>
      <c r="O23" s="265">
        <f t="shared" si="4"/>
        <v>0</v>
      </c>
      <c r="P23" s="251">
        <f t="shared" si="5"/>
        <v>0</v>
      </c>
    </row>
    <row r="24" spans="2:16" s="196" customFormat="1" ht="17.25" customHeight="1" thickBot="1">
      <c r="B24" s="12" t="s">
        <v>21</v>
      </c>
      <c r="C24" s="195"/>
      <c r="D24" s="252"/>
      <c r="E24" s="253">
        <f>SUM(E19:E23)</f>
        <v>101.16044000000002</v>
      </c>
      <c r="F24" s="195"/>
      <c r="G24" s="195"/>
      <c r="H24" s="253">
        <f>SUM(H19:H23)</f>
        <v>98.15044000000002</v>
      </c>
      <c r="I24" s="269">
        <f t="shared" si="2"/>
        <v>-3.010000000000005</v>
      </c>
      <c r="J24" s="268">
        <f t="shared" si="3"/>
        <v>-0.02633160565690794</v>
      </c>
      <c r="M24" s="254">
        <f>SUM(M20:M23)</f>
        <v>101.16044000000001</v>
      </c>
      <c r="N24" s="254">
        <f>SUM(N20:N23)</f>
        <v>98.15044</v>
      </c>
      <c r="O24" s="254">
        <f t="shared" si="4"/>
        <v>-3.010000000000005</v>
      </c>
      <c r="P24" s="255">
        <f t="shared" si="5"/>
        <v>-0.029754714392305974</v>
      </c>
    </row>
    <row r="25" spans="2:16" s="35" customFormat="1" ht="17.25" customHeight="1" thickBot="1" thickTop="1">
      <c r="B25" s="82" t="s">
        <v>22</v>
      </c>
      <c r="C25" s="201"/>
      <c r="D25" s="201"/>
      <c r="E25" s="256">
        <f>E24*(1+0.13)</f>
        <v>114.31129720000001</v>
      </c>
      <c r="F25" s="201"/>
      <c r="G25" s="201"/>
      <c r="H25" s="256">
        <f>H24*(1+0.13)</f>
        <v>110.9099972</v>
      </c>
      <c r="I25" s="270">
        <f t="shared" si="2"/>
        <v>-3.401300000000006</v>
      </c>
      <c r="J25" s="202">
        <f t="shared" si="3"/>
        <v>-0.029754714392305977</v>
      </c>
      <c r="L25" s="196" t="s">
        <v>61</v>
      </c>
      <c r="M25" s="250">
        <f>0.13*M24</f>
        <v>13.1508572</v>
      </c>
      <c r="N25" s="250">
        <f>0.13*N24</f>
        <v>12.759557200000001</v>
      </c>
      <c r="O25" s="250">
        <f t="shared" si="4"/>
        <v>-0.3912999999999993</v>
      </c>
      <c r="P25" s="251">
        <f t="shared" si="5"/>
        <v>-0.02975471439230587</v>
      </c>
    </row>
    <row r="26" spans="2:16" s="35" customFormat="1" ht="17.25" customHeight="1" thickBot="1">
      <c r="B26" s="246" t="s">
        <v>62</v>
      </c>
      <c r="C26" s="247">
        <v>0.1</v>
      </c>
      <c r="D26" s="211"/>
      <c r="E26" s="248">
        <f>-C26*E25</f>
        <v>-11.431129720000001</v>
      </c>
      <c r="F26" s="249"/>
      <c r="G26" s="249"/>
      <c r="H26" s="248">
        <f>-C26*H25</f>
        <v>-11.090999720000001</v>
      </c>
      <c r="I26" s="220">
        <f>+H26-E26</f>
        <v>0.34013000000000027</v>
      </c>
      <c r="J26" s="217">
        <f>+I26/E26</f>
        <v>-0.029754714392305946</v>
      </c>
      <c r="L26" s="196" t="s">
        <v>51</v>
      </c>
      <c r="M26" s="250">
        <f>-0.1*(M24+M25)</f>
        <v>-11.431129720000001</v>
      </c>
      <c r="N26" s="250">
        <f>-0.1*(N24+N25)</f>
        <v>-11.090999720000001</v>
      </c>
      <c r="O26" s="250">
        <f t="shared" si="4"/>
        <v>0.34013000000000027</v>
      </c>
      <c r="P26" s="251">
        <f t="shared" si="5"/>
        <v>-0.029754714392305946</v>
      </c>
    </row>
    <row r="27" spans="2:16" s="35" customFormat="1" ht="17.25" customHeight="1" thickBot="1">
      <c r="B27" s="13" t="s">
        <v>48</v>
      </c>
      <c r="C27" s="257"/>
      <c r="D27" s="257"/>
      <c r="E27" s="256">
        <f>E25+E26</f>
        <v>102.88016748000001</v>
      </c>
      <c r="F27" s="199"/>
      <c r="G27" s="199"/>
      <c r="H27" s="256">
        <f>H25+H26</f>
        <v>99.81899748000001</v>
      </c>
      <c r="I27" s="271">
        <f>H27-E27</f>
        <v>-3.061170000000004</v>
      </c>
      <c r="J27" s="272">
        <f>I27/E27</f>
        <v>-0.029754714392305964</v>
      </c>
      <c r="L27" s="258" t="s">
        <v>52</v>
      </c>
      <c r="M27" s="259">
        <f>M24+M25+M26</f>
        <v>102.88016748000001</v>
      </c>
      <c r="N27" s="259">
        <f>N24+N25+N26</f>
        <v>99.81899748000001</v>
      </c>
      <c r="O27" s="259">
        <f t="shared" si="4"/>
        <v>-3.061170000000004</v>
      </c>
      <c r="P27" s="260">
        <f t="shared" si="5"/>
        <v>-0.029754714392305964</v>
      </c>
    </row>
    <row r="31" ht="15.75">
      <c r="B31" s="87" t="str">
        <f>B2</f>
        <v>POWERSTREAM SOUTH</v>
      </c>
    </row>
    <row r="32" ht="12.75">
      <c r="E32" s="15"/>
    </row>
    <row r="33" ht="15">
      <c r="B33" s="91" t="s">
        <v>76</v>
      </c>
    </row>
    <row r="34" ht="15">
      <c r="B34" s="91" t="s">
        <v>29</v>
      </c>
    </row>
    <row r="35" ht="13.5" thickBot="1">
      <c r="B35" s="88"/>
    </row>
    <row r="36" spans="2:10" ht="12.75">
      <c r="B36" s="154"/>
      <c r="C36" s="155"/>
      <c r="D36" s="156"/>
      <c r="E36" s="163">
        <f>E7</f>
        <v>40664</v>
      </c>
      <c r="F36" s="164"/>
      <c r="G36" s="165"/>
      <c r="H36" s="166">
        <f>H7</f>
        <v>40848</v>
      </c>
      <c r="I36" s="93"/>
      <c r="J36" s="55"/>
    </row>
    <row r="37" spans="2:10" ht="12.75">
      <c r="B37" s="160" t="s">
        <v>2</v>
      </c>
      <c r="C37" s="16">
        <v>2000</v>
      </c>
      <c r="D37" s="364" t="s">
        <v>77</v>
      </c>
      <c r="E37" s="167">
        <f>E8</f>
        <v>1.0299</v>
      </c>
      <c r="F37" s="136"/>
      <c r="G37" s="136"/>
      <c r="H37" s="168">
        <f>E37</f>
        <v>1.0299</v>
      </c>
      <c r="I37" s="93"/>
      <c r="J37" s="55"/>
    </row>
    <row r="38" spans="2:10" ht="13.5" thickBot="1">
      <c r="B38" s="161"/>
      <c r="C38" s="157"/>
      <c r="D38" s="365" t="s">
        <v>78</v>
      </c>
      <c r="E38" s="169">
        <v>750</v>
      </c>
      <c r="F38" s="169"/>
      <c r="G38" s="170"/>
      <c r="H38" s="171">
        <v>750</v>
      </c>
      <c r="I38" s="93"/>
      <c r="J38" s="55"/>
    </row>
    <row r="39" spans="2:6" ht="15" thickBot="1">
      <c r="B39" s="98"/>
      <c r="C39" s="98"/>
      <c r="F39" s="98"/>
    </row>
    <row r="40" spans="2:10" ht="26.25" thickBot="1">
      <c r="B40" s="151"/>
      <c r="C40" s="368" t="str">
        <f>C11</f>
        <v>As of May 01, 2011</v>
      </c>
      <c r="D40" s="369"/>
      <c r="E40" s="370"/>
      <c r="F40" s="368" t="str">
        <f>F11</f>
        <v>As of Nov 01, 2011</v>
      </c>
      <c r="G40" s="369"/>
      <c r="H40" s="370"/>
      <c r="I40" s="99" t="str">
        <f>I11</f>
        <v>Bill Impact Nov 2011 to May 2011</v>
      </c>
      <c r="J40" s="100"/>
    </row>
    <row r="41" spans="2:10" ht="26.25" thickBot="1">
      <c r="B41" s="152"/>
      <c r="C41" s="101" t="s">
        <v>4</v>
      </c>
      <c r="D41" s="102" t="s">
        <v>5</v>
      </c>
      <c r="E41" s="103" t="s">
        <v>6</v>
      </c>
      <c r="F41" s="101" t="s">
        <v>4</v>
      </c>
      <c r="G41" s="102" t="s">
        <v>5</v>
      </c>
      <c r="H41" s="103" t="s">
        <v>6</v>
      </c>
      <c r="I41" s="104" t="s">
        <v>7</v>
      </c>
      <c r="J41" s="105" t="s">
        <v>8</v>
      </c>
    </row>
    <row r="42" spans="2:10" s="235" customFormat="1" ht="17.25" customHeight="1">
      <c r="B42" s="106" t="s">
        <v>9</v>
      </c>
      <c r="C42" s="7">
        <v>1</v>
      </c>
      <c r="D42" s="107">
        <v>29.83</v>
      </c>
      <c r="E42" s="108">
        <f aca="true" t="shared" si="6" ref="E42:E47">C42*D42</f>
        <v>29.83</v>
      </c>
      <c r="F42" s="7">
        <v>1</v>
      </c>
      <c r="G42" s="107">
        <f>'PS SOUTH (TOU)'!G51</f>
        <v>44.120000000000005</v>
      </c>
      <c r="H42" s="108">
        <f aca="true" t="shared" si="7" ref="H42:H47">F42*G42</f>
        <v>44.120000000000005</v>
      </c>
      <c r="I42" s="214">
        <f aca="true" t="shared" si="8" ref="I42:I54">H42-E42</f>
        <v>14.290000000000006</v>
      </c>
      <c r="J42" s="183">
        <f aca="true" t="shared" si="9" ref="J42:J54">I42/E$54</f>
        <v>0.05025694232801407</v>
      </c>
    </row>
    <row r="43" spans="2:10" s="235" customFormat="1" ht="17.25" customHeight="1">
      <c r="B43" s="109" t="s">
        <v>10</v>
      </c>
      <c r="C43" s="81">
        <f>C37</f>
        <v>2000</v>
      </c>
      <c r="D43" s="80">
        <v>0.0114</v>
      </c>
      <c r="E43" s="110">
        <f t="shared" si="6"/>
        <v>22.8</v>
      </c>
      <c r="F43" s="81">
        <f>C43</f>
        <v>2000</v>
      </c>
      <c r="G43" s="80">
        <v>0.0114</v>
      </c>
      <c r="H43" s="110">
        <f t="shared" si="7"/>
        <v>22.8</v>
      </c>
      <c r="I43" s="214">
        <f t="shared" si="8"/>
        <v>0</v>
      </c>
      <c r="J43" s="186">
        <f t="shared" si="9"/>
        <v>0</v>
      </c>
    </row>
    <row r="44" spans="2:10" s="235" customFormat="1" ht="17.25" customHeight="1">
      <c r="B44" s="109" t="s">
        <v>11</v>
      </c>
      <c r="C44" s="81"/>
      <c r="D44" s="80">
        <v>0</v>
      </c>
      <c r="E44" s="110">
        <f t="shared" si="6"/>
        <v>0</v>
      </c>
      <c r="F44" s="81">
        <f>G38</f>
        <v>0</v>
      </c>
      <c r="G44" s="80">
        <v>0</v>
      </c>
      <c r="H44" s="110">
        <f t="shared" si="7"/>
        <v>0</v>
      </c>
      <c r="I44" s="214">
        <f t="shared" si="8"/>
        <v>0</v>
      </c>
      <c r="J44" s="186">
        <f t="shared" si="9"/>
        <v>0</v>
      </c>
    </row>
    <row r="45" spans="2:10" s="235" customFormat="1" ht="17.25" customHeight="1">
      <c r="B45" s="109" t="s">
        <v>12</v>
      </c>
      <c r="C45" s="81">
        <f>C43</f>
        <v>2000</v>
      </c>
      <c r="D45" s="80">
        <v>0.0001</v>
      </c>
      <c r="E45" s="110">
        <f t="shared" si="6"/>
        <v>0.2</v>
      </c>
      <c r="F45" s="81">
        <f>C45</f>
        <v>2000</v>
      </c>
      <c r="G45" s="80">
        <v>0.0001</v>
      </c>
      <c r="H45" s="110">
        <f t="shared" si="7"/>
        <v>0.2</v>
      </c>
      <c r="I45" s="214">
        <f t="shared" si="8"/>
        <v>0</v>
      </c>
      <c r="J45" s="186">
        <f t="shared" si="9"/>
        <v>0</v>
      </c>
    </row>
    <row r="46" spans="2:10" s="235" customFormat="1" ht="17.25" customHeight="1">
      <c r="B46" s="111" t="s">
        <v>13</v>
      </c>
      <c r="C46" s="81">
        <f>C43</f>
        <v>2000</v>
      </c>
      <c r="D46" s="80">
        <v>0</v>
      </c>
      <c r="E46" s="110">
        <f t="shared" si="6"/>
        <v>0</v>
      </c>
      <c r="F46" s="81">
        <f>C46</f>
        <v>2000</v>
      </c>
      <c r="G46" s="80">
        <v>0</v>
      </c>
      <c r="H46" s="110">
        <f t="shared" si="7"/>
        <v>0</v>
      </c>
      <c r="I46" s="214">
        <f t="shared" si="8"/>
        <v>0</v>
      </c>
      <c r="J46" s="186">
        <f t="shared" si="9"/>
        <v>0</v>
      </c>
    </row>
    <row r="47" spans="2:10" s="235" customFormat="1" ht="17.25" customHeight="1" thickBot="1">
      <c r="B47" s="112" t="s">
        <v>14</v>
      </c>
      <c r="C47" s="113">
        <f>+C44</f>
        <v>0</v>
      </c>
      <c r="D47" s="107">
        <v>0</v>
      </c>
      <c r="E47" s="110">
        <f t="shared" si="6"/>
        <v>0</v>
      </c>
      <c r="F47" s="113">
        <f>+F44</f>
        <v>0</v>
      </c>
      <c r="G47" s="107">
        <v>0</v>
      </c>
      <c r="H47" s="110">
        <f t="shared" si="7"/>
        <v>0</v>
      </c>
      <c r="I47" s="261">
        <f t="shared" si="8"/>
        <v>0</v>
      </c>
      <c r="J47" s="200">
        <f t="shared" si="9"/>
        <v>0</v>
      </c>
    </row>
    <row r="48" spans="2:14" s="235" customFormat="1" ht="17.25" customHeight="1" thickBot="1">
      <c r="B48" s="8" t="s">
        <v>15</v>
      </c>
      <c r="C48" s="368"/>
      <c r="D48" s="371"/>
      <c r="E48" s="9">
        <f>SUM(E42:E47)</f>
        <v>52.83</v>
      </c>
      <c r="F48" s="368"/>
      <c r="G48" s="371"/>
      <c r="H48" s="9">
        <f>SUM(H42:H47)</f>
        <v>67.12</v>
      </c>
      <c r="I48" s="262">
        <f t="shared" si="8"/>
        <v>14.290000000000006</v>
      </c>
      <c r="J48" s="263">
        <f t="shared" si="9"/>
        <v>0.05025694232801407</v>
      </c>
      <c r="M48" s="236">
        <f>E36</f>
        <v>40664</v>
      </c>
      <c r="N48" s="236">
        <f>H36</f>
        <v>40848</v>
      </c>
    </row>
    <row r="49" spans="2:16" s="235" customFormat="1" ht="17.25" customHeight="1">
      <c r="B49" s="114" t="s">
        <v>16</v>
      </c>
      <c r="C49" s="115">
        <f>C43*E37</f>
        <v>2059.8</v>
      </c>
      <c r="D49" s="79">
        <f>D20</f>
        <v>0.0135</v>
      </c>
      <c r="E49" s="116">
        <f>+(D49-0.007)*C49+$C37*0.007+0.25</f>
        <v>27.6387</v>
      </c>
      <c r="F49" s="115">
        <f>F43*H37</f>
        <v>2059.8</v>
      </c>
      <c r="G49" s="79">
        <f>G20</f>
        <v>0.0135</v>
      </c>
      <c r="H49" s="117">
        <f>+(G49-0.007)*F49+$C37*0.007+0.25</f>
        <v>27.6387</v>
      </c>
      <c r="I49" s="214">
        <f t="shared" si="8"/>
        <v>0</v>
      </c>
      <c r="J49" s="183">
        <f t="shared" si="9"/>
        <v>0</v>
      </c>
      <c r="L49" s="235" t="s">
        <v>23</v>
      </c>
      <c r="M49" s="237">
        <f>E51+E52</f>
        <v>154.47420000000002</v>
      </c>
      <c r="N49" s="237">
        <f>H51+H52</f>
        <v>154.47420000000002</v>
      </c>
      <c r="O49" s="237">
        <f aca="true" t="shared" si="10" ref="O49:O56">N49-M49</f>
        <v>0</v>
      </c>
      <c r="P49" s="238">
        <f aca="true" t="shared" si="11" ref="P49:P56">O49/M49</f>
        <v>0</v>
      </c>
    </row>
    <row r="50" spans="2:16" s="235" customFormat="1" ht="17.25" customHeight="1">
      <c r="B50" s="118" t="s">
        <v>17</v>
      </c>
      <c r="C50" s="10">
        <f>IF(C44=0,C43*E37,C44)</f>
        <v>2059.8</v>
      </c>
      <c r="D50" s="119">
        <v>0.0081</v>
      </c>
      <c r="E50" s="120">
        <f>C50*D50</f>
        <v>16.68438</v>
      </c>
      <c r="F50" s="27">
        <f>IF(F44=0,F43*H37,F44)</f>
        <v>2059.8</v>
      </c>
      <c r="G50" s="119">
        <v>0.0081</v>
      </c>
      <c r="H50" s="121">
        <f>F50*G50</f>
        <v>16.68438</v>
      </c>
      <c r="I50" s="214">
        <f t="shared" si="8"/>
        <v>0</v>
      </c>
      <c r="J50" s="186">
        <f t="shared" si="9"/>
        <v>0</v>
      </c>
      <c r="L50" s="235" t="s">
        <v>58</v>
      </c>
      <c r="M50" s="237">
        <f>E48+E50</f>
        <v>69.51438</v>
      </c>
      <c r="N50" s="237">
        <f>H48+H50</f>
        <v>83.80438000000001</v>
      </c>
      <c r="O50" s="237">
        <f t="shared" si="10"/>
        <v>14.290000000000006</v>
      </c>
      <c r="P50" s="238">
        <f t="shared" si="11"/>
        <v>0.2055689772389541</v>
      </c>
    </row>
    <row r="51" spans="2:16" s="235" customFormat="1" ht="17.25" customHeight="1">
      <c r="B51" s="111" t="s">
        <v>38</v>
      </c>
      <c r="C51" s="10">
        <f>IF(C49&lt;E38,C49,E38)</f>
        <v>750</v>
      </c>
      <c r="D51" s="83">
        <f>D22</f>
        <v>0.068</v>
      </c>
      <c r="E51" s="122">
        <f>C51*D51</f>
        <v>51.00000000000001</v>
      </c>
      <c r="F51" s="27">
        <f>IF(F49&lt;H38,F49,H38)</f>
        <v>750</v>
      </c>
      <c r="G51" s="83">
        <v>0.068</v>
      </c>
      <c r="H51" s="123">
        <f>F51*G51</f>
        <v>51.00000000000001</v>
      </c>
      <c r="I51" s="214">
        <f t="shared" si="8"/>
        <v>0</v>
      </c>
      <c r="J51" s="186">
        <f t="shared" si="9"/>
        <v>0</v>
      </c>
      <c r="L51" s="235" t="s">
        <v>59</v>
      </c>
      <c r="M51" s="237">
        <f>E49-0.007*C37</f>
        <v>13.6387</v>
      </c>
      <c r="N51" s="276">
        <f>H49-0.007*C37</f>
        <v>13.6387</v>
      </c>
      <c r="O51" s="237">
        <f t="shared" si="10"/>
        <v>0</v>
      </c>
      <c r="P51" s="238">
        <f t="shared" si="11"/>
        <v>0</v>
      </c>
    </row>
    <row r="52" spans="2:16" s="235" customFormat="1" ht="17.25" customHeight="1" thickBot="1">
      <c r="B52" s="111" t="s">
        <v>38</v>
      </c>
      <c r="C52" s="124">
        <f>IF(C49&lt;C51,0,C49-C51)</f>
        <v>1309.8000000000002</v>
      </c>
      <c r="D52" s="84">
        <f>D23</f>
        <v>0.079</v>
      </c>
      <c r="E52" s="122">
        <f>C52*D52</f>
        <v>103.47420000000001</v>
      </c>
      <c r="F52" s="124">
        <f>IF(F49&lt;F51,0,F49-F51)</f>
        <v>1309.8000000000002</v>
      </c>
      <c r="G52" s="84">
        <v>0.079</v>
      </c>
      <c r="H52" s="123">
        <f>F52*G52</f>
        <v>103.47420000000001</v>
      </c>
      <c r="I52" s="214">
        <f t="shared" si="8"/>
        <v>0</v>
      </c>
      <c r="J52" s="200">
        <f t="shared" si="9"/>
        <v>0</v>
      </c>
      <c r="L52" s="235" t="s">
        <v>60</v>
      </c>
      <c r="M52" s="237">
        <f>0.007*$C$37</f>
        <v>14</v>
      </c>
      <c r="N52" s="237">
        <f>0.007*$C$37</f>
        <v>14</v>
      </c>
      <c r="O52" s="237">
        <f t="shared" si="10"/>
        <v>0</v>
      </c>
      <c r="P52" s="238">
        <f t="shared" si="11"/>
        <v>0</v>
      </c>
    </row>
    <row r="53" spans="2:16" s="239" customFormat="1" ht="17.25" customHeight="1" thickBot="1">
      <c r="B53" s="12" t="s">
        <v>21</v>
      </c>
      <c r="C53" s="195"/>
      <c r="D53" s="252"/>
      <c r="E53" s="253">
        <f>SUM(E48:E52)</f>
        <v>251.62728000000004</v>
      </c>
      <c r="F53" s="195"/>
      <c r="G53" s="195"/>
      <c r="H53" s="253">
        <f>SUM(H48:H52)</f>
        <v>265.91728</v>
      </c>
      <c r="I53" s="269">
        <f t="shared" si="8"/>
        <v>14.289999999999964</v>
      </c>
      <c r="J53" s="268">
        <f t="shared" si="9"/>
        <v>0.05025694232801392</v>
      </c>
      <c r="M53" s="240">
        <f>SUM(M49:M52)</f>
        <v>251.62728</v>
      </c>
      <c r="N53" s="240">
        <f>SUM(N49:N52)</f>
        <v>265.91728</v>
      </c>
      <c r="O53" s="240">
        <f t="shared" si="10"/>
        <v>14.289999999999992</v>
      </c>
      <c r="P53" s="241">
        <f t="shared" si="11"/>
        <v>0.05679034483065585</v>
      </c>
    </row>
    <row r="54" spans="2:16" s="235" customFormat="1" ht="17.25" customHeight="1" thickBot="1" thickTop="1">
      <c r="B54" s="82" t="s">
        <v>22</v>
      </c>
      <c r="C54" s="201"/>
      <c r="D54" s="201"/>
      <c r="E54" s="256">
        <f>E53*(1+0.13)</f>
        <v>284.3388264</v>
      </c>
      <c r="F54" s="201"/>
      <c r="G54" s="201"/>
      <c r="H54" s="256">
        <f>H53*(1+0.13)</f>
        <v>300.4865264</v>
      </c>
      <c r="I54" s="270">
        <f t="shared" si="8"/>
        <v>16.147699999999986</v>
      </c>
      <c r="J54" s="202">
        <f t="shared" si="9"/>
        <v>0.05679034483065583</v>
      </c>
      <c r="L54" s="239" t="s">
        <v>61</v>
      </c>
      <c r="M54" s="242">
        <f>0.13*M53</f>
        <v>32.7115464</v>
      </c>
      <c r="N54" s="242">
        <f>0.13*N53</f>
        <v>34.569246400000004</v>
      </c>
      <c r="O54" s="242">
        <f t="shared" si="10"/>
        <v>1.8577000000000012</v>
      </c>
      <c r="P54" s="238">
        <f t="shared" si="11"/>
        <v>0.05679034483065591</v>
      </c>
    </row>
    <row r="55" spans="2:16" s="235" customFormat="1" ht="17.25" customHeight="1" thickBot="1">
      <c r="B55" s="246" t="s">
        <v>62</v>
      </c>
      <c r="C55" s="247">
        <v>0.1</v>
      </c>
      <c r="D55" s="211"/>
      <c r="E55" s="248">
        <f>-C55*E54</f>
        <v>-28.433882640000004</v>
      </c>
      <c r="F55" s="249"/>
      <c r="G55" s="249"/>
      <c r="H55" s="248">
        <f>-C55*H54</f>
        <v>-30.04865264</v>
      </c>
      <c r="I55" s="220">
        <f>+H55-E55</f>
        <v>-1.6147699999999965</v>
      </c>
      <c r="J55" s="217">
        <f>+I55/E55</f>
        <v>0.05679034483065575</v>
      </c>
      <c r="L55" s="239" t="s">
        <v>51</v>
      </c>
      <c r="M55" s="242">
        <f>-0.1*(M53+M54)</f>
        <v>-28.433882640000004</v>
      </c>
      <c r="N55" s="242">
        <f>-0.1*(N53+N54)</f>
        <v>-30.04865264</v>
      </c>
      <c r="O55" s="242">
        <f t="shared" si="10"/>
        <v>-1.6147699999999965</v>
      </c>
      <c r="P55" s="238">
        <f t="shared" si="11"/>
        <v>0.05679034483065575</v>
      </c>
    </row>
    <row r="56" spans="2:16" s="235" customFormat="1" ht="17.25" customHeight="1" thickBot="1">
      <c r="B56" s="13" t="s">
        <v>48</v>
      </c>
      <c r="C56" s="257"/>
      <c r="D56" s="257"/>
      <c r="E56" s="256">
        <f>E54+E55</f>
        <v>255.90494376</v>
      </c>
      <c r="F56" s="199"/>
      <c r="G56" s="199"/>
      <c r="H56" s="256">
        <f>H54+H55</f>
        <v>270.43787376</v>
      </c>
      <c r="I56" s="271">
        <f>H56-E56</f>
        <v>14.532929999999993</v>
      </c>
      <c r="J56" s="272">
        <f>I56/E56</f>
        <v>0.056790344830655856</v>
      </c>
      <c r="L56" s="243" t="s">
        <v>52</v>
      </c>
      <c r="M56" s="244">
        <f>M53+M54+M55</f>
        <v>255.90494376</v>
      </c>
      <c r="N56" s="244">
        <f>N53+N54+N55</f>
        <v>270.43787376</v>
      </c>
      <c r="O56" s="244">
        <f t="shared" si="10"/>
        <v>14.532929999999993</v>
      </c>
      <c r="P56" s="245">
        <f t="shared" si="11"/>
        <v>0.056790344830655856</v>
      </c>
    </row>
    <row r="57" ht="12.75">
      <c r="H57" s="127"/>
    </row>
    <row r="58" spans="5:9" ht="12.75">
      <c r="E58" s="15"/>
      <c r="I58" s="14"/>
    </row>
    <row r="59" spans="5:9" ht="12.75">
      <c r="E59" s="15"/>
      <c r="I59" s="14"/>
    </row>
    <row r="60" spans="5:9" ht="12.75">
      <c r="E60" s="15"/>
      <c r="I60" s="14"/>
    </row>
  </sheetData>
  <sheetProtection/>
  <mergeCells count="8">
    <mergeCell ref="C19:D19"/>
    <mergeCell ref="F48:G48"/>
    <mergeCell ref="C48:D48"/>
    <mergeCell ref="C11:E11"/>
    <mergeCell ref="C40:E40"/>
    <mergeCell ref="F11:H11"/>
    <mergeCell ref="F19:G19"/>
    <mergeCell ref="F40:H40"/>
  </mergeCells>
  <printOptions horizontalCentered="1"/>
  <pageMargins left="0.4" right="0.17" top="0.53" bottom="0.38" header="0.73" footer="0.17"/>
  <pageSetup cellComments="asDisplayed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R56"/>
  <sheetViews>
    <sheetView view="pageBreakPreview" zoomScale="60" zoomScalePageLayoutView="0" workbookViewId="0" topLeftCell="A1">
      <selection activeCell="O14" sqref="O14"/>
    </sheetView>
  </sheetViews>
  <sheetFormatPr defaultColWidth="9.140625" defaultRowHeight="12.75"/>
  <cols>
    <col min="1" max="1" width="3.28125" style="14" customWidth="1"/>
    <col min="2" max="2" width="31.57421875" style="14" customWidth="1"/>
    <col min="3" max="3" width="9.421875" style="14" bestFit="1" customWidth="1"/>
    <col min="4" max="4" width="12.140625" style="14" customWidth="1"/>
    <col min="5" max="5" width="14.57421875" style="14" customWidth="1"/>
    <col min="6" max="6" width="9.57421875" style="14" bestFit="1" customWidth="1"/>
    <col min="7" max="7" width="12.140625" style="14" customWidth="1"/>
    <col min="8" max="8" width="14.57421875" style="14" customWidth="1"/>
    <col min="9" max="9" width="11.00390625" style="89" customWidth="1"/>
    <col min="10" max="10" width="9.421875" style="14" customWidth="1"/>
    <col min="11" max="11" width="9.140625" style="89" customWidth="1"/>
    <col min="12" max="12" width="9.7109375" style="14" customWidth="1"/>
    <col min="13" max="13" width="9.7109375" style="14" bestFit="1" customWidth="1"/>
    <col min="14" max="14" width="12.8515625" style="14" bestFit="1" customWidth="1"/>
    <col min="15" max="15" width="12.57421875" style="14" bestFit="1" customWidth="1"/>
    <col min="16" max="16" width="11.00390625" style="14" bestFit="1" customWidth="1"/>
    <col min="17" max="17" width="9.421875" style="14" bestFit="1" customWidth="1"/>
    <col min="18" max="18" width="13.00390625" style="14" customWidth="1"/>
    <col min="19" max="16384" width="9.140625" style="14" customWidth="1"/>
  </cols>
  <sheetData>
    <row r="1" ht="12.75"/>
    <row r="2" spans="2:4" ht="31.5" customHeight="1">
      <c r="B2" s="87" t="s">
        <v>70</v>
      </c>
      <c r="D2" s="90"/>
    </row>
    <row r="3" ht="12.75" customHeight="1">
      <c r="B3" s="87"/>
    </row>
    <row r="4" ht="15">
      <c r="B4" s="91" t="s">
        <v>75</v>
      </c>
    </row>
    <row r="5" spans="2:8" ht="15">
      <c r="B5" s="91" t="s">
        <v>0</v>
      </c>
      <c r="H5" s="90"/>
    </row>
    <row r="6" ht="12.75">
      <c r="B6" s="88"/>
    </row>
    <row r="7" spans="2:11" s="55" customFormat="1" ht="12.75">
      <c r="B7" s="334"/>
      <c r="C7" s="318"/>
      <c r="D7" s="319"/>
      <c r="E7" s="335">
        <v>40664</v>
      </c>
      <c r="F7" s="318"/>
      <c r="G7" s="319"/>
      <c r="H7" s="320">
        <v>40848</v>
      </c>
      <c r="I7" s="93"/>
      <c r="K7" s="93"/>
    </row>
    <row r="8" spans="2:11" s="55" customFormat="1" ht="12.75">
      <c r="B8" s="336" t="s">
        <v>2</v>
      </c>
      <c r="C8" s="278">
        <v>800</v>
      </c>
      <c r="D8" s="364" t="s">
        <v>77</v>
      </c>
      <c r="E8" s="94">
        <v>1.0565</v>
      </c>
      <c r="F8" s="5"/>
      <c r="G8" s="5"/>
      <c r="H8" s="95">
        <f>E8</f>
        <v>1.0565</v>
      </c>
      <c r="I8" s="93"/>
      <c r="K8" s="93"/>
    </row>
    <row r="9" spans="2:11" s="55" customFormat="1" ht="13.5" thickBot="1">
      <c r="B9" s="337"/>
      <c r="C9" s="6"/>
      <c r="D9" s="365" t="s">
        <v>78</v>
      </c>
      <c r="E9" s="6">
        <v>600</v>
      </c>
      <c r="F9" s="6"/>
      <c r="G9" s="96"/>
      <c r="H9" s="97">
        <v>600</v>
      </c>
      <c r="I9" s="93"/>
      <c r="K9" s="93"/>
    </row>
    <row r="10" spans="2:6" ht="15" thickBot="1">
      <c r="B10" s="98"/>
      <c r="C10" s="98"/>
      <c r="F10" s="98"/>
    </row>
    <row r="11" spans="2:13" ht="39.75" customHeight="1" thickBot="1">
      <c r="B11" s="151"/>
      <c r="C11" s="368" t="str">
        <f>CONCATENATE("As of ",TEXT(E7,"MMM DD, YYYY"))</f>
        <v>As of May 01, 2011</v>
      </c>
      <c r="D11" s="369"/>
      <c r="E11" s="370"/>
      <c r="F11" s="368" t="str">
        <f>CONCATENATE("As of ",TEXT(H7,"MMM DD, YYYY"))</f>
        <v>As of Nov 01, 2011</v>
      </c>
      <c r="G11" s="369"/>
      <c r="H11" s="370"/>
      <c r="I11" s="99" t="str">
        <f>"Bill Impact "&amp;TEXT(H7,"MMM YYYY")&amp;" to "&amp;TEXT(E7,"MMM YYYY")</f>
        <v>Bill Impact Nov 2011 to May 2011</v>
      </c>
      <c r="J11" s="100"/>
      <c r="M11" s="321"/>
    </row>
    <row r="12" spans="2:10" ht="26.25" thickBot="1">
      <c r="B12" s="152"/>
      <c r="C12" s="101" t="s">
        <v>4</v>
      </c>
      <c r="D12" s="102" t="s">
        <v>5</v>
      </c>
      <c r="E12" s="103" t="s">
        <v>6</v>
      </c>
      <c r="F12" s="101" t="s">
        <v>4</v>
      </c>
      <c r="G12" s="102" t="s">
        <v>5</v>
      </c>
      <c r="H12" s="103" t="s">
        <v>6</v>
      </c>
      <c r="I12" s="277" t="s">
        <v>7</v>
      </c>
      <c r="J12" s="105" t="s">
        <v>8</v>
      </c>
    </row>
    <row r="13" spans="2:11" s="35" customFormat="1" ht="17.25" customHeight="1">
      <c r="B13" s="106" t="s">
        <v>9</v>
      </c>
      <c r="C13" s="7">
        <v>1</v>
      </c>
      <c r="D13" s="107">
        <f>15.21+0.16</f>
        <v>15.370000000000001</v>
      </c>
      <c r="E13" s="341">
        <f aca="true" t="shared" si="0" ref="E13:E18">C13*D13</f>
        <v>15.370000000000001</v>
      </c>
      <c r="F13" s="7">
        <v>1</v>
      </c>
      <c r="G13" s="107">
        <f>'PS North (TOU)'!G13</f>
        <v>17.32</v>
      </c>
      <c r="H13" s="341">
        <f aca="true" t="shared" si="1" ref="H13:H18">F13*G13</f>
        <v>17.32</v>
      </c>
      <c r="I13" s="214">
        <f aca="true" t="shared" si="2" ref="I13:I27">H13-E13</f>
        <v>1.9499999999999993</v>
      </c>
      <c r="J13" s="183">
        <f aca="true" t="shared" si="3" ref="J13:J25">I13/E$25</f>
        <v>0.01590957357365981</v>
      </c>
      <c r="K13" s="339"/>
    </row>
    <row r="14" spans="2:11" s="35" customFormat="1" ht="17.25" customHeight="1">
      <c r="B14" s="109" t="s">
        <v>10</v>
      </c>
      <c r="C14" s="81">
        <f>C8</f>
        <v>800</v>
      </c>
      <c r="D14" s="80">
        <f>0.0136+0.0008-0.0005</f>
        <v>0.0139</v>
      </c>
      <c r="E14" s="342">
        <f t="shared" si="0"/>
        <v>11.12</v>
      </c>
      <c r="F14" s="81">
        <f>C14</f>
        <v>800</v>
      </c>
      <c r="G14" s="80">
        <f>0.0136+0.0008-0.0005</f>
        <v>0.0139</v>
      </c>
      <c r="H14" s="342">
        <f t="shared" si="1"/>
        <v>11.12</v>
      </c>
      <c r="I14" s="214">
        <f t="shared" si="2"/>
        <v>0</v>
      </c>
      <c r="J14" s="186">
        <f t="shared" si="3"/>
        <v>0</v>
      </c>
      <c r="K14" s="339"/>
    </row>
    <row r="15" spans="2:11" s="35" customFormat="1" ht="17.25" customHeight="1">
      <c r="B15" s="109" t="s">
        <v>11</v>
      </c>
      <c r="C15" s="81">
        <v>0</v>
      </c>
      <c r="D15" s="107">
        <v>0</v>
      </c>
      <c r="E15" s="342">
        <f t="shared" si="0"/>
        <v>0</v>
      </c>
      <c r="F15" s="81">
        <f>G9</f>
        <v>0</v>
      </c>
      <c r="G15" s="107">
        <v>0</v>
      </c>
      <c r="H15" s="342">
        <f t="shared" si="1"/>
        <v>0</v>
      </c>
      <c r="I15" s="214">
        <f t="shared" si="2"/>
        <v>0</v>
      </c>
      <c r="J15" s="186">
        <f t="shared" si="3"/>
        <v>0</v>
      </c>
      <c r="K15" s="339"/>
    </row>
    <row r="16" spans="2:11" s="35" customFormat="1" ht="17.25" customHeight="1">
      <c r="B16" s="109" t="s">
        <v>12</v>
      </c>
      <c r="C16" s="81">
        <f>C14</f>
        <v>800</v>
      </c>
      <c r="D16" s="80">
        <v>0.0004</v>
      </c>
      <c r="E16" s="342">
        <f t="shared" si="0"/>
        <v>0.32</v>
      </c>
      <c r="F16" s="81">
        <f>C16</f>
        <v>800</v>
      </c>
      <c r="G16" s="80">
        <v>0.0004</v>
      </c>
      <c r="H16" s="342">
        <f t="shared" si="1"/>
        <v>0.32</v>
      </c>
      <c r="I16" s="214">
        <f t="shared" si="2"/>
        <v>0</v>
      </c>
      <c r="J16" s="186">
        <f t="shared" si="3"/>
        <v>0</v>
      </c>
      <c r="K16" s="339"/>
    </row>
    <row r="17" spans="2:11" s="35" customFormat="1" ht="17.25" customHeight="1">
      <c r="B17" s="111" t="s">
        <v>13</v>
      </c>
      <c r="C17" s="81">
        <f>C14</f>
        <v>800</v>
      </c>
      <c r="D17" s="80">
        <v>0</v>
      </c>
      <c r="E17" s="175">
        <f t="shared" si="0"/>
        <v>0</v>
      </c>
      <c r="F17" s="81">
        <f>C17</f>
        <v>800</v>
      </c>
      <c r="G17" s="80">
        <v>0</v>
      </c>
      <c r="H17" s="342">
        <f t="shared" si="1"/>
        <v>0</v>
      </c>
      <c r="I17" s="214">
        <f t="shared" si="2"/>
        <v>0</v>
      </c>
      <c r="J17" s="186">
        <f t="shared" si="3"/>
        <v>0</v>
      </c>
      <c r="K17" s="339"/>
    </row>
    <row r="18" spans="2:11" s="35" customFormat="1" ht="17.25" customHeight="1" thickBot="1">
      <c r="B18" s="112" t="s">
        <v>14</v>
      </c>
      <c r="C18" s="113">
        <f>+C15</f>
        <v>0</v>
      </c>
      <c r="D18" s="80">
        <v>0</v>
      </c>
      <c r="E18" s="342">
        <f t="shared" si="0"/>
        <v>0</v>
      </c>
      <c r="F18" s="113">
        <f>+F15</f>
        <v>0</v>
      </c>
      <c r="G18" s="80">
        <v>0</v>
      </c>
      <c r="H18" s="342">
        <f t="shared" si="1"/>
        <v>0</v>
      </c>
      <c r="I18" s="215">
        <f t="shared" si="2"/>
        <v>0</v>
      </c>
      <c r="J18" s="190">
        <f t="shared" si="3"/>
        <v>0</v>
      </c>
      <c r="K18" s="339"/>
    </row>
    <row r="19" spans="2:18" s="35" customFormat="1" ht="17.25" customHeight="1" thickBot="1">
      <c r="B19" s="8" t="s">
        <v>15</v>
      </c>
      <c r="C19" s="368"/>
      <c r="D19" s="371"/>
      <c r="E19" s="343">
        <f>SUM(E13:E18)</f>
        <v>26.810000000000002</v>
      </c>
      <c r="F19" s="368"/>
      <c r="G19" s="371"/>
      <c r="H19" s="343">
        <f>SUM(H13:H18)</f>
        <v>28.759999999999998</v>
      </c>
      <c r="I19" s="216">
        <f t="shared" si="2"/>
        <v>1.9499999999999957</v>
      </c>
      <c r="J19" s="192">
        <f t="shared" si="3"/>
        <v>0.01590957357365978</v>
      </c>
      <c r="K19" s="339"/>
      <c r="N19" s="264">
        <f>E7</f>
        <v>40664</v>
      </c>
      <c r="O19" s="264">
        <f>H7</f>
        <v>40848</v>
      </c>
      <c r="R19" s="35" t="s">
        <v>56</v>
      </c>
    </row>
    <row r="20" spans="2:18" s="35" customFormat="1" ht="17.25" customHeight="1">
      <c r="B20" s="114" t="s">
        <v>16</v>
      </c>
      <c r="C20" s="115">
        <f>C14*E8</f>
        <v>845.2</v>
      </c>
      <c r="D20" s="79">
        <v>0.0135</v>
      </c>
      <c r="E20" s="344">
        <f>+(D20-0.007)*C20+$C8*0.007+0.25</f>
        <v>11.343800000000002</v>
      </c>
      <c r="F20" s="115">
        <f>F14*H8</f>
        <v>845.2</v>
      </c>
      <c r="G20" s="79">
        <v>0.0135</v>
      </c>
      <c r="H20" s="350">
        <f>+(G20-0.007)*F20+$C8*0.007+0.25</f>
        <v>11.343800000000002</v>
      </c>
      <c r="I20" s="214">
        <f t="shared" si="2"/>
        <v>0</v>
      </c>
      <c r="J20" s="183">
        <f t="shared" si="3"/>
        <v>0</v>
      </c>
      <c r="K20" s="339"/>
      <c r="M20" s="35" t="s">
        <v>23</v>
      </c>
      <c r="N20" s="265">
        <f>E22+E23</f>
        <v>60.17080000000001</v>
      </c>
      <c r="O20" s="265">
        <f>H22+H23</f>
        <v>60.17080000000001</v>
      </c>
      <c r="P20" s="265">
        <f aca="true" t="shared" si="4" ref="P20:P27">O20-N20</f>
        <v>0</v>
      </c>
      <c r="Q20" s="251">
        <f aca="true" t="shared" si="5" ref="Q20:Q27">P20/N20</f>
        <v>0</v>
      </c>
      <c r="R20" s="266">
        <f>P20/E27</f>
        <v>0</v>
      </c>
    </row>
    <row r="21" spans="2:17" s="35" customFormat="1" ht="17.25" customHeight="1">
      <c r="B21" s="118" t="s">
        <v>17</v>
      </c>
      <c r="C21" s="10">
        <f>IF(C15=0,C14*E8,C15)</f>
        <v>845.2</v>
      </c>
      <c r="D21" s="119">
        <v>0.012</v>
      </c>
      <c r="E21" s="345">
        <f>C21*D21</f>
        <v>10.1424</v>
      </c>
      <c r="F21" s="27">
        <f>IF(F15=0,F14*H8,F15)</f>
        <v>845.2</v>
      </c>
      <c r="G21" s="119">
        <v>0.012</v>
      </c>
      <c r="H21" s="351">
        <f>F21*G21</f>
        <v>10.1424</v>
      </c>
      <c r="I21" s="214">
        <f t="shared" si="2"/>
        <v>0</v>
      </c>
      <c r="J21" s="186">
        <f t="shared" si="3"/>
        <v>0</v>
      </c>
      <c r="K21" s="339"/>
      <c r="M21" s="35" t="s">
        <v>58</v>
      </c>
      <c r="N21" s="265">
        <f>E19+E21</f>
        <v>36.952400000000004</v>
      </c>
      <c r="O21" s="265">
        <f>H19+H21</f>
        <v>38.9024</v>
      </c>
      <c r="P21" s="265">
        <f t="shared" si="4"/>
        <v>1.9499999999999957</v>
      </c>
      <c r="Q21" s="251">
        <f t="shared" si="5"/>
        <v>0.05277059135536516</v>
      </c>
    </row>
    <row r="22" spans="2:17" s="35" customFormat="1" ht="17.25" customHeight="1">
      <c r="B22" s="111" t="s">
        <v>38</v>
      </c>
      <c r="C22" s="10">
        <f>IF(C20&lt;E9,C20,E9)</f>
        <v>600</v>
      </c>
      <c r="D22" s="43">
        <f>'PS SOUTH Tiered'!D22</f>
        <v>0.068</v>
      </c>
      <c r="E22" s="346">
        <f>C22*D22</f>
        <v>40.800000000000004</v>
      </c>
      <c r="F22" s="27">
        <f>IF(F20&lt;H9,F20,H9)</f>
        <v>600</v>
      </c>
      <c r="G22" s="43">
        <f>D22</f>
        <v>0.068</v>
      </c>
      <c r="H22" s="352">
        <f>F22*G22</f>
        <v>40.800000000000004</v>
      </c>
      <c r="I22" s="214">
        <f t="shared" si="2"/>
        <v>0</v>
      </c>
      <c r="J22" s="186">
        <f t="shared" si="3"/>
        <v>0</v>
      </c>
      <c r="K22" s="339"/>
      <c r="M22" s="35" t="s">
        <v>59</v>
      </c>
      <c r="N22" s="265">
        <f>E20-0.007*C8</f>
        <v>5.743800000000001</v>
      </c>
      <c r="O22" s="267">
        <f>H20-0.007*C8</f>
        <v>5.743800000000001</v>
      </c>
      <c r="P22" s="265">
        <f t="shared" si="4"/>
        <v>0</v>
      </c>
      <c r="Q22" s="251">
        <f t="shared" si="5"/>
        <v>0</v>
      </c>
    </row>
    <row r="23" spans="2:17" s="35" customFormat="1" ht="17.25" customHeight="1">
      <c r="B23" s="111" t="s">
        <v>38</v>
      </c>
      <c r="C23" s="10">
        <f>IF(C20&lt;C22,0,C20-C22)</f>
        <v>245.20000000000005</v>
      </c>
      <c r="D23" s="43">
        <f>'PS SOUTH Tiered'!D23</f>
        <v>0.079</v>
      </c>
      <c r="E23" s="346">
        <f>C23*D23</f>
        <v>19.370800000000003</v>
      </c>
      <c r="F23" s="27">
        <f>IF(F20&lt;F22,0,F20-F22)</f>
        <v>245.20000000000005</v>
      </c>
      <c r="G23" s="45">
        <f>D23</f>
        <v>0.079</v>
      </c>
      <c r="H23" s="352">
        <f>F23*G23</f>
        <v>19.370800000000003</v>
      </c>
      <c r="I23" s="214">
        <f t="shared" si="2"/>
        <v>0</v>
      </c>
      <c r="J23" s="186">
        <f t="shared" si="3"/>
        <v>0</v>
      </c>
      <c r="K23" s="339"/>
      <c r="M23" s="35" t="s">
        <v>60</v>
      </c>
      <c r="N23" s="265">
        <f>0.007*$C$8</f>
        <v>5.6000000000000005</v>
      </c>
      <c r="O23" s="265">
        <f>0.007*$C$8</f>
        <v>5.6000000000000005</v>
      </c>
      <c r="P23" s="265">
        <f t="shared" si="4"/>
        <v>0</v>
      </c>
      <c r="Q23" s="251">
        <f t="shared" si="5"/>
        <v>0</v>
      </c>
    </row>
    <row r="24" spans="2:17" s="196" customFormat="1" ht="17.25" customHeight="1" thickBot="1">
      <c r="B24" s="134" t="s">
        <v>21</v>
      </c>
      <c r="C24" s="11"/>
      <c r="D24" s="43"/>
      <c r="E24" s="346">
        <f>SUM(E19:E23)</f>
        <v>108.46700000000001</v>
      </c>
      <c r="F24" s="124"/>
      <c r="G24" s="44"/>
      <c r="H24" s="352">
        <f>SUM(H19:H23)</f>
        <v>110.417</v>
      </c>
      <c r="I24" s="214">
        <f t="shared" si="2"/>
        <v>1.9499999999999886</v>
      </c>
      <c r="J24" s="200">
        <f t="shared" si="3"/>
        <v>0.015909573573659724</v>
      </c>
      <c r="K24" s="340"/>
      <c r="N24" s="254">
        <f>SUM(N20:N23)</f>
        <v>108.46700000000001</v>
      </c>
      <c r="O24" s="254">
        <f>SUM(O20:O23)</f>
        <v>110.41700000000002</v>
      </c>
      <c r="P24" s="254">
        <f t="shared" si="4"/>
        <v>1.9500000000000028</v>
      </c>
      <c r="Q24" s="255">
        <f t="shared" si="5"/>
        <v>0.017977818138235617</v>
      </c>
    </row>
    <row r="25" spans="2:17" s="35" customFormat="1" ht="17.25" customHeight="1" thickBot="1">
      <c r="B25" s="12" t="s">
        <v>22</v>
      </c>
      <c r="C25" s="252"/>
      <c r="D25" s="252"/>
      <c r="E25" s="347">
        <f>E24*(1+0.13)</f>
        <v>122.56771</v>
      </c>
      <c r="F25" s="195"/>
      <c r="G25" s="195"/>
      <c r="H25" s="347">
        <f>H24*(1+0.13)</f>
        <v>124.77121</v>
      </c>
      <c r="I25" s="269">
        <f t="shared" si="2"/>
        <v>2.203499999999991</v>
      </c>
      <c r="J25" s="268">
        <f t="shared" si="3"/>
        <v>0.01797781813823552</v>
      </c>
      <c r="K25" s="339"/>
      <c r="M25" s="196" t="s">
        <v>61</v>
      </c>
      <c r="N25" s="250">
        <f>0.13*N24</f>
        <v>14.100710000000003</v>
      </c>
      <c r="O25" s="250">
        <f>0.13*O24</f>
        <v>14.354210000000002</v>
      </c>
      <c r="P25" s="250">
        <f t="shared" si="4"/>
        <v>0.25349999999999895</v>
      </c>
      <c r="Q25" s="251">
        <f t="shared" si="5"/>
        <v>0.017977818138235513</v>
      </c>
    </row>
    <row r="26" spans="2:17" s="35" customFormat="1" ht="17.25" customHeight="1" thickBot="1">
      <c r="B26" s="82" t="s">
        <v>62</v>
      </c>
      <c r="C26" s="354">
        <v>0.1</v>
      </c>
      <c r="D26" s="201"/>
      <c r="E26" s="348">
        <f>-C26*E25</f>
        <v>-12.256771</v>
      </c>
      <c r="F26" s="201"/>
      <c r="G26" s="201"/>
      <c r="H26" s="348">
        <f>-C26*H25</f>
        <v>-12.477121</v>
      </c>
      <c r="I26" s="270">
        <f t="shared" si="2"/>
        <v>-0.22034999999999982</v>
      </c>
      <c r="J26" s="202">
        <f>I26/E$26</f>
        <v>0.01797781813823558</v>
      </c>
      <c r="M26" s="196" t="s">
        <v>51</v>
      </c>
      <c r="N26" s="250">
        <f>-0.1*(N24+N25)</f>
        <v>-12.256771000000002</v>
      </c>
      <c r="O26" s="250">
        <f>-0.1*(O24+O25)</f>
        <v>-12.477121000000004</v>
      </c>
      <c r="P26" s="250">
        <f t="shared" si="4"/>
        <v>-0.2203500000000016</v>
      </c>
      <c r="Q26" s="251">
        <f t="shared" si="5"/>
        <v>0.01797781813823572</v>
      </c>
    </row>
    <row r="27" spans="2:17" s="35" customFormat="1" ht="17.25" customHeight="1" thickBot="1">
      <c r="B27" s="283" t="s">
        <v>48</v>
      </c>
      <c r="C27" s="291"/>
      <c r="D27" s="204"/>
      <c r="E27" s="349">
        <f>E25+E26</f>
        <v>110.310939</v>
      </c>
      <c r="F27" s="204"/>
      <c r="G27" s="204"/>
      <c r="H27" s="353">
        <f>H25+H26</f>
        <v>112.294089</v>
      </c>
      <c r="I27" s="366">
        <f t="shared" si="2"/>
        <v>1.9831499999999949</v>
      </c>
      <c r="J27" s="338">
        <f>I27/E27</f>
        <v>0.017977818138235544</v>
      </c>
      <c r="M27" s="258" t="s">
        <v>52</v>
      </c>
      <c r="N27" s="259">
        <f>N24+N25+N26</f>
        <v>110.31093900000002</v>
      </c>
      <c r="O27" s="259">
        <f>O24+O25+O26</f>
        <v>112.29408900000001</v>
      </c>
      <c r="P27" s="259">
        <f t="shared" si="4"/>
        <v>1.9831499999999949</v>
      </c>
      <c r="Q27" s="260">
        <f t="shared" si="5"/>
        <v>0.017977818138235544</v>
      </c>
    </row>
    <row r="28" spans="5:11" ht="12.75">
      <c r="E28" s="15"/>
      <c r="I28" s="14"/>
      <c r="K28" s="14"/>
    </row>
    <row r="29" spans="2:11" ht="15.75">
      <c r="B29" s="87" t="str">
        <f>B2</f>
        <v>POWERSTREAM NORTH</v>
      </c>
      <c r="E29" s="333"/>
      <c r="I29" s="14"/>
      <c r="K29" s="14"/>
    </row>
    <row r="30" spans="2:12" ht="15">
      <c r="B30" s="91" t="s">
        <v>76</v>
      </c>
      <c r="E30" s="333"/>
      <c r="L30" s="329"/>
    </row>
    <row r="31" spans="2:5" ht="15">
      <c r="B31" s="91" t="s">
        <v>29</v>
      </c>
      <c r="E31" s="333"/>
    </row>
    <row r="32" spans="2:5" ht="12.75">
      <c r="B32" s="88"/>
      <c r="E32" s="333"/>
    </row>
    <row r="33" spans="2:10" ht="12.75">
      <c r="B33" s="334"/>
      <c r="C33" s="318"/>
      <c r="D33" s="319"/>
      <c r="E33" s="335">
        <f>E7</f>
        <v>40664</v>
      </c>
      <c r="F33" s="318"/>
      <c r="G33" s="319"/>
      <c r="H33" s="320">
        <f>H7</f>
        <v>40848</v>
      </c>
      <c r="I33" s="93"/>
      <c r="J33" s="55"/>
    </row>
    <row r="34" spans="2:10" ht="12.75">
      <c r="B34" s="336" t="s">
        <v>2</v>
      </c>
      <c r="C34" s="278">
        <v>2000</v>
      </c>
      <c r="D34" s="364" t="s">
        <v>77</v>
      </c>
      <c r="E34" s="94">
        <f>E8</f>
        <v>1.0565</v>
      </c>
      <c r="F34" s="5"/>
      <c r="G34" s="5"/>
      <c r="H34" s="95">
        <f>H8</f>
        <v>1.0565</v>
      </c>
      <c r="I34" s="93"/>
      <c r="J34" s="55"/>
    </row>
    <row r="35" spans="2:10" ht="13.5" thickBot="1">
      <c r="B35" s="337"/>
      <c r="C35" s="6"/>
      <c r="D35" s="365" t="s">
        <v>78</v>
      </c>
      <c r="E35" s="6">
        <v>750</v>
      </c>
      <c r="F35" s="6"/>
      <c r="G35" s="96"/>
      <c r="H35" s="97">
        <v>750</v>
      </c>
      <c r="I35" s="93"/>
      <c r="J35" s="55"/>
    </row>
    <row r="36" spans="2:6" ht="15" thickBot="1">
      <c r="B36" s="98"/>
      <c r="C36" s="98"/>
      <c r="F36" s="98"/>
    </row>
    <row r="37" spans="2:10" ht="26.25" thickBot="1">
      <c r="B37" s="151"/>
      <c r="C37" s="368" t="str">
        <f>CONCATENATE("As of ",TEXT(E7,"MMM DD, YYYY"))</f>
        <v>As of May 01, 2011</v>
      </c>
      <c r="D37" s="369"/>
      <c r="E37" s="370"/>
      <c r="F37" s="368" t="str">
        <f>F11</f>
        <v>As of Nov 01, 2011</v>
      </c>
      <c r="G37" s="369"/>
      <c r="H37" s="370"/>
      <c r="I37" s="99" t="s">
        <v>63</v>
      </c>
      <c r="J37" s="100"/>
    </row>
    <row r="38" spans="2:10" ht="26.25" thickBot="1">
      <c r="B38" s="152"/>
      <c r="C38" s="101" t="s">
        <v>4</v>
      </c>
      <c r="D38" s="102" t="s">
        <v>5</v>
      </c>
      <c r="E38" s="103" t="s">
        <v>6</v>
      </c>
      <c r="F38" s="101" t="s">
        <v>4</v>
      </c>
      <c r="G38" s="102" t="s">
        <v>5</v>
      </c>
      <c r="H38" s="103" t="s">
        <v>6</v>
      </c>
      <c r="I38" s="277" t="s">
        <v>7</v>
      </c>
      <c r="J38" s="105" t="s">
        <v>8</v>
      </c>
    </row>
    <row r="39" spans="2:10" ht="17.25" customHeight="1">
      <c r="B39" s="106" t="s">
        <v>9</v>
      </c>
      <c r="C39" s="7">
        <v>1</v>
      </c>
      <c r="D39" s="107">
        <f>15.97+0.43</f>
        <v>16.400000000000002</v>
      </c>
      <c r="E39" s="341">
        <f aca="true" t="shared" si="6" ref="E39:E44">C39*D39</f>
        <v>16.400000000000002</v>
      </c>
      <c r="F39" s="7">
        <v>1</v>
      </c>
      <c r="G39" s="107">
        <f>'PS North (TOU)'!G50</f>
        <v>28.94</v>
      </c>
      <c r="H39" s="341">
        <f aca="true" t="shared" si="7" ref="H39:H44">F39*G39</f>
        <v>28.94</v>
      </c>
      <c r="I39" s="214">
        <f aca="true" t="shared" si="8" ref="I39:I53">H39-E39</f>
        <v>12.54</v>
      </c>
      <c r="J39" s="183">
        <f aca="true" t="shared" si="9" ref="J39:J51">I39/E$51</f>
        <v>0.042732521039223835</v>
      </c>
    </row>
    <row r="40" spans="2:10" ht="17.25" customHeight="1">
      <c r="B40" s="109" t="s">
        <v>10</v>
      </c>
      <c r="C40" s="81">
        <f>C34</f>
        <v>2000</v>
      </c>
      <c r="D40" s="80">
        <v>0.0167</v>
      </c>
      <c r="E40" s="342">
        <f t="shared" si="6"/>
        <v>33.4</v>
      </c>
      <c r="F40" s="81">
        <f>C40</f>
        <v>2000</v>
      </c>
      <c r="G40" s="80">
        <v>0.0167</v>
      </c>
      <c r="H40" s="342">
        <f t="shared" si="7"/>
        <v>33.4</v>
      </c>
      <c r="I40" s="214">
        <f t="shared" si="8"/>
        <v>0</v>
      </c>
      <c r="J40" s="186">
        <f t="shared" si="9"/>
        <v>0</v>
      </c>
    </row>
    <row r="41" spans="2:10" ht="17.25" customHeight="1">
      <c r="B41" s="109" t="s">
        <v>11</v>
      </c>
      <c r="C41" s="81"/>
      <c r="D41" s="107">
        <v>0</v>
      </c>
      <c r="E41" s="342">
        <f t="shared" si="6"/>
        <v>0</v>
      </c>
      <c r="F41" s="81">
        <f>G35</f>
        <v>0</v>
      </c>
      <c r="G41" s="107">
        <v>0</v>
      </c>
      <c r="H41" s="342">
        <f t="shared" si="7"/>
        <v>0</v>
      </c>
      <c r="I41" s="214">
        <f t="shared" si="8"/>
        <v>0</v>
      </c>
      <c r="J41" s="186">
        <f t="shared" si="9"/>
        <v>0</v>
      </c>
    </row>
    <row r="42" spans="2:10" ht="17.25" customHeight="1">
      <c r="B42" s="109" t="s">
        <v>12</v>
      </c>
      <c r="C42" s="81">
        <f>C40</f>
        <v>2000</v>
      </c>
      <c r="D42" s="80">
        <v>0.0001</v>
      </c>
      <c r="E42" s="342">
        <f t="shared" si="6"/>
        <v>0.2</v>
      </c>
      <c r="F42" s="81">
        <f>C42</f>
        <v>2000</v>
      </c>
      <c r="G42" s="80">
        <v>0.0001</v>
      </c>
      <c r="H42" s="342">
        <f t="shared" si="7"/>
        <v>0.2</v>
      </c>
      <c r="I42" s="214">
        <f t="shared" si="8"/>
        <v>0</v>
      </c>
      <c r="J42" s="186">
        <f t="shared" si="9"/>
        <v>0</v>
      </c>
    </row>
    <row r="43" spans="2:10" ht="17.25" customHeight="1">
      <c r="B43" s="111" t="s">
        <v>13</v>
      </c>
      <c r="C43" s="81">
        <f>C42</f>
        <v>2000</v>
      </c>
      <c r="D43" s="80"/>
      <c r="E43" s="175">
        <f t="shared" si="6"/>
        <v>0</v>
      </c>
      <c r="F43" s="81">
        <f>C43</f>
        <v>2000</v>
      </c>
      <c r="G43" s="80"/>
      <c r="H43" s="175">
        <f t="shared" si="7"/>
        <v>0</v>
      </c>
      <c r="I43" s="214">
        <f t="shared" si="8"/>
        <v>0</v>
      </c>
      <c r="J43" s="186">
        <f t="shared" si="9"/>
        <v>0</v>
      </c>
    </row>
    <row r="44" spans="2:10" ht="17.25" customHeight="1" thickBot="1">
      <c r="B44" s="112" t="s">
        <v>14</v>
      </c>
      <c r="C44" s="113">
        <f>+C41</f>
        <v>0</v>
      </c>
      <c r="D44" s="80"/>
      <c r="E44" s="342">
        <f t="shared" si="6"/>
        <v>0</v>
      </c>
      <c r="F44" s="113">
        <f>+F41</f>
        <v>0</v>
      </c>
      <c r="G44" s="80"/>
      <c r="H44" s="342">
        <f t="shared" si="7"/>
        <v>0</v>
      </c>
      <c r="I44" s="215">
        <f t="shared" si="8"/>
        <v>0</v>
      </c>
      <c r="J44" s="190">
        <f t="shared" si="9"/>
        <v>0</v>
      </c>
    </row>
    <row r="45" spans="2:15" ht="17.25" customHeight="1" thickBot="1">
      <c r="B45" s="8" t="s">
        <v>15</v>
      </c>
      <c r="C45" s="368"/>
      <c r="D45" s="371"/>
      <c r="E45" s="343">
        <f>SUM(E39:E44)</f>
        <v>50</v>
      </c>
      <c r="F45" s="368"/>
      <c r="G45" s="371"/>
      <c r="H45" s="343">
        <f>SUM(H39:H44)</f>
        <v>62.540000000000006</v>
      </c>
      <c r="I45" s="216">
        <f t="shared" si="8"/>
        <v>12.540000000000006</v>
      </c>
      <c r="J45" s="192">
        <f t="shared" si="9"/>
        <v>0.042732521039223856</v>
      </c>
      <c r="N45" s="322">
        <f>E33</f>
        <v>40664</v>
      </c>
      <c r="O45" s="322">
        <f>H33</f>
        <v>40848</v>
      </c>
    </row>
    <row r="46" spans="2:17" ht="17.25" customHeight="1">
      <c r="B46" s="114" t="s">
        <v>16</v>
      </c>
      <c r="C46" s="115">
        <f>C40*E34</f>
        <v>2113</v>
      </c>
      <c r="D46" s="79">
        <f>D20</f>
        <v>0.0135</v>
      </c>
      <c r="E46" s="344">
        <f>+(D46-0.007)*C46+$C34*0.007+0.25</f>
        <v>27.984499999999997</v>
      </c>
      <c r="F46" s="115">
        <f>F40*H34</f>
        <v>2113</v>
      </c>
      <c r="G46" s="79">
        <f>G20</f>
        <v>0.0135</v>
      </c>
      <c r="H46" s="344">
        <f>+(G46-0.007)*F46+$C34*0.007+0.25</f>
        <v>27.984499999999997</v>
      </c>
      <c r="I46" s="214">
        <f t="shared" si="8"/>
        <v>0</v>
      </c>
      <c r="J46" s="183">
        <f t="shared" si="9"/>
        <v>0</v>
      </c>
      <c r="M46" s="14" t="s">
        <v>23</v>
      </c>
      <c r="N46" s="323">
        <f>E48+E49</f>
        <v>158.67700000000002</v>
      </c>
      <c r="O46" s="323">
        <f>H48+H49</f>
        <v>158.67700000000002</v>
      </c>
      <c r="P46" s="323">
        <f aca="true" t="shared" si="10" ref="P46:P53">O46-N46</f>
        <v>0</v>
      </c>
      <c r="Q46" s="324">
        <f aca="true" t="shared" si="11" ref="Q46:Q53">P46/N46</f>
        <v>0</v>
      </c>
    </row>
    <row r="47" spans="2:17" ht="17.25" customHeight="1">
      <c r="B47" s="118" t="s">
        <v>17</v>
      </c>
      <c r="C47" s="10">
        <f>IF(C41=0,C40*E34,C41)</f>
        <v>2113</v>
      </c>
      <c r="D47" s="119">
        <f>0.006+0.0049</f>
        <v>0.0109</v>
      </c>
      <c r="E47" s="345">
        <f>C47*D47</f>
        <v>23.0317</v>
      </c>
      <c r="F47" s="27">
        <f>IF(F41=0,F40*H34,F41)</f>
        <v>2113</v>
      </c>
      <c r="G47" s="119">
        <f>0.006+0.0049</f>
        <v>0.0109</v>
      </c>
      <c r="H47" s="345">
        <f>F47*G47</f>
        <v>23.0317</v>
      </c>
      <c r="I47" s="214">
        <f t="shared" si="8"/>
        <v>0</v>
      </c>
      <c r="J47" s="186">
        <f t="shared" si="9"/>
        <v>0</v>
      </c>
      <c r="M47" s="14" t="s">
        <v>58</v>
      </c>
      <c r="N47" s="323">
        <f>E45+E47</f>
        <v>73.0317</v>
      </c>
      <c r="O47" s="323">
        <f>H45+H47</f>
        <v>85.5717</v>
      </c>
      <c r="P47" s="323">
        <f t="shared" si="10"/>
        <v>12.540000000000006</v>
      </c>
      <c r="Q47" s="324">
        <f t="shared" si="11"/>
        <v>0.1717062590628454</v>
      </c>
    </row>
    <row r="48" spans="2:17" ht="17.25" customHeight="1">
      <c r="B48" s="111" t="s">
        <v>38</v>
      </c>
      <c r="C48" s="10">
        <f>IF(C46&lt;E35,C46,E35)</f>
        <v>750</v>
      </c>
      <c r="D48" s="43">
        <f>D22</f>
        <v>0.068</v>
      </c>
      <c r="E48" s="346">
        <f>C48*D48</f>
        <v>51.00000000000001</v>
      </c>
      <c r="F48" s="27">
        <f>IF(F46&lt;H35,F46,H35)</f>
        <v>750</v>
      </c>
      <c r="G48" s="43">
        <f>G22</f>
        <v>0.068</v>
      </c>
      <c r="H48" s="346">
        <f>F48*G48</f>
        <v>51.00000000000001</v>
      </c>
      <c r="I48" s="214">
        <f t="shared" si="8"/>
        <v>0</v>
      </c>
      <c r="J48" s="186">
        <f t="shared" si="9"/>
        <v>0</v>
      </c>
      <c r="M48" s="14" t="s">
        <v>59</v>
      </c>
      <c r="N48" s="323">
        <f>E46-0.007*C34</f>
        <v>13.984499999999997</v>
      </c>
      <c r="O48" s="325">
        <f>H46-0.007*C34</f>
        <v>13.984499999999997</v>
      </c>
      <c r="P48" s="323">
        <f t="shared" si="10"/>
        <v>0</v>
      </c>
      <c r="Q48" s="324">
        <f t="shared" si="11"/>
        <v>0</v>
      </c>
    </row>
    <row r="49" spans="2:17" ht="17.25" customHeight="1">
      <c r="B49" s="111" t="s">
        <v>38</v>
      </c>
      <c r="C49" s="10">
        <f>IF(C46&lt;C48,0,C46-C48)</f>
        <v>1363</v>
      </c>
      <c r="D49" s="43">
        <f>D23</f>
        <v>0.079</v>
      </c>
      <c r="E49" s="346">
        <f>C49*D49</f>
        <v>107.677</v>
      </c>
      <c r="F49" s="27">
        <f>IF(F46&lt;F48,0,F46-F48)</f>
        <v>1363</v>
      </c>
      <c r="G49" s="45">
        <f>G23</f>
        <v>0.079</v>
      </c>
      <c r="H49" s="346">
        <f>F49*G49</f>
        <v>107.677</v>
      </c>
      <c r="I49" s="214">
        <f t="shared" si="8"/>
        <v>0</v>
      </c>
      <c r="J49" s="186">
        <f t="shared" si="9"/>
        <v>0</v>
      </c>
      <c r="M49" s="14" t="s">
        <v>60</v>
      </c>
      <c r="N49" s="323">
        <f>0.007*$C$34</f>
        <v>14</v>
      </c>
      <c r="O49" s="323">
        <f>0.007*$C$34</f>
        <v>14</v>
      </c>
      <c r="P49" s="323">
        <f t="shared" si="10"/>
        <v>0</v>
      </c>
      <c r="Q49" s="324">
        <f t="shared" si="11"/>
        <v>0</v>
      </c>
    </row>
    <row r="50" spans="2:17" s="125" customFormat="1" ht="17.25" customHeight="1" thickBot="1">
      <c r="B50" s="134" t="s">
        <v>21</v>
      </c>
      <c r="C50" s="11"/>
      <c r="D50" s="43"/>
      <c r="E50" s="346">
        <f>SUM(E45:E49)</f>
        <v>259.6932</v>
      </c>
      <c r="F50" s="124"/>
      <c r="G50" s="44"/>
      <c r="H50" s="346">
        <f>SUM(H45:H49)</f>
        <v>272.2332</v>
      </c>
      <c r="I50" s="214">
        <f t="shared" si="8"/>
        <v>12.54000000000002</v>
      </c>
      <c r="J50" s="200">
        <f t="shared" si="9"/>
        <v>0.042732521039223904</v>
      </c>
      <c r="K50" s="326"/>
      <c r="N50" s="327">
        <f>SUM(N46:N49)</f>
        <v>259.69320000000005</v>
      </c>
      <c r="O50" s="327">
        <f>SUM(O46:O49)</f>
        <v>272.2332</v>
      </c>
      <c r="P50" s="327">
        <f t="shared" si="10"/>
        <v>12.539999999999964</v>
      </c>
      <c r="Q50" s="328">
        <f t="shared" si="11"/>
        <v>0.048287748774322785</v>
      </c>
    </row>
    <row r="51" spans="2:17" ht="17.25" customHeight="1" thickBot="1">
      <c r="B51" s="12" t="s">
        <v>22</v>
      </c>
      <c r="C51" s="252"/>
      <c r="D51" s="252"/>
      <c r="E51" s="347">
        <f>E50*(1+0.13)</f>
        <v>293.453316</v>
      </c>
      <c r="F51" s="195"/>
      <c r="G51" s="195"/>
      <c r="H51" s="347">
        <f>H50*(1+0.13)</f>
        <v>307.623516</v>
      </c>
      <c r="I51" s="269">
        <f t="shared" si="8"/>
        <v>14.170200000000023</v>
      </c>
      <c r="J51" s="268">
        <f t="shared" si="9"/>
        <v>0.048287748774323014</v>
      </c>
      <c r="M51" s="125" t="s">
        <v>61</v>
      </c>
      <c r="N51" s="36">
        <f>0.13*N50</f>
        <v>33.76011600000001</v>
      </c>
      <c r="O51" s="36">
        <f>0.13*O50</f>
        <v>35.390316000000006</v>
      </c>
      <c r="P51" s="36">
        <f t="shared" si="10"/>
        <v>1.630199999999995</v>
      </c>
      <c r="Q51" s="324">
        <f t="shared" si="11"/>
        <v>0.04828774877432277</v>
      </c>
    </row>
    <row r="52" spans="2:17" ht="17.25" customHeight="1" thickBot="1">
      <c r="B52" s="82" t="s">
        <v>62</v>
      </c>
      <c r="C52" s="354">
        <v>0.1</v>
      </c>
      <c r="D52" s="201"/>
      <c r="E52" s="348">
        <f>-C52*E51</f>
        <v>-29.345331599999998</v>
      </c>
      <c r="F52" s="201"/>
      <c r="G52" s="201"/>
      <c r="H52" s="348">
        <f>-C52*H51</f>
        <v>-30.762351600000002</v>
      </c>
      <c r="I52" s="270">
        <f t="shared" si="8"/>
        <v>-1.4170200000000044</v>
      </c>
      <c r="J52" s="202">
        <f>I52/E$26</f>
        <v>0.11561119971973077</v>
      </c>
      <c r="K52" s="14"/>
      <c r="M52" s="125" t="s">
        <v>51</v>
      </c>
      <c r="N52" s="36">
        <f>-0.1*(N50+N51)</f>
        <v>-29.34533160000001</v>
      </c>
      <c r="O52" s="36">
        <f>-0.1*(O50+O51)</f>
        <v>-30.762351600000002</v>
      </c>
      <c r="P52" s="36">
        <f t="shared" si="10"/>
        <v>-1.4170199999999937</v>
      </c>
      <c r="Q52" s="324">
        <f t="shared" si="11"/>
        <v>0.0482877487743227</v>
      </c>
    </row>
    <row r="53" spans="2:17" ht="17.25" customHeight="1" thickBot="1">
      <c r="B53" s="283" t="s">
        <v>48</v>
      </c>
      <c r="C53" s="291"/>
      <c r="D53" s="204"/>
      <c r="E53" s="349">
        <f>E51+E52</f>
        <v>264.10798439999996</v>
      </c>
      <c r="F53" s="204"/>
      <c r="G53" s="204"/>
      <c r="H53" s="349">
        <f>H51+H52</f>
        <v>276.8611644</v>
      </c>
      <c r="I53" s="366">
        <f t="shared" si="8"/>
        <v>12.753180000000043</v>
      </c>
      <c r="J53" s="338">
        <f>I53/E53</f>
        <v>0.048287748774323104</v>
      </c>
      <c r="K53" s="14"/>
      <c r="M53" s="330" t="s">
        <v>52</v>
      </c>
      <c r="N53" s="331">
        <f>N50+N51+N52</f>
        <v>264.1079844000001</v>
      </c>
      <c r="O53" s="331">
        <f>O50+O51+O52</f>
        <v>276.8611644</v>
      </c>
      <c r="P53" s="331">
        <f t="shared" si="10"/>
        <v>12.75317999999993</v>
      </c>
      <c r="Q53" s="332">
        <f t="shared" si="11"/>
        <v>0.04828774877432265</v>
      </c>
    </row>
    <row r="54" spans="8:11" ht="12.75">
      <c r="H54" s="127"/>
      <c r="K54" s="14"/>
    </row>
    <row r="55" spans="5:11" ht="12.75">
      <c r="E55" s="15"/>
      <c r="H55" s="127"/>
      <c r="K55" s="14"/>
    </row>
    <row r="56" spans="8:11" ht="12.75">
      <c r="H56" s="127"/>
      <c r="K56" s="14"/>
    </row>
  </sheetData>
  <sheetProtection/>
  <mergeCells count="8">
    <mergeCell ref="F11:H11"/>
    <mergeCell ref="F19:G19"/>
    <mergeCell ref="F37:H37"/>
    <mergeCell ref="F45:G45"/>
    <mergeCell ref="C45:D45"/>
    <mergeCell ref="C19:D19"/>
    <mergeCell ref="C11:E11"/>
    <mergeCell ref="C37:E37"/>
  </mergeCells>
  <printOptions horizontalCentered="1"/>
  <pageMargins left="0.21" right="0.17" top="0.44" bottom="0.38" header="0.22" footer="0.17"/>
  <pageSetup fitToHeight="1" fitToWidth="1" horizontalDpi="300" verticalDpi="3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Q50" sqref="Q50"/>
    </sheetView>
  </sheetViews>
  <sheetFormatPr defaultColWidth="9.140625" defaultRowHeight="12.75"/>
  <cols>
    <col min="1" max="1" width="28.7109375" style="38" bestFit="1" customWidth="1"/>
    <col min="2" max="2" width="9.8515625" style="0" bestFit="1" customWidth="1"/>
    <col min="4" max="4" width="32.421875" style="0" bestFit="1" customWidth="1"/>
    <col min="5" max="5" width="9.8515625" style="0" bestFit="1" customWidth="1"/>
    <col min="8" max="8" width="32.421875" style="0" bestFit="1" customWidth="1"/>
  </cols>
  <sheetData>
    <row r="2" ht="12.75">
      <c r="A2" s="30" t="s">
        <v>31</v>
      </c>
    </row>
    <row r="5" spans="1:9" ht="12.75">
      <c r="A5" s="31" t="s">
        <v>9</v>
      </c>
      <c r="B5" s="32">
        <f>'PS North (TOU)'!H13</f>
        <v>17.32</v>
      </c>
      <c r="D5" t="s">
        <v>32</v>
      </c>
      <c r="E5" s="33">
        <f>B5+B6+B7</f>
        <v>28.439999999999998</v>
      </c>
      <c r="H5" t="str">
        <f>D5</f>
        <v>Distribution charges by PowerStream</v>
      </c>
      <c r="I5" s="33">
        <f>E5</f>
        <v>28.439999999999998</v>
      </c>
    </row>
    <row r="6" spans="1:9" ht="12.75">
      <c r="A6" s="31" t="s">
        <v>10</v>
      </c>
      <c r="B6" s="32">
        <f>'PS North (TOU)'!H14</f>
        <v>11.12</v>
      </c>
      <c r="D6" t="s">
        <v>33</v>
      </c>
      <c r="E6" s="33">
        <f>B9</f>
        <v>11.343800000000002</v>
      </c>
      <c r="H6" t="str">
        <f>D7</f>
        <v>Transmission charges</v>
      </c>
      <c r="I6" s="33">
        <f>E7</f>
        <v>10.1424</v>
      </c>
    </row>
    <row r="7" spans="1:9" ht="12.75">
      <c r="A7" s="31" t="s">
        <v>13</v>
      </c>
      <c r="B7" s="32">
        <f>'PS North (TOU)'!H17</f>
        <v>0</v>
      </c>
      <c r="D7" t="s">
        <v>17</v>
      </c>
      <c r="E7" s="33">
        <f>B10</f>
        <v>10.1424</v>
      </c>
      <c r="H7" t="str">
        <f>D8</f>
        <v>Electricity</v>
      </c>
      <c r="I7" s="33">
        <f>E8</f>
        <v>61.73340799999999</v>
      </c>
    </row>
    <row r="8" spans="1:9" ht="12.75">
      <c r="A8" s="31" t="s">
        <v>14</v>
      </c>
      <c r="B8" s="32">
        <f>'PS North (TOU)'!H18</f>
        <v>0</v>
      </c>
      <c r="D8" t="s">
        <v>34</v>
      </c>
      <c r="E8" s="33">
        <f>B11+B12</f>
        <v>61.73340799999999</v>
      </c>
      <c r="H8" t="s">
        <v>35</v>
      </c>
      <c r="I8" s="33">
        <f>0.007*800</f>
        <v>5.6000000000000005</v>
      </c>
    </row>
    <row r="9" spans="1:9" ht="12.75">
      <c r="A9" s="31" t="s">
        <v>16</v>
      </c>
      <c r="B9" s="32">
        <f>'PS North (TOU)'!H20</f>
        <v>11.343800000000002</v>
      </c>
      <c r="D9" t="s">
        <v>36</v>
      </c>
      <c r="E9" s="33">
        <f>B13</f>
        <v>14.51574904</v>
      </c>
      <c r="H9" t="s">
        <v>37</v>
      </c>
      <c r="I9" s="33">
        <f>E6-I8</f>
        <v>5.743800000000001</v>
      </c>
    </row>
    <row r="10" spans="1:9" ht="12.75">
      <c r="A10" s="31" t="s">
        <v>17</v>
      </c>
      <c r="B10" s="32">
        <f>'PS North (TOU)'!H21</f>
        <v>10.1424</v>
      </c>
      <c r="E10" s="33">
        <f>SUM(E5:E9)</f>
        <v>126.17535704</v>
      </c>
      <c r="H10" t="str">
        <f>D9</f>
        <v>Taxes</v>
      </c>
      <c r="I10" s="33">
        <f>E9</f>
        <v>14.51574904</v>
      </c>
    </row>
    <row r="11" spans="1:9" ht="12.75">
      <c r="A11" s="31" t="s">
        <v>38</v>
      </c>
      <c r="B11" s="32">
        <f>'PS North (TOU)'!H22+'PS North (TOU)'!H23+'PS North (TOU)'!H24</f>
        <v>61.73340799999999</v>
      </c>
      <c r="I11" s="33">
        <f>SUM(I5:I10)</f>
        <v>126.17535704</v>
      </c>
    </row>
    <row r="12" spans="1:2" ht="12.75">
      <c r="A12" s="31"/>
      <c r="B12" s="32"/>
    </row>
    <row r="13" spans="1:2" ht="12.75">
      <c r="A13" s="34" t="s">
        <v>36</v>
      </c>
      <c r="B13" s="32">
        <f>SUM(B5:B12)*0.13</f>
        <v>14.51574904</v>
      </c>
    </row>
    <row r="14" spans="1:2" ht="12.75">
      <c r="A14" s="34" t="s">
        <v>39</v>
      </c>
      <c r="B14" s="32">
        <f>SUM(B5:B13)</f>
        <v>126.17535704</v>
      </c>
    </row>
    <row r="15" spans="1:2" ht="12.75">
      <c r="A15" s="35"/>
      <c r="B15" s="14"/>
    </row>
    <row r="16" spans="1:2" ht="12.75">
      <c r="A16" s="35" t="s">
        <v>40</v>
      </c>
      <c r="B16" s="36">
        <f>B14-'PS North (TOU)'!H26</f>
        <v>-0.3615999999999815</v>
      </c>
    </row>
    <row r="19" ht="12.75">
      <c r="A19" s="37" t="s">
        <v>41</v>
      </c>
    </row>
    <row r="49" ht="12.75">
      <c r="A49" s="3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0">
      <selection activeCell="Q50" sqref="Q50"/>
    </sheetView>
  </sheetViews>
  <sheetFormatPr defaultColWidth="9.140625" defaultRowHeight="12.75"/>
  <cols>
    <col min="1" max="1" width="28.7109375" style="38" bestFit="1" customWidth="1"/>
    <col min="2" max="2" width="9.8515625" style="0" bestFit="1" customWidth="1"/>
    <col min="4" max="4" width="19.421875" style="0" customWidth="1"/>
    <col min="5" max="5" width="9.8515625" style="0" bestFit="1" customWidth="1"/>
    <col min="8" max="8" width="32.421875" style="0" bestFit="1" customWidth="1"/>
  </cols>
  <sheetData>
    <row r="2" ht="12.75">
      <c r="A2" s="30" t="s">
        <v>42</v>
      </c>
    </row>
    <row r="5" spans="1:9" ht="12.75">
      <c r="A5" s="31" t="s">
        <v>9</v>
      </c>
      <c r="B5" s="32">
        <f>'PS SOUTH (TOU)'!H13</f>
        <v>10.32</v>
      </c>
      <c r="D5" t="s">
        <v>32</v>
      </c>
      <c r="E5" s="33">
        <f>B5+B6+B7</f>
        <v>20.880000000000003</v>
      </c>
      <c r="H5" t="str">
        <f>D5</f>
        <v>Distribution charges by PowerStream</v>
      </c>
      <c r="I5" s="33">
        <f>E5</f>
        <v>20.880000000000003</v>
      </c>
    </row>
    <row r="6" spans="1:9" ht="12.75">
      <c r="A6" s="31" t="s">
        <v>10</v>
      </c>
      <c r="B6" s="32">
        <f>'PS SOUTH (TOU)'!H14</f>
        <v>10.56</v>
      </c>
      <c r="D6" t="s">
        <v>33</v>
      </c>
      <c r="E6" s="33">
        <f>B9</f>
        <v>11.205480000000001</v>
      </c>
      <c r="H6" t="str">
        <f>D7</f>
        <v>Transmission charges</v>
      </c>
      <c r="I6" s="33">
        <f>E7</f>
        <v>7.415280000000002</v>
      </c>
    </row>
    <row r="7" spans="1:9" ht="12.75">
      <c r="A7" s="31" t="s">
        <v>13</v>
      </c>
      <c r="B7" s="32">
        <f>'PS SOUTH (TOU)'!H17</f>
        <v>0</v>
      </c>
      <c r="D7" t="s">
        <v>17</v>
      </c>
      <c r="E7" s="33">
        <f>B10</f>
        <v>7.415280000000002</v>
      </c>
      <c r="H7" t="str">
        <f>D8</f>
        <v>Electricity</v>
      </c>
      <c r="I7" s="33">
        <f>E8</f>
        <v>60.1791168</v>
      </c>
    </row>
    <row r="8" spans="1:9" ht="12.75">
      <c r="A8" s="31" t="s">
        <v>14</v>
      </c>
      <c r="B8" s="32">
        <f>'PS SOUTH (TOU)'!H18</f>
        <v>0</v>
      </c>
      <c r="D8" t="s">
        <v>34</v>
      </c>
      <c r="E8" s="33">
        <f>B11+B12</f>
        <v>60.1791168</v>
      </c>
      <c r="H8" t="s">
        <v>35</v>
      </c>
      <c r="I8" s="33">
        <f>0.007*800</f>
        <v>5.6000000000000005</v>
      </c>
    </row>
    <row r="9" spans="1:9" ht="12.75">
      <c r="A9" s="31" t="s">
        <v>16</v>
      </c>
      <c r="B9" s="32">
        <f>'PS SOUTH (TOU)'!H20</f>
        <v>11.205480000000001</v>
      </c>
      <c r="D9" t="s">
        <v>36</v>
      </c>
      <c r="E9" s="33">
        <f>B13</f>
        <v>12.958383984000003</v>
      </c>
      <c r="H9" t="s">
        <v>37</v>
      </c>
      <c r="I9" s="33">
        <f>E6-I8</f>
        <v>5.605480000000001</v>
      </c>
    </row>
    <row r="10" spans="1:9" ht="12.75">
      <c r="A10" s="31" t="s">
        <v>17</v>
      </c>
      <c r="B10" s="32">
        <f>'PS SOUTH (TOU)'!H21</f>
        <v>7.415280000000002</v>
      </c>
      <c r="E10" s="33">
        <f>SUM(E5:E9)</f>
        <v>112.63826078400002</v>
      </c>
      <c r="H10" t="str">
        <f>D9</f>
        <v>Taxes</v>
      </c>
      <c r="I10" s="33">
        <f>E9</f>
        <v>12.958383984000003</v>
      </c>
    </row>
    <row r="11" spans="1:9" ht="12.75">
      <c r="A11" s="31" t="s">
        <v>38</v>
      </c>
      <c r="B11" s="32">
        <f>'PS SOUTH (TOU)'!H22+'PS SOUTH (TOU)'!H23+'PS SOUTH (TOU)'!H24</f>
        <v>60.1791168</v>
      </c>
      <c r="I11" s="33">
        <f>SUM(I5:I10)</f>
        <v>112.63826078400001</v>
      </c>
    </row>
    <row r="12" spans="1:2" ht="12.75">
      <c r="A12" s="31"/>
      <c r="B12" s="32"/>
    </row>
    <row r="13" spans="1:2" ht="12.75">
      <c r="A13" s="34" t="s">
        <v>36</v>
      </c>
      <c r="B13" s="32">
        <f>SUM(B5:B12)*0.13</f>
        <v>12.958383984000003</v>
      </c>
    </row>
    <row r="14" spans="1:2" ht="12.75">
      <c r="A14" s="34" t="s">
        <v>39</v>
      </c>
      <c r="B14" s="32">
        <f>SUM(B5:B13)</f>
        <v>112.63826078400002</v>
      </c>
    </row>
    <row r="15" spans="1:2" ht="12.75">
      <c r="A15" s="35"/>
      <c r="B15" s="14"/>
    </row>
    <row r="16" spans="1:2" ht="12.75">
      <c r="A16" s="35" t="s">
        <v>40</v>
      </c>
      <c r="B16" s="36">
        <f>B14-'PS SOUTH (TOU)'!H26</f>
        <v>-0.18079999999996232</v>
      </c>
    </row>
    <row r="19" ht="12.75">
      <c r="A19" s="37" t="s">
        <v>41</v>
      </c>
    </row>
    <row r="49" ht="12.75">
      <c r="A49" s="3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21">
      <selection activeCell="Q50" sqref="Q50"/>
    </sheetView>
  </sheetViews>
  <sheetFormatPr defaultColWidth="9.140625" defaultRowHeight="12.75"/>
  <cols>
    <col min="1" max="1" width="28.7109375" style="38" bestFit="1" customWidth="1"/>
    <col min="2" max="2" width="9.8515625" style="0" bestFit="1" customWidth="1"/>
    <col min="6" max="6" width="32.421875" style="0" bestFit="1" customWidth="1"/>
    <col min="7" max="7" width="9.8515625" style="0" bestFit="1" customWidth="1"/>
    <col min="10" max="10" width="32.421875" style="0" bestFit="1" customWidth="1"/>
  </cols>
  <sheetData>
    <row r="2" ht="12.75">
      <c r="A2" s="30" t="s">
        <v>43</v>
      </c>
    </row>
    <row r="4" spans="2:11" ht="12.75">
      <c r="B4" s="39" t="s">
        <v>44</v>
      </c>
      <c r="C4" s="39" t="s">
        <v>45</v>
      </c>
      <c r="D4" s="39" t="s">
        <v>46</v>
      </c>
      <c r="G4" s="40" t="s">
        <v>46</v>
      </c>
      <c r="K4" s="40" t="s">
        <v>46</v>
      </c>
    </row>
    <row r="5" spans="1:11" ht="12.75">
      <c r="A5" s="31" t="s">
        <v>9</v>
      </c>
      <c r="B5" s="32">
        <f>'PSN chart'!B5</f>
        <v>17.32</v>
      </c>
      <c r="C5" s="33">
        <f>'PSS chart'!B5</f>
        <v>10.32</v>
      </c>
      <c r="D5" s="33">
        <f aca="true" t="shared" si="0" ref="D5:D13">AVERAGE(B5:C5)</f>
        <v>13.82</v>
      </c>
      <c r="E5" s="33"/>
      <c r="F5" t="s">
        <v>32</v>
      </c>
      <c r="G5" s="33">
        <f>D5+D6+D7</f>
        <v>24.66</v>
      </c>
      <c r="J5" t="str">
        <f>F5</f>
        <v>Distribution charges by PowerStream</v>
      </c>
      <c r="K5" s="33">
        <f>G5</f>
        <v>24.66</v>
      </c>
    </row>
    <row r="6" spans="1:11" ht="12.75">
      <c r="A6" s="31" t="s">
        <v>10</v>
      </c>
      <c r="B6" s="32">
        <f>'PSN chart'!B6</f>
        <v>11.12</v>
      </c>
      <c r="C6" s="33">
        <f>'PSS chart'!B6</f>
        <v>10.56</v>
      </c>
      <c r="D6" s="33">
        <f t="shared" si="0"/>
        <v>10.84</v>
      </c>
      <c r="E6" s="33"/>
      <c r="F6" t="s">
        <v>33</v>
      </c>
      <c r="G6" s="33">
        <f>D9</f>
        <v>11.274640000000002</v>
      </c>
      <c r="J6" t="str">
        <f>F7</f>
        <v>Transmission charges</v>
      </c>
      <c r="K6" s="33">
        <f>G7</f>
        <v>8.77884</v>
      </c>
    </row>
    <row r="7" spans="1:11" ht="12.75">
      <c r="A7" s="31" t="s">
        <v>13</v>
      </c>
      <c r="B7" s="32">
        <f>'PSN chart'!B7</f>
        <v>0</v>
      </c>
      <c r="C7" s="33">
        <f>'PSS chart'!B7</f>
        <v>0</v>
      </c>
      <c r="D7" s="33">
        <f t="shared" si="0"/>
        <v>0</v>
      </c>
      <c r="E7" s="33"/>
      <c r="F7" t="s">
        <v>17</v>
      </c>
      <c r="G7" s="33">
        <f>D10</f>
        <v>8.77884</v>
      </c>
      <c r="J7" t="str">
        <f>F8</f>
        <v>Electricity</v>
      </c>
      <c r="K7" s="33">
        <f>G8</f>
        <v>60.9562624</v>
      </c>
    </row>
    <row r="8" spans="1:11" ht="12.75">
      <c r="A8" s="31" t="s">
        <v>14</v>
      </c>
      <c r="B8" s="32">
        <f>'PSN chart'!B8</f>
        <v>0</v>
      </c>
      <c r="C8" s="33">
        <f>'PSS chart'!B8</f>
        <v>0</v>
      </c>
      <c r="D8" s="33">
        <f t="shared" si="0"/>
        <v>0</v>
      </c>
      <c r="E8" s="33"/>
      <c r="F8" t="s">
        <v>34</v>
      </c>
      <c r="G8" s="33">
        <f>D11+D12</f>
        <v>60.9562624</v>
      </c>
      <c r="J8" t="s">
        <v>35</v>
      </c>
      <c r="K8" s="33">
        <f>0.007*800</f>
        <v>5.6000000000000005</v>
      </c>
    </row>
    <row r="9" spans="1:11" ht="12.75">
      <c r="A9" s="31" t="s">
        <v>16</v>
      </c>
      <c r="B9" s="32">
        <f>'PSN chart'!B9</f>
        <v>11.343800000000002</v>
      </c>
      <c r="C9" s="33">
        <f>'PSS chart'!B9</f>
        <v>11.205480000000001</v>
      </c>
      <c r="D9" s="33">
        <f t="shared" si="0"/>
        <v>11.274640000000002</v>
      </c>
      <c r="E9" s="33"/>
      <c r="F9" t="s">
        <v>36</v>
      </c>
      <c r="G9" s="33">
        <f>D13</f>
        <v>13.737066512000002</v>
      </c>
      <c r="J9" t="s">
        <v>37</v>
      </c>
      <c r="K9" s="33">
        <f>G6-K8</f>
        <v>5.674640000000001</v>
      </c>
    </row>
    <row r="10" spans="1:11" ht="13.5" thickBot="1">
      <c r="A10" s="31" t="s">
        <v>17</v>
      </c>
      <c r="B10" s="32">
        <f>'PSN chart'!B10</f>
        <v>10.1424</v>
      </c>
      <c r="C10" s="33">
        <f>'PSS chart'!B10</f>
        <v>7.415280000000002</v>
      </c>
      <c r="D10" s="33">
        <f t="shared" si="0"/>
        <v>8.77884</v>
      </c>
      <c r="E10" s="33"/>
      <c r="G10" s="41">
        <f>SUM(G5:G9)</f>
        <v>119.406808912</v>
      </c>
      <c r="J10" t="str">
        <f>F9</f>
        <v>Taxes</v>
      </c>
      <c r="K10" s="33">
        <f>G9</f>
        <v>13.737066512000002</v>
      </c>
    </row>
    <row r="11" spans="1:11" ht="13.5" thickBot="1">
      <c r="A11" s="31" t="s">
        <v>38</v>
      </c>
      <c r="B11" s="32">
        <f>'PSN chart'!B11</f>
        <v>61.73340799999999</v>
      </c>
      <c r="C11" s="33">
        <f>'PSS chart'!B11</f>
        <v>60.1791168</v>
      </c>
      <c r="D11" s="33">
        <f t="shared" si="0"/>
        <v>60.9562624</v>
      </c>
      <c r="E11" s="33"/>
      <c r="K11" s="41">
        <f>SUM(K5:K10)</f>
        <v>119.40680891199999</v>
      </c>
    </row>
    <row r="12" spans="1:5" ht="12.75">
      <c r="A12" s="31"/>
      <c r="B12" s="32">
        <f>'PSN chart'!B12</f>
        <v>0</v>
      </c>
      <c r="C12" s="33"/>
      <c r="D12" s="33"/>
      <c r="E12" s="33"/>
    </row>
    <row r="13" spans="1:5" ht="12.75">
      <c r="A13" s="34" t="s">
        <v>36</v>
      </c>
      <c r="B13" s="32">
        <f>'PSN chart'!B13</f>
        <v>14.51574904</v>
      </c>
      <c r="C13" s="33">
        <f>'PSS chart'!B13</f>
        <v>12.958383984000003</v>
      </c>
      <c r="D13" s="33">
        <f t="shared" si="0"/>
        <v>13.737066512000002</v>
      </c>
      <c r="E13" s="33"/>
    </row>
    <row r="14" spans="1:5" ht="13.5" thickBot="1">
      <c r="A14" s="34" t="s">
        <v>39</v>
      </c>
      <c r="B14" s="42">
        <f>SUM(B5:B13)</f>
        <v>126.17535704</v>
      </c>
      <c r="C14" s="42">
        <f>SUM(C5:C13)</f>
        <v>112.63826078400002</v>
      </c>
      <c r="D14" s="42">
        <f>SUM(D5:D13)</f>
        <v>119.406808912</v>
      </c>
      <c r="E14" s="32"/>
    </row>
    <row r="15" spans="1:2" ht="12.75">
      <c r="A15" s="35"/>
      <c r="B15" s="14"/>
    </row>
    <row r="16" spans="1:3" ht="12.75">
      <c r="A16" s="35" t="s">
        <v>40</v>
      </c>
      <c r="B16" s="36">
        <f>B14-'PS North (TOU)'!H26</f>
        <v>-0.3615999999999815</v>
      </c>
      <c r="C16" s="33">
        <f>C14-'PS SOUTH (TOU)'!H26</f>
        <v>-0.18079999999996232</v>
      </c>
    </row>
    <row r="19" ht="12.75">
      <c r="A19" s="37"/>
    </row>
    <row r="49" ht="12.75">
      <c r="A49" s="3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PowerStream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elena.yampolsky</dc:creator>
  <cp:keywords/>
  <dc:description/>
  <cp:lastModifiedBy>tom.barrett</cp:lastModifiedBy>
  <cp:lastPrinted>2011-11-24T16:10:00Z</cp:lastPrinted>
  <dcterms:created xsi:type="dcterms:W3CDTF">2010-04-16T16:17:37Z</dcterms:created>
  <dcterms:modified xsi:type="dcterms:W3CDTF">2011-11-30T14:04:02Z</dcterms:modified>
  <cp:category/>
  <cp:version/>
  <cp:contentType/>
  <cp:contentStatus/>
</cp:coreProperties>
</file>