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4892" windowHeight="864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<sst xmlns="http://schemas.openxmlformats.org/spreadsheetml/2006/main" count="645" uniqueCount="458">
  <si>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</si>
  <si>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</si>
  <si>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</si>
  <si>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</si>
  <si>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</si>
  <si>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</si>
  <si>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</si>
  <si>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</si>
  <si>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</si>
  <si>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</si>
  <si>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</si>
  <si>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</si>
  <si>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</si>
  <si>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</si>
  <si>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</si>
  <si>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</si>
  <si>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</si>
  <si>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</si>
  <si>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</si>
  <si>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</si>
  <si>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</si>
  <si>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</si>
  <si>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</si>
  <si>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</si>
  <si>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</si>
  <si>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</si>
  <si>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</si>
  <si>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</si>
  <si>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</si>
  <si>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</si>
  <si>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</si>
  <si>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</si>
  <si>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</si>
  <si>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</si>
  <si>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</si>
  <si>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</si>
  <si>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</si>
  <si>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</si>
  <si>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</si>
  <si>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</si>
  <si>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</si>
  <si>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</si>
  <si>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</si>
  <si>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</si>
  <si>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</si>
  <si>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</si>
  <si>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</si>
  <si>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</si>
  <si>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</si>
  <si>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</si>
  <si>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</si>
  <si>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</si>
  <si>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</si>
  <si>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</si>
  <si>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</si>
  <si>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</si>
  <si>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</si>
  <si>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</si>
  <si>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</si>
  <si>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</si>
  <si>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</si>
  <si>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</si>
  <si>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</si>
  <si>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</si>
  <si>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</si>
  <si>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</si>
  <si>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</si>
  <si>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</si>
  <si>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</si>
  <si>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</si>
  <si>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</si>
  <si>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</si>
  <si>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</si>
  <si>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</si>
  <si>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</si>
  <si>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</si>
  <si>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</si>
  <si>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</si>
  <si>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</si>
  <si>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</si>
  <si>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</si>
  <si>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</si>
  <si>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</si>
  <si>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</si>
  <si>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</si>
  <si>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</si>
  <si>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</si>
  <si>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</si>
  <si>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</si>
  <si>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</si>
  <si>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</si>
  <si>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</si>
  <si>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</si>
  <si>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</si>
  <si>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</si>
  <si>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</si>
  <si>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</si>
  <si>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</si>
  <si>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</si>
  <si>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</si>
  <si>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</si>
  <si>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</si>
  <si>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</si>
  <si>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</si>
  <si>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</si>
  <si>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</si>
  <si>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</si>
  <si>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</si>
  <si>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</si>
  <si>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</si>
  <si>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</si>
  <si>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</si>
  <si>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</si>
  <si>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</si>
  <si>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</si>
  <si>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</si>
  <si>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</si>
  <si>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</si>
  <si>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</si>
  <si>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</si>
  <si>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</si>
  <si>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</si>
  <si>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</si>
  <si>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</si>
  <si>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</si>
  <si>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</si>
  <si>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</si>
  <si>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</si>
  <si>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</si>
  <si>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</si>
  <si>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</si>
  <si>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</si>
  <si>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</si>
  <si>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</si>
  <si>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</si>
  <si>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</si>
  <si>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</si>
  <si>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</si>
  <si>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</si>
  <si>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</si>
  <si>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</si>
  <si>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</si>
  <si>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</si>
  <si>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</si>
  <si>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</si>
  <si>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</si>
  <si>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</si>
  <si>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</si>
  <si>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</si>
  <si>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</si>
  <si>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</si>
  <si>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</si>
  <si>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</si>
  <si>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</si>
  <si>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</si>
  <si>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</si>
  <si>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</si>
  <si>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</si>
  <si>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</si>
  <si>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</si>
  <si>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</si>
  <si>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</si>
  <si>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</si>
  <si>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</si>
  <si>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</si>
  <si>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</si>
  <si>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</si>
  <si>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</si>
  <si>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</si>
  <si>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</si>
  <si>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</si>
  <si>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</si>
  <si>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</si>
  <si>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</si>
  <si>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</si>
  <si>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</si>
  <si>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</si>
  <si>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</si>
  <si>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</si>
  <si>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</si>
  <si>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</si>
  <si>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</si>
  <si>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</si>
  <si>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</si>
  <si>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</si>
  <si>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</si>
  <si>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</si>
  <si>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</si>
  <si>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</si>
  <si>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</si>
  <si>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</si>
  <si>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</si>
  <si>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</si>
  <si>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</si>
  <si>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</si>
  <si>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</si>
  <si>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</si>
  <si>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</si>
  <si>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</si>
  <si>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</si>
  <si>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</si>
  <si>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</si>
  <si>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</si>
  <si>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</si>
  <si>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</si>
  <si>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</si>
  <si>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</si>
  <si>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</si>
  <si>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</si>
  <si>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</si>
  <si>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</si>
  <si>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</si>
  <si>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</si>
  <si>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</si>
  <si>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</si>
  <si>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</si>
  <si>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</si>
  <si>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</si>
  <si>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</si>
  <si>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</si>
  <si>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</si>
  <si>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</si>
  <si>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</si>
  <si>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</si>
  <si>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</si>
  <si>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</si>
  <si>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</si>
  <si>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</si>
  <si>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</si>
  <si>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</si>
  <si>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</si>
  <si>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</si>
  <si>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</si>
  <si>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</si>
  <si>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</si>
  <si>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</si>
  <si>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</si>
  <si>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</si>
  <si>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</si>
  <si>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</si>
  <si>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</si>
  <si>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</si>
  <si>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</si>
  <si>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</si>
  <si>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</si>
  <si>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</si>
  <si>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</si>
  <si>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</si>
  <si>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</si>
  <si>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</si>
  <si>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</si>
  <si>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</si>
  <si>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</si>
  <si>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</si>
  <si>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</si>
  <si>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</si>
  <si>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</si>
  <si>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</si>
  <si>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</si>
  <si>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</si>
  <si>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</si>
  <si>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</si>
  <si>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</si>
  <si>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</si>
  <si>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</si>
  <si>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</si>
  <si>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</si>
  <si>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</si>
  <si>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</si>
  <si>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</si>
  <si>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</si>
  <si>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</si>
  <si>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</si>
  <si>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</si>
  <si>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</si>
  <si>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</si>
  <si>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</si>
  <si>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</si>
  <si>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</si>
  <si>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</si>
  <si>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</si>
  <si>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</si>
  <si>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</si>
  <si>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</si>
  <si>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</si>
  <si>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</si>
  <si>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</si>
  <si>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</si>
  <si>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</si>
  <si>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</si>
  <si>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</si>
  <si>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</si>
  <si>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</si>
  <si>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</si>
  <si>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</si>
  <si>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</si>
  <si>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</si>
  <si>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</si>
  <si>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</si>
  <si>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</si>
  <si>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</si>
  <si>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</si>
  <si>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</si>
  <si>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</si>
  <si>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</si>
  <si>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</si>
  <si>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</si>
  <si>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</si>
  <si>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</si>
  <si>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</si>
  <si>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</si>
  <si>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</si>
  <si>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</si>
  <si>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</si>
  <si>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</si>
  <si>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</si>
  <si>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</si>
  <si>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</si>
  <si>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</si>
  <si>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</si>
  <si>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</si>
  <si>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</si>
  <si>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</si>
  <si>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</si>
  <si>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</si>
  <si>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</si>
  <si>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</si>
  <si>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</si>
  <si>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</si>
  <si>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</si>
  <si>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</si>
  <si>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</si>
  <si>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</si>
  <si>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</si>
  <si>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</si>
  <si>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</si>
  <si>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</si>
  <si>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</si>
  <si>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</si>
  <si>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</si>
  <si>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</si>
  <si>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</si>
  <si>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</si>
  <si>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</si>
  <si>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</si>
  <si>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</si>
  <si>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</si>
  <si>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</si>
  <si>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</si>
  <si>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</si>
  <si>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</si>
  <si>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</si>
  <si>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</si>
  <si>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</si>
  <si>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</si>
  <si>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</si>
  <si>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</si>
  <si>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</si>
  <si>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</si>
  <si>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</si>
  <si>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</si>
  <si>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</si>
  <si>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</si>
  <si>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</si>
  <si>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</si>
  <si>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</si>
  <si>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</si>
  <si>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</si>
  <si>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</si>
  <si>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</si>
  <si>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</si>
  <si>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</si>
  <si>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</si>
  <si>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</si>
  <si>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</si>
  <si>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</si>
  <si>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</si>
  <si>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</si>
  <si>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</si>
  <si>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</si>
  <si>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</si>
  <si>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Utility Name</t>
  </si>
  <si>
    <t>Amount</t>
  </si>
  <si>
    <t>Reporting period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</si>
  <si>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</si>
  <si>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</si>
  <si>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</si>
  <si>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</si>
  <si>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</si>
  <si>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</si>
  <si>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</si>
  <si>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</si>
  <si>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</si>
  <si>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</si>
  <si>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</si>
  <si>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</si>
  <si>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</si>
  <si>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</si>
  <si>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</si>
  <si>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</si>
  <si>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</si>
  <si>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</si>
  <si>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</si>
  <si>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</si>
  <si>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</si>
  <si>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</si>
  <si>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</si>
  <si>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</si>
  <si>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</si>
  <si>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</si>
  <si>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</si>
  <si>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</si>
  <si>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</si>
  <si>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</si>
  <si>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</si>
  <si>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</si>
  <si>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</si>
  <si>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</si>
  <si>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</si>
  <si>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</si>
  <si>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</si>
  <si>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</si>
  <si>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</si>
  <si>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</si>
  <si>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</si>
  <si>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</si>
  <si>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</si>
  <si>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</si>
  <si>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</si>
  <si>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</si>
  <si>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</si>
  <si>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</si>
  <si>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</si>
  <si>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</si>
  <si>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</si>
  <si>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</si>
  <si>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</si>
  <si>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</si>
  <si>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</si>
  <si>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</si>
  <si>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</si>
  <si>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</si>
  <si>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</si>
  <si>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</si>
  <si>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</si>
  <si>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</si>
  <si>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</si>
  <si>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</si>
  <si>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</si>
  <si>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</si>
  <si>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</si>
  <si>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</si>
  <si>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</si>
  <si>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</si>
  <si>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</si>
  <si>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</si>
  <si>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t>Yes</t>
  </si>
  <si>
    <t>No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</si>
</sst>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28">
      <selection activeCell="F41" sqref="F41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443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381</v>
      </c>
      <c r="C4" s="10"/>
      <c r="D4" s="50" t="s">
        <v>382</v>
      </c>
      <c r="E4" s="10"/>
      <c r="G4" s="10"/>
      <c r="H4" s="10"/>
    </row>
    <row r="5" spans="1:8" ht="13.5" thickBot="1">
      <c r="A5" t="s">
        <v>383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384</v>
      </c>
      <c r="B7" s="3"/>
      <c r="C7" s="45"/>
      <c r="D7" s="3"/>
      <c r="E7" s="3"/>
      <c r="F7" s="3"/>
      <c r="G7" s="3"/>
      <c r="H7" s="3"/>
    </row>
    <row r="8" spans="1:8" ht="12.75">
      <c r="A8" s="3" t="s">
        <v>385</v>
      </c>
      <c r="B8" s="3"/>
      <c r="C8" s="117"/>
      <c r="D8" s="45"/>
      <c r="E8" s="3"/>
      <c r="F8" s="3"/>
      <c r="G8" s="3"/>
      <c r="H8" s="3"/>
    </row>
    <row r="9" spans="1:8" ht="12.75">
      <c r="A9" s="3" t="s">
        <v>386</v>
      </c>
      <c r="C9" s="45"/>
      <c r="D9" s="45"/>
      <c r="E9" s="3"/>
      <c r="F9" s="3"/>
      <c r="G9" s="3"/>
      <c r="H9" s="3"/>
    </row>
    <row r="10" spans="1:8" ht="12.75">
      <c r="A10" s="3" t="s">
        <v>387</v>
      </c>
      <c r="C10" s="45" t="s">
        <v>388</v>
      </c>
      <c r="D10" s="45" t="s">
        <v>456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389</v>
      </c>
      <c r="C12" s="45"/>
      <c r="D12" s="45"/>
      <c r="E12" s="3"/>
      <c r="F12" s="3"/>
      <c r="G12" s="3"/>
    </row>
    <row r="13" spans="1:4" ht="12.75">
      <c r="A13" s="3" t="s">
        <v>390</v>
      </c>
      <c r="C13" s="10" t="s">
        <v>388</v>
      </c>
      <c r="D13" s="10" t="s">
        <v>457</v>
      </c>
    </row>
    <row r="14" spans="1:4" ht="12.75">
      <c r="A14" s="3"/>
      <c r="C14" s="10"/>
      <c r="D14" s="10"/>
    </row>
    <row r="15" spans="1:4" ht="12.75">
      <c r="A15" s="4" t="s">
        <v>391</v>
      </c>
      <c r="C15" s="10" t="s">
        <v>392</v>
      </c>
      <c r="D15" s="157">
        <v>40908</v>
      </c>
    </row>
    <row r="16" spans="1:3" ht="12.75">
      <c r="A16" s="3"/>
      <c r="C16" s="10"/>
    </row>
    <row r="17" spans="1:3" ht="12.75">
      <c r="A17" s="118" t="s">
        <v>393</v>
      </c>
      <c r="C17" s="10"/>
    </row>
    <row r="18" spans="1:3" ht="12.75">
      <c r="A18" s="119" t="s">
        <v>394</v>
      </c>
      <c r="C18" s="10"/>
    </row>
    <row r="19" spans="1:3" ht="12.75">
      <c r="A19" s="119" t="s">
        <v>395</v>
      </c>
      <c r="C19" s="120"/>
    </row>
    <row r="20" ht="12.75">
      <c r="A20" s="121" t="s">
        <v>396</v>
      </c>
    </row>
    <row r="21" ht="12.75">
      <c r="A21" s="115"/>
    </row>
    <row r="22" spans="1:8" ht="12.75">
      <c r="A22" t="s">
        <v>397</v>
      </c>
      <c r="D22" s="5">
        <v>24210042</v>
      </c>
      <c r="H22" s="5"/>
    </row>
    <row r="24" spans="1:8" ht="12.75">
      <c r="A24" t="s">
        <v>398</v>
      </c>
      <c r="D24" s="122">
        <v>0.5</v>
      </c>
      <c r="H24" s="122"/>
    </row>
    <row r="25" ht="12.75">
      <c r="H25" s="114"/>
    </row>
    <row r="26" spans="1:10" ht="12.75">
      <c r="A26" t="s">
        <v>399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400</v>
      </c>
      <c r="D28" s="122">
        <v>0.0988</v>
      </c>
      <c r="H28" s="126"/>
    </row>
    <row r="29" ht="12.75">
      <c r="H29" s="114"/>
    </row>
    <row r="30" spans="1:8" ht="12.75">
      <c r="A30" t="s">
        <v>401</v>
      </c>
      <c r="D30" s="122">
        <v>0.0725</v>
      </c>
      <c r="H30" s="126"/>
    </row>
    <row r="31" ht="12.75">
      <c r="H31" s="114"/>
    </row>
    <row r="32" spans="1:8" ht="12.75">
      <c r="A32" t="s">
        <v>402</v>
      </c>
      <c r="D32" s="124">
        <f>D22*((D24*D28)+(D26*D30))</f>
        <v>2073590.0973</v>
      </c>
      <c r="H32" s="125"/>
    </row>
    <row r="33" spans="4:8" ht="12.75">
      <c r="D33" s="67"/>
      <c r="H33" s="125"/>
    </row>
    <row r="34" spans="1:11" ht="12.75">
      <c r="A34" t="s">
        <v>403</v>
      </c>
      <c r="D34" s="67">
        <v>1547868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404</v>
      </c>
      <c r="D36" s="124">
        <f>D32-D34</f>
        <v>525722.0973</v>
      </c>
      <c r="H36" s="125"/>
      <c r="J36" s="5"/>
      <c r="K36" s="5"/>
    </row>
    <row r="37" spans="1:11" ht="12.75">
      <c r="A37" t="s">
        <v>454</v>
      </c>
      <c r="D37" s="125"/>
      <c r="H37" s="125"/>
      <c r="J37" s="5"/>
      <c r="K37" s="5"/>
    </row>
    <row r="38" spans="1:11" ht="12.75">
      <c r="A38" t="s">
        <v>455</v>
      </c>
      <c r="D38" s="125"/>
      <c r="H38" s="125"/>
      <c r="J38" s="5"/>
      <c r="K38" s="5"/>
    </row>
    <row r="39" spans="1:11" ht="12.75">
      <c r="A39" t="s">
        <v>405</v>
      </c>
      <c r="D39" s="125">
        <f>D36/3</f>
        <v>175240.6991</v>
      </c>
      <c r="F39" s="67">
        <f>D34+D39</f>
        <v>1723108.6991</v>
      </c>
      <c r="H39" s="125"/>
      <c r="J39" s="5"/>
      <c r="K39" s="5"/>
    </row>
    <row r="40" spans="1:11" ht="12.75">
      <c r="A40" t="s">
        <v>406</v>
      </c>
      <c r="D40" s="125">
        <f>D39</f>
        <v>175240.6991</v>
      </c>
      <c r="F40" s="67">
        <f>D34+D39+D40</f>
        <v>1898349.3982000002</v>
      </c>
      <c r="H40" s="125"/>
      <c r="J40" s="5"/>
      <c r="K40" s="5"/>
    </row>
    <row r="41" spans="1:11" ht="12.75">
      <c r="A41" t="s">
        <v>407</v>
      </c>
      <c r="D41" s="125">
        <f>D40</f>
        <v>175240.6991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408</v>
      </c>
      <c r="B43" s="5"/>
      <c r="C43" s="5"/>
      <c r="D43" s="89">
        <f>D22*D24</f>
        <v>12105021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409</v>
      </c>
      <c r="B45" s="5"/>
      <c r="C45" s="5"/>
      <c r="D45" s="89">
        <f>D43*D28</f>
        <v>1195976.0748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410</v>
      </c>
      <c r="B47" s="5"/>
      <c r="C47" s="5"/>
      <c r="D47" s="89">
        <f>D22*D26</f>
        <v>12105021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411</v>
      </c>
      <c r="B49" s="5"/>
      <c r="C49" s="5"/>
      <c r="D49" s="89">
        <f>D47*D30</f>
        <v>877614.0225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412</v>
      </c>
      <c r="B51" s="5"/>
      <c r="C51" s="5"/>
      <c r="D51" s="112">
        <f>((D34+D39)/D32)*D49</f>
        <v>729278.3460872738</v>
      </c>
      <c r="F51" s="5"/>
      <c r="H51" s="111"/>
      <c r="J51" s="5"/>
      <c r="K51" s="5"/>
    </row>
    <row r="52" spans="1:11" ht="12.75">
      <c r="A52" t="s">
        <v>413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414</v>
      </c>
      <c r="B53" s="5"/>
      <c r="C53" s="5"/>
      <c r="D53" s="112">
        <f>((D34+D39+D40)/D32)*D49</f>
        <v>803446.1842936369</v>
      </c>
      <c r="F53" s="5"/>
      <c r="H53" s="111"/>
      <c r="J53" s="5"/>
      <c r="K53" s="5"/>
    </row>
    <row r="54" spans="1:11" ht="12.75">
      <c r="A54" t="s">
        <v>415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416</v>
      </c>
      <c r="B55" s="5"/>
      <c r="C55" s="5"/>
      <c r="D55" s="112">
        <f>D49</f>
        <v>877614.0225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9" sqref="G79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114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t="s">
        <v>115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439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143</v>
      </c>
      <c r="E15" s="92">
        <f>+G15-C15</f>
        <v>1898349.3982000002</v>
      </c>
      <c r="F15" s="10"/>
      <c r="G15" s="70">
        <f>REGINFO!F40</f>
        <v>1898349.3982000002</v>
      </c>
      <c r="H15" s="35" t="s">
        <v>144</v>
      </c>
      <c r="I15" s="92">
        <f>+K15-G15</f>
        <v>-1898349.3982000002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146</v>
      </c>
      <c r="E20" s="92">
        <f aca="true" t="shared" si="0" ref="E20:E28">+G20-C20</f>
        <v>1519994</v>
      </c>
      <c r="F20" s="5"/>
      <c r="G20" s="70">
        <v>1519994</v>
      </c>
      <c r="H20" s="39" t="s">
        <v>147</v>
      </c>
      <c r="I20" s="92">
        <f aca="true" t="shared" si="1" ref="I20:I28">+K20-G20</f>
        <v>-1519994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424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/>
      <c r="D30" s="30" t="s">
        <v>165</v>
      </c>
      <c r="E30" s="92">
        <f aca="true" t="shared" si="2" ref="E30:E38">+G30-C30</f>
        <v>-1000872</v>
      </c>
      <c r="F30" s="5"/>
      <c r="G30" s="70">
        <v>-1000872</v>
      </c>
      <c r="H30" s="39" t="s">
        <v>166</v>
      </c>
      <c r="I30" s="92">
        <f aca="true" t="shared" si="3" ref="I30:I38">+K30-G30</f>
        <v>1000872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435</v>
      </c>
      <c r="B34" s="51">
        <v>12</v>
      </c>
      <c r="C34" s="64"/>
      <c r="D34" s="30" t="s">
        <v>178</v>
      </c>
      <c r="E34" s="92">
        <f t="shared" si="2"/>
        <v>-803446.1842936369</v>
      </c>
      <c r="F34" s="5"/>
      <c r="G34" s="70">
        <f>-REGINFO!D53</f>
        <v>-803446.1842936369</v>
      </c>
      <c r="H34" s="39" t="s">
        <v>179</v>
      </c>
      <c r="I34" s="92">
        <f t="shared" si="3"/>
        <v>803446.1842936369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423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0</v>
      </c>
      <c r="D40" s="42"/>
      <c r="E40" s="93">
        <f>SUM(E15:E39)</f>
        <v>1614025.2139063631</v>
      </c>
      <c r="F40" s="7"/>
      <c r="G40" s="96">
        <f>SUM(G15:G39)</f>
        <v>1614025.2139063631</v>
      </c>
      <c r="H40" s="43"/>
      <c r="I40" s="93">
        <f>SUM(I15:I39)</f>
        <v>-1614025.2139063631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0</v>
      </c>
      <c r="F44" s="5"/>
      <c r="G44" s="72">
        <v>0.3862</v>
      </c>
      <c r="H44" s="39" t="s">
        <v>185</v>
      </c>
      <c r="I44" s="95">
        <f>+K44-G44</f>
        <v>0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0</v>
      </c>
      <c r="D47" s="42"/>
      <c r="E47" s="96">
        <f>+G47-C47</f>
        <v>623336.5376106374</v>
      </c>
      <c r="F47" s="7"/>
      <c r="G47" s="96">
        <f>G40*G44</f>
        <v>623336.5376106374</v>
      </c>
      <c r="H47" s="43"/>
      <c r="I47" s="98">
        <f>K47-G47</f>
        <v>-623336.5376106374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0</v>
      </c>
      <c r="D51" s="32"/>
      <c r="E51" s="97">
        <f>+E47-E49</f>
        <v>623336.5376106374</v>
      </c>
      <c r="F51" s="6"/>
      <c r="G51" s="97">
        <f>+G47-G49</f>
        <v>623336.5376106374</v>
      </c>
      <c r="H51" s="40"/>
      <c r="I51" s="97">
        <f>+I47-I49</f>
        <v>-623336.5376106374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190</v>
      </c>
      <c r="E59" s="92">
        <f>+G59-C59</f>
        <v>24210042</v>
      </c>
      <c r="F59" s="5"/>
      <c r="G59" s="70">
        <v>24210042</v>
      </c>
      <c r="H59" s="39" t="s">
        <v>191</v>
      </c>
      <c r="I59" s="92">
        <f>+K59-G59</f>
        <v>-24210042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/>
      <c r="D60" s="30" t="s">
        <v>193</v>
      </c>
      <c r="E60" s="92">
        <f>+G60-C60</f>
        <v>-5000000</v>
      </c>
      <c r="F60" s="5"/>
      <c r="G60" s="70">
        <v>-5000000</v>
      </c>
      <c r="H60" s="39" t="s">
        <v>194</v>
      </c>
      <c r="I60" s="92">
        <f>+K60-G60</f>
        <v>5000000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0</v>
      </c>
      <c r="D61" s="42"/>
      <c r="E61" s="98">
        <f>SUM(E59:E60)</f>
        <v>19210042</v>
      </c>
      <c r="F61" s="7"/>
      <c r="G61" s="96">
        <f>SUM(G59:G60)</f>
        <v>19210042</v>
      </c>
      <c r="H61" s="43"/>
      <c r="I61" s="98">
        <f>SUM(I59:I60)</f>
        <v>-19210042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57630.126000000004</v>
      </c>
      <c r="F65" s="7"/>
      <c r="G65" s="96">
        <f>+G61*G63</f>
        <v>57630.126000000004</v>
      </c>
      <c r="H65" s="21"/>
      <c r="I65" s="98">
        <f>+K65-G65</f>
        <v>-57630.126000000004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199</v>
      </c>
      <c r="E68" s="92">
        <f>+G68-C68</f>
        <v>24210042</v>
      </c>
      <c r="F68" s="8"/>
      <c r="G68" s="70">
        <v>24210042</v>
      </c>
      <c r="H68" s="39" t="s">
        <v>200</v>
      </c>
      <c r="I68" s="92">
        <f>+K68-G68</f>
        <v>-24210042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/>
      <c r="D69" s="30" t="s">
        <v>202</v>
      </c>
      <c r="E69" s="92">
        <f>+G69-C69</f>
        <v>-10000000</v>
      </c>
      <c r="F69" s="8"/>
      <c r="G69" s="70">
        <v>-10000000</v>
      </c>
      <c r="H69" s="39" t="s">
        <v>203</v>
      </c>
      <c r="I69" s="92">
        <f>+K69-G69</f>
        <v>10000000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14210042</v>
      </c>
      <c r="F70" s="7"/>
      <c r="G70" s="96">
        <f>SUM(G68:G69)</f>
        <v>14210042</v>
      </c>
      <c r="H70" s="43"/>
      <c r="I70" s="98">
        <f>SUM(I68:I69)</f>
        <v>-14210042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31972.5945</v>
      </c>
      <c r="F74" s="8"/>
      <c r="G74" s="100">
        <f>+G70*G72</f>
        <v>31972.5945</v>
      </c>
      <c r="H74" s="39"/>
      <c r="I74" s="92">
        <f>+K74-G74</f>
        <v>-31972.5945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208</v>
      </c>
      <c r="E75" s="92">
        <f>+G75-C75</f>
        <v>-18077.082395751266</v>
      </c>
      <c r="F75" s="8"/>
      <c r="G75" s="100">
        <f>(G40*0.0112)*-1</f>
        <v>-18077.082395751266</v>
      </c>
      <c r="H75" s="39" t="s">
        <v>209</v>
      </c>
      <c r="I75" s="92">
        <f>+K75-G75</f>
        <v>18077.082395751266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13895.512104248734</v>
      </c>
      <c r="F77" s="7"/>
      <c r="G77" s="96">
        <f>SUM(G74:G76)</f>
        <v>13895.512104248734</v>
      </c>
      <c r="H77" s="21"/>
      <c r="I77" s="98">
        <f>SUM(I74:I76)</f>
        <v>-13895.512104248734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0</v>
      </c>
      <c r="D82" s="30" t="s">
        <v>211</v>
      </c>
      <c r="E82" s="92">
        <f>+G82-C82</f>
        <v>1015536.8810860824</v>
      </c>
      <c r="F82" s="5"/>
      <c r="G82" s="100">
        <f>G51/(1-G44)</f>
        <v>1015536.8810860824</v>
      </c>
      <c r="H82" s="39" t="s">
        <v>212</v>
      </c>
      <c r="I82" s="92">
        <f>+K82-G82</f>
        <v>-1015536.8810860824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22232.819366797972</v>
      </c>
      <c r="F83" s="5"/>
      <c r="G83" s="100">
        <f>G77/(1-(G44-0.0112))</f>
        <v>22232.819366797972</v>
      </c>
      <c r="H83" s="39" t="s">
        <v>214</v>
      </c>
      <c r="I83" s="92">
        <f>+K83-G83</f>
        <v>-22232.819366797972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57630.126000000004</v>
      </c>
      <c r="F84" s="5"/>
      <c r="G84" s="100">
        <f>G65</f>
        <v>57630.126000000004</v>
      </c>
      <c r="H84" s="39" t="s">
        <v>216</v>
      </c>
      <c r="I84" s="92">
        <f>+K84-G84</f>
        <v>-57630.126000000004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0</v>
      </c>
      <c r="D87" s="41"/>
      <c r="E87" s="99">
        <f>SUM(E82:E85)</f>
        <v>1095399.8264528804</v>
      </c>
      <c r="F87" s="6"/>
      <c r="G87" s="99">
        <f>SUM(G82:G86)</f>
        <v>1095399.8264528804</v>
      </c>
      <c r="H87" s="6"/>
      <c r="I87" s="99">
        <f>SUM(I82:I85)</f>
        <v>-1095399.8264528804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453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429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429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429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429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429</v>
      </c>
      <c r="K102" s="67"/>
    </row>
    <row r="103" spans="1:11" ht="12.75">
      <c r="A103" t="s">
        <v>422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429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429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429</v>
      </c>
      <c r="K107" s="67"/>
    </row>
    <row r="108" spans="1:11" ht="12.75">
      <c r="A108" s="110" t="s">
        <v>446</v>
      </c>
      <c r="B108" s="10">
        <v>12</v>
      </c>
      <c r="C108" s="67"/>
      <c r="E108" s="67"/>
      <c r="G108" s="67"/>
      <c r="I108" s="124">
        <f>I135</f>
        <v>0</v>
      </c>
      <c r="J108" s="120" t="s">
        <v>431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429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429</v>
      </c>
      <c r="K110" s="67"/>
    </row>
    <row r="111" spans="1:11" ht="12.75">
      <c r="A111" t="s">
        <v>421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429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430</v>
      </c>
      <c r="B114" s="10"/>
      <c r="C114" s="67"/>
      <c r="E114" s="67"/>
      <c r="G114" s="67"/>
      <c r="I114" s="149">
        <f>SUM(I98:I102)+SUM(I105:I110)+I112</f>
        <v>0</v>
      </c>
      <c r="J114" s="120" t="s">
        <v>429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427</v>
      </c>
      <c r="I119" s="125"/>
    </row>
    <row r="120" spans="1:9" ht="12.75">
      <c r="A120" s="17"/>
      <c r="I120" s="125"/>
    </row>
    <row r="121" spans="1:9" ht="12.75">
      <c r="A121" s="110" t="s">
        <v>447</v>
      </c>
      <c r="B121" s="10"/>
      <c r="C121" s="67"/>
      <c r="D121" s="67"/>
      <c r="E121" s="67"/>
      <c r="F121" s="67"/>
      <c r="G121" s="67"/>
      <c r="H121" s="67"/>
      <c r="I121" s="148">
        <f>REGINFO!D49*-1</f>
        <v>-877614.0225</v>
      </c>
    </row>
    <row r="122" spans="1:9" ht="12.75">
      <c r="A122" s="110" t="s">
        <v>448</v>
      </c>
      <c r="B122" s="10"/>
      <c r="C122" s="67"/>
      <c r="D122" s="67"/>
      <c r="E122" s="67"/>
      <c r="F122" s="67"/>
      <c r="G122" s="67"/>
      <c r="H122" s="67"/>
      <c r="I122" s="148">
        <f>G34*-1</f>
        <v>803446.1842936369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425</v>
      </c>
      <c r="B124" s="10"/>
      <c r="C124" s="67"/>
      <c r="D124" s="67"/>
      <c r="E124" s="67"/>
      <c r="F124" s="67"/>
      <c r="G124" s="67"/>
      <c r="H124" s="67"/>
      <c r="I124" s="150">
        <f>SUM(I121:I123)</f>
        <v>-74167.83820636303</v>
      </c>
    </row>
    <row r="125" spans="1:9" ht="12.75">
      <c r="A125" s="110" t="s">
        <v>426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432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433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449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450</v>
      </c>
      <c r="B131" s="10"/>
      <c r="C131" s="67"/>
      <c r="D131" s="67"/>
      <c r="E131" s="67"/>
      <c r="F131" s="67"/>
      <c r="G131" s="67"/>
      <c r="H131" s="67"/>
      <c r="I131" s="148">
        <f>REGINFO!D49</f>
        <v>877614.0225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428</v>
      </c>
      <c r="B133" s="10"/>
      <c r="C133" s="67"/>
      <c r="D133" s="67"/>
      <c r="E133" s="67"/>
      <c r="F133" s="67"/>
      <c r="G133" s="67"/>
      <c r="H133" s="67"/>
      <c r="I133" s="150">
        <f>SUM(I130:I132)</f>
        <v>877614.0225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451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434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452</v>
      </c>
      <c r="B137" s="10"/>
      <c r="C137" s="67"/>
      <c r="D137" s="67"/>
      <c r="E137" s="67"/>
      <c r="F137" s="67"/>
      <c r="G137" s="67"/>
      <c r="H137" s="67"/>
      <c r="I137" s="151">
        <f>+I124+I133</f>
        <v>803446.1842936369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445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440</v>
      </c>
      <c r="B10" s="45"/>
      <c r="C10" s="82"/>
      <c r="D10" s="82"/>
      <c r="E10" s="83"/>
      <c r="F10" s="10"/>
    </row>
    <row r="11" spans="1:6" ht="12.75">
      <c r="A11" s="3" t="s">
        <v>441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418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2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419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420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417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rmurphy</cp:lastModifiedBy>
  <cp:lastPrinted>2001-12-20T21:46:06Z</cp:lastPrinted>
  <dcterms:created xsi:type="dcterms:W3CDTF">2001-11-07T16:15:53Z</dcterms:created>
  <dcterms:modified xsi:type="dcterms:W3CDTF">2011-11-30T14:09:59Z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