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<sst xmlns="http://schemas.openxmlformats.org/spreadsheetml/2006/main" count="891" uniqueCount="514">
  <si>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</si>
  <si>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</si>
  <si>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</si>
  <si>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</si>
  <si>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</si>
  <si>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</si>
  <si>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</si>
  <si>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</si>
  <si>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</si>
  <si>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</si>
  <si>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</si>
  <si>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</si>
  <si>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</si>
  <si>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</si>
  <si>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</si>
  <si>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</si>
  <si>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</si>
  <si>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</si>
  <si>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</si>
  <si>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</si>
  <si>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</si>
  <si>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</si>
  <si>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</si>
  <si>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</si>
  <si>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</si>
  <si>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</si>
  <si>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</si>
  <si>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</si>
  <si>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</si>
  <si>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</si>
  <si>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</si>
  <si>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</si>
  <si>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</si>
  <si>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</si>
  <si>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</si>
  <si>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</si>
  <si>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</si>
  <si>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</si>
  <si>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</si>
  <si>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</si>
  <si>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</si>
  <si>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</si>
  <si>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</si>
  <si>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</si>
  <si>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</si>
  <si>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</si>
  <si>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</si>
  <si>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</si>
  <si>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</si>
  <si>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</si>
  <si>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</si>
  <si>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</si>
  <si>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</si>
  <si>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</si>
  <si>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</si>
  <si>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</si>
  <si>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</si>
  <si>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</si>
  <si>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</si>
  <si>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</si>
  <si>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</si>
  <si>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</si>
  <si>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</si>
  <si>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</si>
  <si>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</si>
  <si>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</si>
  <si>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</si>
  <si>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</si>
  <si>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</si>
  <si>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</si>
  <si>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</si>
  <si>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</si>
  <si>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</si>
  <si>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</si>
  <si>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</si>
  <si>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</si>
  <si>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</si>
  <si>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</si>
  <si>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</si>
  <si>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</si>
  <si>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</si>
  <si>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</si>
  <si>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</si>
  <si>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</si>
  <si>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</si>
  <si>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</si>
  <si>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</si>
  <si>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</si>
  <si>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</si>
  <si>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</si>
  <si>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</si>
  <si>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</si>
  <si>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</si>
  <si>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</si>
  <si>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</si>
  <si>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</si>
  <si>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</si>
  <si>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</si>
  <si>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</si>
  <si>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</si>
  <si>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</si>
  <si>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</si>
  <si>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</si>
  <si>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</si>
  <si>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</si>
  <si>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</si>
  <si>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</si>
  <si>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</si>
  <si>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</si>
  <si>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</si>
  <si>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</si>
  <si>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</si>
  <si>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</si>
  <si>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</si>
  <si>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</si>
  <si>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</si>
  <si>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</si>
  <si>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</si>
  <si>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</si>
  <si>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</si>
  <si>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</si>
  <si>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</si>
  <si>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</si>
  <si>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</si>
  <si>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</si>
  <si>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</si>
  <si>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</si>
  <si>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</si>
  <si>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</si>
  <si>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</si>
  <si>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</si>
  <si>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</si>
  <si>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</si>
  <si>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</si>
  <si>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</si>
  <si>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</si>
  <si>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</si>
  <si>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</si>
  <si>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</si>
  <si>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</si>
  <si>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</si>
  <si>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</si>
  <si>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</si>
  <si>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</si>
  <si>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</si>
  <si>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</si>
  <si>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</si>
  <si>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</si>
  <si>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</si>
  <si>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</si>
  <si>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</si>
  <si>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</si>
  <si>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</si>
  <si>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</si>
  <si>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</si>
  <si>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</si>
  <si>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</si>
  <si>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</si>
  <si>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</si>
  <si>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</si>
  <si>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</si>
  <si>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</si>
  <si>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</si>
  <si>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</si>
  <si>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</si>
  <si>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</si>
  <si>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</si>
  <si>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</si>
  <si>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</si>
  <si>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</si>
  <si>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</si>
  <si>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</si>
  <si>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</si>
  <si>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</si>
  <si>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</si>
  <si>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</si>
  <si>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</si>
  <si>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</si>
  <si>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</si>
  <si>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</si>
  <si>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</si>
  <si>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</si>
  <si>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</si>
  <si>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</si>
  <si>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</si>
  <si>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</si>
  <si>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</si>
  <si>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</si>
  <si>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</si>
  <si>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</si>
  <si>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</si>
  <si>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</si>
  <si>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</si>
  <si>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</si>
  <si>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</si>
  <si>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</si>
  <si>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</si>
  <si>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</si>
  <si>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</si>
  <si>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</si>
  <si>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</si>
  <si>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</si>
  <si>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</si>
  <si>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</si>
  <si>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</si>
  <si>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</si>
  <si>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</si>
  <si>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</si>
  <si>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</si>
  <si>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</si>
  <si>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</si>
  <si>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</si>
  <si>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</si>
  <si>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</si>
  <si>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</si>
  <si>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</si>
  <si>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</si>
  <si>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</si>
  <si>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</si>
  <si>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</si>
  <si>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</si>
  <si>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</si>
  <si>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</si>
  <si>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</si>
  <si>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</si>
  <si>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</si>
  <si>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</si>
  <si>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</si>
  <si>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</si>
  <si>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</si>
  <si>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</si>
  <si>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</si>
  <si>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</si>
  <si>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</si>
  <si>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</si>
  <si>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</si>
  <si>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</si>
  <si>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</si>
  <si>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</si>
  <si>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</si>
  <si>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</si>
  <si>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</si>
  <si>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</si>
  <si>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</si>
  <si>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</si>
  <si>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</si>
  <si>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</si>
  <si>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</si>
  <si>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</si>
  <si>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</si>
  <si>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</si>
  <si>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</si>
  <si>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</si>
  <si>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</si>
  <si>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</si>
  <si>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</si>
  <si>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</si>
  <si>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</si>
  <si>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</si>
  <si>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</si>
  <si>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</si>
  <si>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</si>
  <si>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</si>
  <si>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</si>
  <si>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</si>
  <si>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</si>
  <si>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</si>
  <si>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</si>
  <si>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</si>
  <si>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</si>
  <si>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</si>
  <si>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</si>
  <si>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</si>
  <si>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</si>
  <si>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</si>
  <si>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</si>
  <si>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</si>
  <si>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</si>
  <si>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</si>
  <si>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</si>
  <si>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</si>
  <si>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</si>
  <si>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</si>
  <si>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</si>
  <si>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</si>
  <si>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</si>
  <si>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</si>
  <si>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</si>
  <si>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</si>
  <si>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</si>
  <si>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</si>
  <si>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</si>
  <si>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</si>
  <si>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</si>
  <si>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</si>
  <si>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</si>
  <si>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</si>
  <si>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</si>
  <si>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</si>
  <si>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</si>
  <si>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</si>
  <si>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</si>
  <si>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</si>
  <si>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</si>
  <si>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</si>
  <si>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</si>
  <si>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</si>
  <si>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</si>
  <si>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</si>
  <si>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</si>
  <si>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</si>
  <si>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</si>
  <si>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</si>
  <si>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</si>
  <si>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</si>
  <si>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</si>
  <si>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</si>
  <si>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</si>
  <si>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</si>
  <si>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</si>
  <si>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</si>
  <si>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</si>
  <si>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</si>
  <si>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</si>
  <si>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</si>
  <si>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</si>
  <si>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</si>
  <si>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</si>
  <si>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</si>
  <si>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</si>
  <si>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</si>
  <si>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</si>
  <si>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</si>
  <si>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</si>
  <si>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</si>
  <si>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</si>
  <si>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</si>
  <si>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</si>
  <si>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</si>
  <si>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</si>
  <si>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</si>
  <si>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</si>
  <si>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</si>
  <si>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</si>
  <si>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</si>
  <si>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</si>
  <si>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</si>
  <si>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</si>
  <si>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</si>
  <si>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</si>
  <si>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</si>
  <si>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</si>
  <si>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</si>
  <si>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</si>
  <si>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</si>
  <si>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</si>
  <si>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</si>
  <si>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</si>
  <si>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</si>
  <si>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</si>
  <si>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</si>
  <si>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</si>
  <si>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</si>
  <si>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</si>
  <si>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</si>
  <si>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</si>
  <si>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</si>
  <si>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</si>
  <si>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</si>
  <si>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</si>
  <si>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</si>
  <si>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</si>
  <si>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</si>
  <si>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</si>
  <si>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</si>
  <si>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</si>
  <si>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</si>
  <si>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</si>
  <si>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</si>
  <si>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</si>
  <si>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</si>
  <si>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</si>
  <si>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</si>
  <si>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</si>
  <si>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</si>
  <si>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</si>
  <si>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</si>
  <si>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</si>
  <si>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</si>
  <si>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</si>
  <si>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</si>
  <si>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</si>
  <si>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</si>
  <si>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</si>
  <si>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</si>
  <si>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</si>
  <si>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</si>
  <si>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</si>
  <si>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</si>
  <si>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</si>
  <si>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</si>
  <si>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</si>
  <si>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</si>
  <si>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</si>
  <si>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</si>
  <si>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</si>
  <si>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</si>
  <si>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</si>
  <si>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</si>
  <si>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</si>
  <si>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</si>
  <si>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</si>
  <si>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</si>
  <si>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</si>
  <si>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</si>
  <si>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</si>
  <si>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</si>
  <si>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</si>
  <si>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</si>
  <si>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</si>
  <si>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</si>
  <si>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</si>
  <si>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</si>
  <si>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</si>
  <si>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</si>
  <si>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</si>
  <si>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</si>
  <si>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</si>
  <si>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</si>
  <si>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</si>
  <si>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</si>
  <si>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</si>
  <si>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</si>
  <si>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</si>
  <si>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</si>
  <si>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</si>
  <si>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</si>
  <si>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</si>
  <si>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</si>
  <si>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</si>
  <si>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</si>
  <si>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</si>
  <si>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</si>
  <si>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</si>
  <si>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</si>
  <si>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</si>
  <si>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</si>
  <si>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</si>
  <si>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</si>
  <si>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</si>
  <si>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</si>
  <si>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</si>
  <si>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</si>
  <si>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</si>
  <si>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</si>
  <si>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</si>
  <si>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</si>
  <si>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</si>
  <si>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</si>
  <si>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</si>
  <si>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</si>
  <si>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</si>
  <si>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</si>
  <si>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</si>
  <si>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</si>
  <si>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</si>
  <si>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</si>
  <si>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</si>
  <si>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</si>
  <si>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</si>
  <si>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</si>
  <si>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</si>
  <si>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</si>
  <si>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</si>
  <si>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</si>
  <si>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</si>
  <si>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</si>
  <si>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</si>
  <si>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</si>
  <si>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</si>
  <si>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</si>
  <si>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</si>
  <si>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</si>
  <si>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</si>
  <si>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</si>
  <si>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</si>
  <si>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</si>
  <si>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Other Liabilities (2405) - Allowance for doubtful accounts</t>
  </si>
  <si>
    <t>Partnership income per T5013 (net of 2001 loss)</t>
  </si>
  <si>
    <t>Prospectus &amp; underwriting fees</t>
  </si>
  <si>
    <t>Income not earned on movement of Regulatory A/Cs</t>
  </si>
  <si>
    <t>Deferred cost deductible (market ready)</t>
  </si>
  <si>
    <t>RSVA Reserve (1580)</t>
  </si>
  <si>
    <t>Reserves for Transition Costs</t>
  </si>
  <si>
    <t>Reserves for rebate payment</t>
  </si>
  <si>
    <t>Total deemed interest  (REGINFO CELL D62)</t>
  </si>
  <si>
    <t>OPEB Amounts Capitalized</t>
  </si>
  <si>
    <t>Interest phased-in  (Cell C37)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</si>
  <si>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</si>
  <si>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</si>
  <si>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</si>
  <si>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</si>
  <si>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</si>
  <si>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t>PILs TAXES - EB-2011-0178</t>
  </si>
  <si>
    <t>Utility Name: Kingston Hydro Corporation</t>
  </si>
  <si>
    <t xml:space="preserve">      Service Revenue</t>
  </si>
  <si>
    <t>Employee future benefits</t>
  </si>
  <si>
    <t>RSVA</t>
  </si>
  <si>
    <t>Transition Costs</t>
  </si>
  <si>
    <t>CCA taken on reg assets</t>
  </si>
  <si>
    <t>Please identify if Method 1, 2 or 3 was used to account for the PILs proxy and recovery.  ANSWER:  3</t>
  </si>
  <si>
    <t>Per Settlement agreement</t>
  </si>
  <si>
    <t>Per Settlement Agreement</t>
  </si>
  <si>
    <t>Per Decision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</si>
</sst>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_);\(#,##0.000\)"/>
    <numFmt numFmtId="213" formatCode="#,##0.00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2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7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37" fontId="20" fillId="0" borderId="0" xfId="0" applyNumberFormat="1" applyFont="1" applyFill="1" applyBorder="1" applyAlignment="1">
      <alignment horizontal="right" vertical="top"/>
    </xf>
    <xf numFmtId="37" fontId="20" fillId="0" borderId="0" xfId="0" applyNumberFormat="1" applyFont="1" applyBorder="1" applyAlignment="1">
      <alignment horizontal="right" vertical="top"/>
    </xf>
    <xf numFmtId="0" fontId="18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8" fillId="41" borderId="0" xfId="0" applyFont="1" applyFill="1" applyBorder="1" applyAlignment="1" applyProtection="1">
      <alignment vertical="top"/>
      <protection locked="0"/>
    </xf>
    <xf numFmtId="0" fontId="21" fillId="36" borderId="41" xfId="0" applyFont="1" applyFill="1" applyBorder="1" applyAlignment="1" applyProtection="1">
      <alignment horizontal="center" vertical="top"/>
      <protection locked="0"/>
    </xf>
    <xf numFmtId="0" fontId="22" fillId="35" borderId="0" xfId="0" applyFont="1" applyFill="1" applyBorder="1" applyAlignment="1" applyProtection="1">
      <alignment horizontal="center" vertical="top"/>
      <protection locked="0"/>
    </xf>
    <xf numFmtId="0" fontId="18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8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8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8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8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4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5" fillId="0" borderId="0" xfId="0" applyFont="1" applyAlignment="1">
      <alignment vertical="top"/>
    </xf>
    <xf numFmtId="0" fontId="27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8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8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4" fillId="0" borderId="24" xfId="0" applyFont="1" applyBorder="1" applyAlignment="1" applyProtection="1">
      <alignment vertical="top"/>
      <protection/>
    </xf>
    <xf numFmtId="37" fontId="18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10" fontId="0" fillId="36" borderId="14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10" fontId="0" fillId="36" borderId="14" xfId="63" applyNumberFormat="1" applyFont="1" applyFill="1" applyBorder="1" applyAlignment="1" applyProtection="1">
      <alignment vertical="top"/>
      <protection locked="0"/>
    </xf>
    <xf numFmtId="37" fontId="0" fillId="40" borderId="0" xfId="0" applyNumberFormat="1" applyFill="1" applyAlignment="1" applyProtection="1">
      <alignment vertical="top"/>
      <protection locked="0"/>
    </xf>
    <xf numFmtId="3" fontId="0" fillId="40" borderId="0" xfId="0" applyNumberFormat="1" applyFill="1" applyAlignment="1" applyProtection="1">
      <alignment vertical="top"/>
      <protection locked="0"/>
    </xf>
    <xf numFmtId="10" fontId="0" fillId="40" borderId="0" xfId="63" applyFont="1" applyFill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4" fillId="35" borderId="13" xfId="0" applyFont="1" applyFill="1" applyBorder="1" applyAlignment="1" applyProtection="1">
      <alignment vertical="top" wrapText="1"/>
      <protection locked="0"/>
    </xf>
    <xf numFmtId="0" fontId="26" fillId="0" borderId="13" xfId="0" applyFont="1" applyBorder="1" applyAlignment="1">
      <alignment vertical="top" wrapText="1"/>
    </xf>
    <xf numFmtId="0" fontId="24" fillId="0" borderId="13" xfId="0" applyFont="1" applyFill="1" applyBorder="1" applyAlignment="1" applyProtection="1">
      <alignment vertical="top" wrapText="1"/>
      <protection locked="0"/>
    </xf>
    <xf numFmtId="0" fontId="26" fillId="0" borderId="0" xfId="0" applyFont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8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0" fillId="44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80" zoomScaleNormal="80" zoomScalePageLayoutView="0" workbookViewId="0" topLeftCell="A1">
      <selection activeCell="E8" sqref="E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503</v>
      </c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504</v>
      </c>
      <c r="C3" s="8"/>
      <c r="D3" s="448" t="s">
        <v>443</v>
      </c>
      <c r="E3" s="8"/>
      <c r="F3" s="8"/>
      <c r="G3" s="8"/>
      <c r="H3" s="8"/>
    </row>
    <row r="4" spans="1:8" ht="12.75">
      <c r="A4" s="2" t="s">
        <v>469</v>
      </c>
      <c r="C4" s="8"/>
      <c r="D4" s="447" t="s">
        <v>438</v>
      </c>
      <c r="E4" s="421"/>
      <c r="H4" s="8"/>
    </row>
    <row r="5" spans="1:8" ht="12.75">
      <c r="A5" s="52"/>
      <c r="C5" s="8"/>
      <c r="D5" s="446" t="s">
        <v>439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253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502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/>
    </row>
    <row r="18" spans="1:4" ht="15" customHeight="1">
      <c r="A18" s="389" t="s">
        <v>311</v>
      </c>
      <c r="C18" s="8"/>
      <c r="D18" s="8"/>
    </row>
    <row r="19" spans="1:4" ht="15" customHeight="1">
      <c r="A19" s="505" t="s">
        <v>312</v>
      </c>
      <c r="B19" s="8" t="s">
        <v>309</v>
      </c>
      <c r="C19" s="8" t="s">
        <v>64</v>
      </c>
      <c r="D19" s="388" t="s">
        <v>501</v>
      </c>
    </row>
    <row r="20" spans="1:4" ht="13.5" thickBot="1">
      <c r="A20" s="506"/>
      <c r="B20" s="8" t="s">
        <v>310</v>
      </c>
      <c r="C20" s="8" t="s">
        <v>64</v>
      </c>
      <c r="D20" s="257" t="s">
        <v>501</v>
      </c>
    </row>
    <row r="21" spans="1:4" ht="12.75">
      <c r="A21" s="505" t="s">
        <v>308</v>
      </c>
      <c r="B21" s="8" t="s">
        <v>309</v>
      </c>
      <c r="C21" s="8"/>
      <c r="D21" s="489">
        <v>1</v>
      </c>
    </row>
    <row r="22" spans="1:4" ht="12.75">
      <c r="A22" s="505"/>
      <c r="B22" s="8" t="s">
        <v>310</v>
      </c>
      <c r="C22" s="8"/>
      <c r="D22" s="489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0" t="s">
        <v>470</v>
      </c>
    </row>
    <row r="25" ht="6.75" customHeight="1" thickBot="1">
      <c r="A25" s="12"/>
    </row>
    <row r="26" spans="1:5" ht="12.75">
      <c r="A26" s="254" t="s">
        <v>67</v>
      </c>
      <c r="C26" s="8"/>
      <c r="E26" s="436" t="s">
        <v>293</v>
      </c>
    </row>
    <row r="27" spans="1:5" ht="12.75">
      <c r="A27" s="255" t="s">
        <v>68</v>
      </c>
      <c r="C27" s="8"/>
      <c r="E27" s="437" t="s">
        <v>294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283</v>
      </c>
      <c r="D31" s="500">
        <v>24210042</v>
      </c>
      <c r="H31" s="5"/>
    </row>
    <row r="32" ht="6" customHeight="1"/>
    <row r="33" spans="1:8" ht="12.75">
      <c r="A33" t="s">
        <v>71</v>
      </c>
      <c r="D33" s="50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8">
        <v>0.0988</v>
      </c>
      <c r="H37" s="41"/>
    </row>
    <row r="38" ht="4.5" customHeight="1">
      <c r="H38" s="34"/>
    </row>
    <row r="39" spans="1:8" ht="12.75">
      <c r="A39" t="s">
        <v>74</v>
      </c>
      <c r="D39" s="502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2073590.0973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501">
        <v>1547868</v>
      </c>
      <c r="E43" s="387">
        <f>D43</f>
        <v>1547868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525722.0973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79">
        <f>D45/3</f>
        <v>175240.6991</v>
      </c>
      <c r="E47" s="387">
        <f aca="true" t="shared" si="0" ref="E47:E53">D47</f>
        <v>175240.6991</v>
      </c>
      <c r="H47" s="40"/>
      <c r="J47" s="5"/>
      <c r="K47" s="5"/>
    </row>
    <row r="48" spans="1:11" ht="12.75">
      <c r="A48" t="s">
        <v>286</v>
      </c>
      <c r="D48" s="479">
        <f>D45/3</f>
        <v>175240.6991</v>
      </c>
      <c r="E48" s="387">
        <f>D48</f>
        <v>175240.6991</v>
      </c>
      <c r="F48" s="22"/>
      <c r="H48" s="40"/>
      <c r="J48" s="5"/>
      <c r="K48" s="5"/>
    </row>
    <row r="49" spans="1:11" ht="12.75">
      <c r="A49" t="s">
        <v>287</v>
      </c>
      <c r="D49" s="480"/>
      <c r="E49" s="387">
        <v>0</v>
      </c>
      <c r="F49" s="22"/>
      <c r="H49" s="40"/>
      <c r="J49" s="5"/>
      <c r="K49" s="5"/>
    </row>
    <row r="50" spans="1:11" ht="12.75">
      <c r="A50" t="s">
        <v>288</v>
      </c>
      <c r="D50" s="421"/>
      <c r="E50" s="387">
        <f t="shared" si="0"/>
        <v>0</v>
      </c>
      <c r="H50" s="40"/>
      <c r="J50" s="5"/>
      <c r="K50" s="5"/>
    </row>
    <row r="51" spans="1:11" ht="12.75">
      <c r="A51" t="s">
        <v>435</v>
      </c>
      <c r="D51" s="421"/>
      <c r="E51" s="387">
        <f t="shared" si="0"/>
        <v>0</v>
      </c>
      <c r="H51" s="40"/>
      <c r="J51" s="5"/>
      <c r="K51" s="5"/>
    </row>
    <row r="52" spans="1:11" ht="12.75">
      <c r="A52" t="s">
        <v>457</v>
      </c>
      <c r="D52" s="421"/>
      <c r="E52" s="387">
        <f t="shared" si="0"/>
        <v>0</v>
      </c>
      <c r="H52" s="40"/>
      <c r="J52" s="5"/>
      <c r="K52" s="5"/>
    </row>
    <row r="53" spans="4:11" ht="12.75">
      <c r="D53" s="421"/>
      <c r="E53" s="387">
        <f t="shared" si="0"/>
        <v>0</v>
      </c>
      <c r="H53" s="40"/>
      <c r="J53" s="5"/>
      <c r="K53" s="5"/>
    </row>
    <row r="54" spans="1:11" ht="12.75">
      <c r="A54" s="2" t="s">
        <v>289</v>
      </c>
      <c r="E54" s="253">
        <f>SUM(E43:E53)</f>
        <v>1898349.3982000002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12105021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1195976.0748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12105021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1">
        <f>D60*D39</f>
        <v>877614.0225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2">
        <f>IF(D41&gt;0,(((D43+D47)/D41)*D62),0)</f>
        <v>729278.3460872738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2">
        <f>IF(D41&gt;0,(((D43+D47+D48)/D41)*D62),0)</f>
        <v>803446.1842936369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2">
        <f>IF(D41&gt;0,(((D43+D47+D48)/D41)*D62),0)</f>
        <v>803446.1842936369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2">
        <f>D62</f>
        <v>877614.0225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zoomScalePageLayoutView="0" workbookViewId="0" topLeftCell="A187">
      <selection activeCell="J70" sqref="J7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EB-2011-0178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459</v>
      </c>
      <c r="H1" s="210"/>
    </row>
    <row r="2" spans="1:8" ht="12.75">
      <c r="A2" s="211" t="s">
        <v>458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460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Kingston Hydro Corporation</v>
      </c>
      <c r="B6" s="115"/>
      <c r="D6" s="137"/>
      <c r="E6" s="115"/>
      <c r="G6" s="115"/>
      <c r="H6" s="458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58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2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253</v>
      </c>
      <c r="B10" s="422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337</v>
      </c>
      <c r="B16" s="125">
        <v>1</v>
      </c>
      <c r="C16" s="259">
        <f>REGINFO!E54</f>
        <v>1898349.3982000002</v>
      </c>
      <c r="D16" s="17"/>
      <c r="E16" s="267">
        <f>G16-C16</f>
        <v>358221.60179999983</v>
      </c>
      <c r="F16" s="3"/>
      <c r="G16" s="267">
        <f>TAXREC!E50</f>
        <v>2256571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1">
        <v>1519994</v>
      </c>
      <c r="D20" s="18"/>
      <c r="E20" s="267">
        <f>G20-C20</f>
        <v>-112742</v>
      </c>
      <c r="F20" s="6"/>
      <c r="G20" s="267">
        <f>TAXREC!E61</f>
        <v>1407252</v>
      </c>
      <c r="H20" s="151"/>
    </row>
    <row r="21" spans="1:8" ht="12.75">
      <c r="A21" s="158" t="s">
        <v>56</v>
      </c>
      <c r="B21" s="127">
        <v>3</v>
      </c>
      <c r="C21" s="261">
        <v>0</v>
      </c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261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260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262</v>
      </c>
      <c r="B24" s="127">
        <v>5</v>
      </c>
      <c r="C24" s="48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">
      <c r="A30" s="475" t="s">
        <v>392</v>
      </c>
      <c r="B30" s="127"/>
      <c r="C30" s="259"/>
      <c r="D30" s="18"/>
      <c r="E30" s="267">
        <f>G30-C30</f>
        <v>993608</v>
      </c>
      <c r="F30" s="6"/>
      <c r="G30" s="267">
        <f>TAXREC!E66</f>
        <v>993608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338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1">
        <v>1000872</v>
      </c>
      <c r="D33" s="132"/>
      <c r="E33" s="267">
        <f aca="true" t="shared" si="0" ref="E33:E42">G33-C33</f>
        <v>595049</v>
      </c>
      <c r="F33" s="6"/>
      <c r="G33" s="267">
        <f>TAXREC!E97+TAXREC!E98</f>
        <v>1595921</v>
      </c>
      <c r="H33" s="151"/>
    </row>
    <row r="34" spans="1:8" ht="12.75">
      <c r="A34" s="158" t="s">
        <v>57</v>
      </c>
      <c r="B34" s="127">
        <v>8</v>
      </c>
      <c r="C34" s="261">
        <v>0</v>
      </c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263</v>
      </c>
      <c r="B36" s="127">
        <v>10</v>
      </c>
      <c r="C36" s="48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803446.1842936369</v>
      </c>
      <c r="D37" s="132"/>
      <c r="E37" s="267">
        <f t="shared" si="0"/>
        <v>187541.81570636306</v>
      </c>
      <c r="F37" s="6"/>
      <c r="G37" s="267">
        <f>TAXREC!E51</f>
        <v>990988</v>
      </c>
      <c r="H37" s="151"/>
    </row>
    <row r="38" spans="1:8" ht="12.75">
      <c r="A38" s="155" t="s">
        <v>259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258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">
      <c r="A48" s="475" t="s">
        <v>392</v>
      </c>
      <c r="B48" s="127"/>
      <c r="C48" s="259"/>
      <c r="D48" s="132"/>
      <c r="E48" s="267">
        <f>G48-C48</f>
        <v>1992522</v>
      </c>
      <c r="F48" s="6"/>
      <c r="G48" s="250">
        <f>TAXREC!E108</f>
        <v>1992522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3">
        <f>C16+SUM(C20:C30)-SUM(C33:C48)</f>
        <v>1614025.2139063631</v>
      </c>
      <c r="D50" s="102"/>
      <c r="E50" s="263">
        <f>E16+SUM(E20:E30)-SUM(E33:E48)</f>
        <v>-1536025.2139063631</v>
      </c>
      <c r="F50" s="424" t="s">
        <v>364</v>
      </c>
      <c r="G50" s="263">
        <f>G16+SUM(G20:G30)-SUM(G33:G48)</f>
        <v>78000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336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0</v>
      </c>
      <c r="F53" s="114"/>
      <c r="G53" s="466">
        <v>0.3862</v>
      </c>
      <c r="H53" s="151"/>
      <c r="I53" s="463" t="s">
        <v>513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623336.5376106374</v>
      </c>
      <c r="D55" s="102"/>
      <c r="E55" s="267">
        <f>G55-C55</f>
        <v>-623336.5376106374</v>
      </c>
      <c r="F55" s="424" t="s">
        <v>365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24" t="s">
        <v>365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623336.5376106374</v>
      </c>
      <c r="D60" s="133"/>
      <c r="E60" s="269">
        <f>+E55-E58</f>
        <v>-623336.5376106374</v>
      </c>
      <c r="F60" s="424" t="s">
        <v>365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24210042</v>
      </c>
      <c r="D66" s="102"/>
      <c r="E66" s="267">
        <f>G66-C66</f>
        <v>5618228</v>
      </c>
      <c r="F66" s="6"/>
      <c r="G66" s="482">
        <v>29828270</v>
      </c>
      <c r="H66" s="151"/>
      <c r="I66" s="469" t="s">
        <v>467</v>
      </c>
    </row>
    <row r="67" spans="1:9" ht="12.75">
      <c r="A67" s="152" t="s">
        <v>357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468">
        <v>5000000</v>
      </c>
      <c r="H67" s="151"/>
      <c r="I67" s="504" t="s">
        <v>511</v>
      </c>
    </row>
    <row r="68" spans="1:8" ht="12.75">
      <c r="A68" s="152" t="s">
        <v>42</v>
      </c>
      <c r="B68" s="125"/>
      <c r="C68" s="264">
        <f>IF((C66-C67)&gt;0,C66-C67,0)</f>
        <v>19210042</v>
      </c>
      <c r="D68" s="102"/>
      <c r="E68" s="267">
        <f>SUM(E66:E67)</f>
        <v>5618228</v>
      </c>
      <c r="F68" s="114"/>
      <c r="G68" s="264">
        <f>G66-G67</f>
        <v>24828270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313</v>
      </c>
      <c r="B72" s="125"/>
      <c r="C72" s="264">
        <f>IF(C68&gt;0,C68*C70,0)*REGINFO!$B$6/REGINFO!$B$7</f>
        <v>57630.126000000004</v>
      </c>
      <c r="D72" s="101"/>
      <c r="E72" s="267">
        <f>+G72-C72</f>
        <v>16854.683999999994</v>
      </c>
      <c r="F72" s="470" t="s">
        <v>468</v>
      </c>
      <c r="G72" s="264">
        <f>IF(G68&gt;0,G68*G70,0)*REGINFO!$B$6/REGINFO!$B$7</f>
        <v>74484.81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24210042</v>
      </c>
      <c r="D75" s="102"/>
      <c r="E75" s="267">
        <f>+G75-C75</f>
        <v>5122982</v>
      </c>
      <c r="F75" s="6"/>
      <c r="G75" s="482">
        <v>29333024</v>
      </c>
      <c r="H75" s="151"/>
      <c r="I75" s="469" t="s">
        <v>467</v>
      </c>
    </row>
    <row r="76" spans="1:9" ht="12.75">
      <c r="A76" s="152" t="s">
        <v>357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82">
        <v>10000000</v>
      </c>
      <c r="H76" s="151"/>
      <c r="I76" s="504" t="s">
        <v>512</v>
      </c>
    </row>
    <row r="77" spans="1:8" ht="12.75">
      <c r="A77" s="152" t="s">
        <v>42</v>
      </c>
      <c r="B77" s="125"/>
      <c r="C77" s="264">
        <f>IF((C75-C76)&gt;0,C75-C76,0)</f>
        <v>14210042</v>
      </c>
      <c r="D77" s="19"/>
      <c r="E77" s="267">
        <f>SUM(E75:E76)</f>
        <v>5122982</v>
      </c>
      <c r="F77" s="114"/>
      <c r="G77" s="264">
        <f>G75-G76</f>
        <v>19333024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4">
        <f>IF(C77&gt;0,C77*C79,0)*REGINFO!$B$6/REGINFO!$B$7</f>
        <v>31972.5945</v>
      </c>
      <c r="D81" s="102"/>
      <c r="E81" s="267">
        <f>+G81-C81</f>
        <v>11526.709499999997</v>
      </c>
      <c r="F81" s="6"/>
      <c r="G81" s="264">
        <f>G77*G79*B9/B10</f>
        <v>43499.304</v>
      </c>
      <c r="H81" s="151"/>
    </row>
    <row r="82" spans="1:8" ht="12.75">
      <c r="A82" s="152" t="s">
        <v>315</v>
      </c>
      <c r="B82" s="125">
        <v>21</v>
      </c>
      <c r="C82" s="300">
        <f>IF(C77&gt;0,IF(C60&gt;0,C50*'Tax Rates'!C20,0),0)</f>
        <v>18077.082395751266</v>
      </c>
      <c r="D82" s="102"/>
      <c r="E82" s="267">
        <f>+G82-C82</f>
        <v>-18077.082395751266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13895.512104248734</v>
      </c>
      <c r="D84" s="16"/>
      <c r="E84" s="267">
        <f>E81-E82</f>
        <v>29603.791895751263</v>
      </c>
      <c r="F84" s="103"/>
      <c r="G84" s="264">
        <f>G81-G82</f>
        <v>43499.304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4">
        <f>C60/(1-C88)</f>
        <v>997338.4601770198</v>
      </c>
      <c r="D90" s="20"/>
      <c r="E90" s="139"/>
      <c r="F90" s="423" t="s">
        <v>479</v>
      </c>
      <c r="G90" s="270">
        <f>TAXREC!E156</f>
        <v>0</v>
      </c>
      <c r="H90" s="151"/>
    </row>
    <row r="91" spans="1:8" ht="12.75">
      <c r="A91" s="158" t="s">
        <v>367</v>
      </c>
      <c r="B91" s="127">
        <v>23</v>
      </c>
      <c r="C91" s="264">
        <f>C84/(1-C88)</f>
        <v>22232.819366797972</v>
      </c>
      <c r="D91" s="20"/>
      <c r="E91" s="139"/>
      <c r="F91" s="423" t="s">
        <v>479</v>
      </c>
      <c r="G91" s="270">
        <f>TAXREC!E158</f>
        <v>43499.304</v>
      </c>
      <c r="H91" s="151"/>
    </row>
    <row r="92" spans="1:8" ht="12.75">
      <c r="A92" s="158" t="s">
        <v>345</v>
      </c>
      <c r="B92" s="127">
        <v>24</v>
      </c>
      <c r="C92" s="264">
        <f>C72</f>
        <v>57630.126000000004</v>
      </c>
      <c r="D92" s="20"/>
      <c r="E92" s="139"/>
      <c r="F92" s="423" t="s">
        <v>479</v>
      </c>
      <c r="G92" s="270">
        <f>TAXREC!E157</f>
        <v>74484.81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480</v>
      </c>
      <c r="B95" s="125">
        <v>25</v>
      </c>
      <c r="C95" s="269">
        <f>SUM(C90:C93)</f>
        <v>1077201.4055438177</v>
      </c>
      <c r="D95" s="6"/>
      <c r="E95" s="139"/>
      <c r="F95" s="423" t="s">
        <v>479</v>
      </c>
      <c r="G95" s="412">
        <f>SUM(G90:G94)</f>
        <v>117984.114</v>
      </c>
      <c r="H95" s="164"/>
    </row>
    <row r="96" spans="1:8" ht="12.75">
      <c r="A96" s="403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301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343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0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0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1"/>
      <c r="H105" s="164"/>
    </row>
    <row r="106" spans="1:8" ht="12.75">
      <c r="A106" s="158" t="s">
        <v>360</v>
      </c>
      <c r="B106" s="127">
        <v>6</v>
      </c>
      <c r="C106" s="112"/>
      <c r="D106" s="3"/>
      <c r="E106" s="250">
        <f>E26</f>
        <v>0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0">
        <f>E28</f>
        <v>0</v>
      </c>
      <c r="F107" s="37"/>
      <c r="G107" s="201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0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1"/>
      <c r="H111" s="164"/>
    </row>
    <row r="112" spans="1:8" ht="12.75">
      <c r="A112" s="498" t="s">
        <v>500</v>
      </c>
      <c r="B112" s="127">
        <v>11</v>
      </c>
      <c r="C112" s="112"/>
      <c r="D112" s="3"/>
      <c r="E112" s="465">
        <f>E206</f>
        <v>113373.97750000004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0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1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0">
        <f>E44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0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-113373.97750000004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230</v>
      </c>
      <c r="E122" s="462">
        <v>0.375</v>
      </c>
      <c r="F122" s="463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4">
        <f>E120*E122</f>
        <v>-42515.241562500014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-42515.241562500014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2"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349</v>
      </c>
      <c r="B132" s="130"/>
      <c r="C132" s="112"/>
      <c r="D132" s="3"/>
      <c r="E132" s="263">
        <f>E128/(1-E130)</f>
        <v>-68024.38650000002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352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189</v>
      </c>
      <c r="E136" s="302">
        <f>C50</f>
        <v>1614025.2139063631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462"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3">
        <f>IF(E136&gt;0,E136*E138,0)</f>
        <v>623336.5376106374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2">
        <f>E140-E142</f>
        <v>623336.5376106374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238</v>
      </c>
      <c r="B146" s="130"/>
      <c r="C146" s="112"/>
      <c r="D146" s="118" t="s">
        <v>188</v>
      </c>
      <c r="E146" s="302">
        <f>C60</f>
        <v>623336.5376106374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2">
        <f>E144-E146+0.6</f>
        <v>0.6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7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24210042</v>
      </c>
      <c r="F151" s="37"/>
      <c r="G151" s="201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2">
        <f>E151-E152</f>
        <v>19210042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356</v>
      </c>
      <c r="B155" s="130"/>
      <c r="C155" s="112"/>
      <c r="D155" s="119" t="s">
        <v>230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2">
        <f>IF(E153&gt;0,E153*E155*B9/B10,0)</f>
        <v>57630.126000000004</v>
      </c>
      <c r="F157" s="37"/>
      <c r="G157" s="201"/>
      <c r="H157" s="164"/>
    </row>
    <row r="158" spans="1:8" ht="26.25">
      <c r="A158" s="171" t="s">
        <v>305</v>
      </c>
      <c r="B158" s="130"/>
      <c r="C158" s="112"/>
      <c r="D158" s="118" t="s">
        <v>188</v>
      </c>
      <c r="E158" s="305">
        <f>C72</f>
        <v>57630.126000000004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67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235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24210042</v>
      </c>
      <c r="F162" s="37"/>
      <c r="G162" s="201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2">
        <f>E162-E163</f>
        <v>14210042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306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2">
        <f>IF(E164&gt;0,E164*E166*B9/B10,0)</f>
        <v>31972.5945</v>
      </c>
      <c r="F168" s="37"/>
      <c r="G168" s="201"/>
      <c r="H168" s="164"/>
    </row>
    <row r="169" spans="1:8" ht="12.75">
      <c r="A169" s="171" t="s">
        <v>316</v>
      </c>
      <c r="B169" s="130"/>
      <c r="C169" s="112"/>
      <c r="D169" s="118" t="s">
        <v>188</v>
      </c>
      <c r="E169" s="307">
        <f>IF(E164&gt;0,IF(E144&gt;0,E136*'Tax Rates'!C56,0),0)</f>
        <v>18077.082395751266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2">
        <f>E168-E169</f>
        <v>13895.512104248734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3" t="s">
        <v>344</v>
      </c>
      <c r="B172" s="130"/>
      <c r="C172" s="112"/>
      <c r="D172" s="118" t="s">
        <v>188</v>
      </c>
      <c r="E172" s="305">
        <f>C84</f>
        <v>13895.512104248734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67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341</v>
      </c>
      <c r="B175" s="130"/>
      <c r="C175" s="112"/>
      <c r="D175" s="119"/>
      <c r="E175" s="462">
        <v>0.375</v>
      </c>
      <c r="F175" s="463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2">
        <f>E148/(1-E175)</f>
        <v>0.96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302">
        <f>SUM(E177:E179)</f>
        <v>0.96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342</v>
      </c>
      <c r="B183" s="130"/>
      <c r="C183" s="112"/>
      <c r="D183" s="119" t="s">
        <v>187</v>
      </c>
      <c r="E183" s="302">
        <f>E132</f>
        <v>-68024.38650000002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351</v>
      </c>
      <c r="B185" s="130"/>
      <c r="C185" s="112"/>
      <c r="D185" s="119" t="s">
        <v>189</v>
      </c>
      <c r="E185" s="302">
        <f>E181+E183</f>
        <v>-68023.42650000002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8">
        <f>REGINFO!D62</f>
        <v>877614.0225</v>
      </c>
      <c r="F193" s="3"/>
      <c r="G193" s="123"/>
      <c r="H193" s="164"/>
    </row>
    <row r="194" spans="1:8" ht="12.75">
      <c r="A194" s="498" t="s">
        <v>497</v>
      </c>
      <c r="B194" s="127"/>
      <c r="C194" s="112"/>
      <c r="D194" s="120"/>
      <c r="E194" s="308">
        <f>C37</f>
        <v>803446.1842936369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339</v>
      </c>
      <c r="B196" s="127"/>
      <c r="C196" s="112"/>
      <c r="D196" s="120"/>
      <c r="E196" s="308">
        <f>E193-E194</f>
        <v>74167.83820636303</v>
      </c>
      <c r="F196" s="3"/>
      <c r="G196" s="123"/>
      <c r="H196" s="164"/>
    </row>
    <row r="197" spans="1:8" ht="12.75">
      <c r="A197" s="155" t="s">
        <v>340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254</v>
      </c>
      <c r="B199" s="127"/>
      <c r="C199" s="112"/>
      <c r="D199" s="120"/>
      <c r="E199" s="147"/>
      <c r="F199" s="3"/>
      <c r="G199" s="477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77"/>
      <c r="H200" s="164"/>
    </row>
    <row r="201" spans="1:8" ht="12.75">
      <c r="A201" s="498" t="s">
        <v>498</v>
      </c>
      <c r="B201" s="127"/>
      <c r="C201" s="112"/>
      <c r="D201" s="120"/>
      <c r="E201" s="308">
        <f>G37+G42</f>
        <v>990988</v>
      </c>
      <c r="F201" s="3"/>
      <c r="G201" s="477"/>
      <c r="H201" s="164"/>
    </row>
    <row r="202" spans="1:8" ht="12.75">
      <c r="A202" s="498" t="s">
        <v>495</v>
      </c>
      <c r="B202" s="127"/>
      <c r="C202" s="112"/>
      <c r="D202" s="120"/>
      <c r="E202" s="308">
        <f>REGINFO!D62</f>
        <v>877614.0225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113373.97750000004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499</v>
      </c>
      <c r="B206" s="127"/>
      <c r="C206" s="112"/>
      <c r="D206" s="120"/>
      <c r="E206" s="464">
        <f>IF((E201-E202)&gt;0,E201-E202,0)</f>
        <v>113373.97750000004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9">
        <f>+E196-E204</f>
        <v>-39206.13929363701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133">
      <selection activeCell="G153" sqref="G15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EB-2011-0178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Kingston Hydro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f>Ratebase*REGINFO!D33*0.25%</f>
        <v>30262.5525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502</v>
      </c>
      <c r="D15" s="25"/>
      <c r="E15" s="25"/>
      <c r="F15" s="20"/>
      <c r="G15" s="3"/>
      <c r="H15" s="3"/>
      <c r="I15" s="3"/>
    </row>
    <row r="16" spans="1:9" ht="12.75">
      <c r="A16" s="299" t="s">
        <v>227</v>
      </c>
      <c r="B16" s="20" t="s">
        <v>64</v>
      </c>
      <c r="C16" s="8" t="s">
        <v>502</v>
      </c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 t="s">
        <v>502</v>
      </c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322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256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222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320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321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503" t="s">
        <v>505</v>
      </c>
      <c r="B31" s="23" t="s">
        <v>187</v>
      </c>
      <c r="C31" s="42">
        <v>53619495</v>
      </c>
      <c r="D31" s="286"/>
      <c r="E31" s="284">
        <f>C31-D31</f>
        <v>53619495</v>
      </c>
      <c r="F31" s="11"/>
      <c r="G31" s="11"/>
      <c r="H31" s="6"/>
      <c r="I31" s="6"/>
    </row>
    <row r="32" spans="1:9" ht="12.75">
      <c r="A32" s="503" t="s">
        <v>211</v>
      </c>
      <c r="B32" s="23" t="s">
        <v>187</v>
      </c>
      <c r="C32" s="42">
        <v>8190517</v>
      </c>
      <c r="D32" s="286"/>
      <c r="E32" s="284">
        <f>C32-D32</f>
        <v>8190517</v>
      </c>
      <c r="F32" s="11"/>
      <c r="G32" s="11"/>
      <c r="H32" s="6"/>
      <c r="I32" s="6"/>
    </row>
    <row r="33" spans="1:9" ht="12.75">
      <c r="A33" s="503" t="s">
        <v>225</v>
      </c>
      <c r="B33" s="23" t="s">
        <v>187</v>
      </c>
      <c r="C33" s="42">
        <v>647712</v>
      </c>
      <c r="D33" s="286"/>
      <c r="E33" s="284">
        <f>C33-D33</f>
        <v>647712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2">
        <v>53619495</v>
      </c>
      <c r="D39" s="286"/>
      <c r="E39" s="284">
        <f>C39-D39</f>
        <v>53619495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2">
        <v>1766875</v>
      </c>
      <c r="D40" s="286"/>
      <c r="E40" s="284">
        <f aca="true" t="shared" si="0" ref="E40:E48">C40-D40</f>
        <v>1766875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42">
        <f>1493807+219334</f>
        <v>1713141</v>
      </c>
      <c r="D41" s="286"/>
      <c r="E41" s="284">
        <f t="shared" si="0"/>
        <v>1713141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42">
        <v>1694390</v>
      </c>
      <c r="D42" s="286"/>
      <c r="E42" s="284">
        <f t="shared" si="0"/>
        <v>1694390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42">
        <v>1407252</v>
      </c>
      <c r="D43" s="286"/>
      <c r="E43" s="284">
        <f t="shared" si="0"/>
        <v>1407252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483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486</v>
      </c>
      <c r="B45" s="23" t="s">
        <v>188</v>
      </c>
      <c r="C45" s="483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2256571</v>
      </c>
      <c r="D50" s="281">
        <f>SUM(D31:D36)-SUM(D39:D49)</f>
        <v>0</v>
      </c>
      <c r="E50" s="281">
        <f>SUM(E31:E35)-SUM(E39:E48)</f>
        <v>2256571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3">
        <v>990988</v>
      </c>
      <c r="D51" s="285"/>
      <c r="E51" s="282">
        <f>+C51-D51</f>
        <v>990988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483">
        <f>96264+78000</f>
        <v>174264</v>
      </c>
      <c r="D52" s="285"/>
      <c r="E52" s="283">
        <f>+C52-D52</f>
        <v>174264</v>
      </c>
      <c r="F52" s="8"/>
    </row>
    <row r="53" spans="1:6" ht="12.75">
      <c r="A53" s="2" t="s">
        <v>131</v>
      </c>
      <c r="B53" s="8" t="s">
        <v>189</v>
      </c>
      <c r="C53" s="281">
        <f>C50-C51-C52</f>
        <v>1091319</v>
      </c>
      <c r="D53" s="281">
        <f>D50-D51-D52</f>
        <v>0</v>
      </c>
      <c r="E53" s="281">
        <f>E50-E51-E52</f>
        <v>1091319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v>96264</v>
      </c>
      <c r="D59" s="287">
        <f>D52</f>
        <v>0</v>
      </c>
      <c r="E59" s="272">
        <f>+C59-D59</f>
        <v>96264</v>
      </c>
      <c r="F59" s="8"/>
    </row>
    <row r="60" spans="1:6" ht="12.75">
      <c r="A60" s="4" t="s">
        <v>323</v>
      </c>
      <c r="B60" s="8" t="s">
        <v>187</v>
      </c>
      <c r="C60" s="484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471">
        <f>C43</f>
        <v>1407252</v>
      </c>
      <c r="D61" s="287">
        <f>D43</f>
        <v>0</v>
      </c>
      <c r="E61" s="272">
        <f>+C61-D61</f>
        <v>1407252</v>
      </c>
      <c r="F61" s="8"/>
      <c r="G61" s="414"/>
    </row>
    <row r="62" spans="1:6" ht="12.75">
      <c r="A62" t="s">
        <v>6</v>
      </c>
      <c r="B62" s="8" t="s">
        <v>187</v>
      </c>
      <c r="C62" s="484"/>
      <c r="D62" s="287">
        <v>0</v>
      </c>
      <c r="E62" s="272">
        <f>+C62-D62</f>
        <v>0</v>
      </c>
      <c r="F62" s="8"/>
    </row>
    <row r="63" spans="1:6" ht="12.75">
      <c r="A63" s="31" t="s">
        <v>275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440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0" t="s">
        <v>392</v>
      </c>
      <c r="B66" s="8"/>
      <c r="C66" s="439">
        <f>'TAXREC 3 No True-up'!C50</f>
        <v>993608</v>
      </c>
      <c r="D66" s="439">
        <f>'TAXREC 3 No True-up'!D50</f>
        <v>0</v>
      </c>
      <c r="E66" s="272">
        <f>+C66-D66</f>
        <v>993608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2497124</v>
      </c>
      <c r="D70" s="272">
        <f>SUM(D59:D68)</f>
        <v>0</v>
      </c>
      <c r="E70" s="272">
        <f>SUM(E59:E68)</f>
        <v>2497124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473</v>
      </c>
      <c r="B76" s="8" t="s">
        <v>187</v>
      </c>
      <c r="C76" s="472"/>
      <c r="D76" s="294"/>
      <c r="E76" s="473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2497124</v>
      </c>
      <c r="D82" s="250">
        <f>D70+D80</f>
        <v>0</v>
      </c>
      <c r="E82" s="250">
        <f>E70+E80</f>
        <v>2497124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428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5">
        <v>1595053</v>
      </c>
      <c r="D97" s="294"/>
      <c r="E97" s="272">
        <f>+C97-D97</f>
        <v>1595053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868</v>
      </c>
      <c r="D98" s="294"/>
      <c r="E98" s="272">
        <f>+C98-D98</f>
        <v>868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5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392</v>
      </c>
      <c r="B108" s="8"/>
      <c r="C108" s="253">
        <f>'TAXREC 3 No True-up'!C76</f>
        <v>1992522</v>
      </c>
      <c r="D108" s="253">
        <f>'TAXREC 3 No True-up'!D76</f>
        <v>0</v>
      </c>
      <c r="E108" s="272">
        <f t="shared" si="5"/>
        <v>1992522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3588443</v>
      </c>
      <c r="D113" s="250">
        <f>SUM(D97:D111)</f>
        <v>0</v>
      </c>
      <c r="E113" s="250">
        <f>SUM(E97:E111)</f>
        <v>3588443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3588443</v>
      </c>
      <c r="D122" s="250">
        <f>D113+D120</f>
        <v>0</v>
      </c>
      <c r="E122" s="250">
        <f>+E113+E120</f>
        <v>3588443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0</v>
      </c>
      <c r="D134" s="250">
        <f>D53+D82-D122</f>
        <v>0</v>
      </c>
      <c r="E134" s="250">
        <f>E53+E82-E122</f>
        <v>0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188</v>
      </c>
      <c r="C136" s="485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187</v>
      </c>
      <c r="C142" s="486"/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187</v>
      </c>
      <c r="C143" s="486"/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4">
        <v>0.2612</v>
      </c>
      <c r="D149" s="5"/>
      <c r="E149" s="497">
        <f>C149</f>
        <v>0.2612</v>
      </c>
      <c r="F149" s="8"/>
      <c r="G149" s="45" t="s">
        <v>513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4">
        <v>0.125</v>
      </c>
      <c r="D150" s="5"/>
      <c r="E150" s="497">
        <f>C150</f>
        <v>0.125</v>
      </c>
      <c r="F150" s="8"/>
      <c r="G150" s="45" t="s">
        <v>513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99">
        <f>SUM(C149:C150)</f>
        <v>0.3862</v>
      </c>
      <c r="D151" s="476" t="s">
        <v>481</v>
      </c>
      <c r="E151" s="499">
        <f>SUM(E149:E150)</f>
        <v>0.3862</v>
      </c>
      <c r="F151" s="8"/>
      <c r="G151" s="45" t="s">
        <v>513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478</v>
      </c>
      <c r="B155" s="8"/>
    </row>
    <row r="156" spans="1:5" ht="12.75">
      <c r="A156" t="s">
        <v>219</v>
      </c>
      <c r="B156" s="86" t="s">
        <v>187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20</v>
      </c>
      <c r="B157" s="86" t="s">
        <v>187</v>
      </c>
      <c r="C157" s="487">
        <f>TAXCALC!G72</f>
        <v>74484.81</v>
      </c>
      <c r="D157" s="250"/>
      <c r="E157" s="250">
        <f>C157+D157</f>
        <v>74484.81</v>
      </c>
    </row>
    <row r="158" spans="1:5" ht="12.75">
      <c r="A158" t="s">
        <v>218</v>
      </c>
      <c r="B158" s="86" t="s">
        <v>187</v>
      </c>
      <c r="C158" s="487">
        <f>TAXCALC!G84</f>
        <v>43499.304</v>
      </c>
      <c r="D158" s="250"/>
      <c r="E158" s="250">
        <f>C158+D158</f>
        <v>43499.304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0">
        <f>C156+C157+C158</f>
        <v>117984.114</v>
      </c>
      <c r="D160" s="250">
        <f>D156+D157+D158</f>
        <v>0</v>
      </c>
      <c r="E160" s="250">
        <f>E156+E157+E158</f>
        <v>117984.114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C116" sqref="C116"/>
    </sheetView>
  </sheetViews>
  <sheetFormatPr defaultColWidth="9.140625" defaultRowHeight="12.75"/>
  <cols>
    <col min="1" max="1" width="45.71093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EB-2011-0178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Kingston Hydro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277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278</v>
      </c>
      <c r="B15" s="61"/>
      <c r="C15" s="294"/>
      <c r="D15" s="294"/>
      <c r="E15" s="250">
        <f t="shared" si="0"/>
        <v>0</v>
      </c>
    </row>
    <row r="16" spans="1:5" ht="12.75">
      <c r="A16" s="61" t="s">
        <v>279</v>
      </c>
      <c r="B16" s="61"/>
      <c r="C16" s="294"/>
      <c r="D16" s="294"/>
      <c r="E16" s="250">
        <f t="shared" si="0"/>
        <v>0</v>
      </c>
    </row>
    <row r="17" spans="1:5" ht="12.75">
      <c r="A17" s="61" t="s">
        <v>280</v>
      </c>
      <c r="B17" s="61"/>
      <c r="C17" s="294"/>
      <c r="D17" s="294"/>
      <c r="E17" s="250">
        <f t="shared" si="0"/>
        <v>0</v>
      </c>
    </row>
    <row r="18" spans="1:5" ht="12.75">
      <c r="A18" s="61" t="s">
        <v>445</v>
      </c>
      <c r="B18" s="61"/>
      <c r="C18" s="294"/>
      <c r="D18" s="294"/>
      <c r="E18" s="250">
        <f t="shared" si="0"/>
        <v>0</v>
      </c>
    </row>
    <row r="19" spans="1:5" ht="12.75">
      <c r="A19" s="61" t="s">
        <v>445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277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278</v>
      </c>
      <c r="B27" s="61"/>
      <c r="C27" s="294"/>
      <c r="D27" s="294"/>
      <c r="E27" s="250">
        <f t="shared" si="1"/>
        <v>0</v>
      </c>
    </row>
    <row r="28" spans="1:5" ht="12.75">
      <c r="A28" s="61" t="s">
        <v>279</v>
      </c>
      <c r="B28" s="61"/>
      <c r="C28" s="294"/>
      <c r="D28" s="294"/>
      <c r="E28" s="250">
        <f t="shared" si="1"/>
        <v>0</v>
      </c>
    </row>
    <row r="29" spans="1:5" ht="12.75">
      <c r="A29" s="61" t="s">
        <v>280</v>
      </c>
      <c r="B29" s="61"/>
      <c r="C29" s="294"/>
      <c r="D29" s="294"/>
      <c r="E29" s="250">
        <f t="shared" si="1"/>
        <v>0</v>
      </c>
    </row>
    <row r="30" spans="1:5" ht="12.75">
      <c r="A30" s="61" t="s">
        <v>445</v>
      </c>
      <c r="B30" s="61"/>
      <c r="C30" s="294"/>
      <c r="D30" s="294"/>
      <c r="E30" s="250">
        <f t="shared" si="1"/>
        <v>0</v>
      </c>
    </row>
    <row r="31" spans="1:5" ht="12.75">
      <c r="A31" s="61" t="s">
        <v>445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264</v>
      </c>
      <c r="B43" s="61"/>
      <c r="C43" s="294"/>
      <c r="D43" s="294"/>
      <c r="E43" s="250">
        <f t="shared" si="2"/>
        <v>0</v>
      </c>
    </row>
    <row r="44" spans="1:5" ht="12.75">
      <c r="A44" s="61" t="s">
        <v>265</v>
      </c>
      <c r="B44" s="61"/>
      <c r="C44" s="294"/>
      <c r="D44" s="294"/>
      <c r="E44" s="250">
        <f t="shared" si="2"/>
        <v>0</v>
      </c>
    </row>
    <row r="45" spans="1:5" ht="12.75">
      <c r="A45" s="61" t="s">
        <v>266</v>
      </c>
      <c r="B45" s="61"/>
      <c r="C45" s="294"/>
      <c r="D45" s="294"/>
      <c r="E45" s="250">
        <f t="shared" si="2"/>
        <v>0</v>
      </c>
    </row>
    <row r="46" spans="1:5" ht="12.75">
      <c r="A46" s="61" t="s">
        <v>267</v>
      </c>
      <c r="B46" s="61"/>
      <c r="C46" s="294"/>
      <c r="D46" s="294"/>
      <c r="E46" s="250">
        <f t="shared" si="2"/>
        <v>0</v>
      </c>
    </row>
    <row r="47" spans="1:5" ht="12.75">
      <c r="A47" s="61" t="s">
        <v>445</v>
      </c>
      <c r="B47" s="61"/>
      <c r="C47" s="294"/>
      <c r="D47" s="294"/>
      <c r="E47" s="250">
        <f t="shared" si="2"/>
        <v>0</v>
      </c>
    </row>
    <row r="48" spans="1:5" ht="12.75">
      <c r="A48" s="61" t="s">
        <v>445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6"/>
      <c r="B54" s="61"/>
      <c r="C54" s="294"/>
      <c r="D54" s="294"/>
      <c r="E54" s="250">
        <f aca="true" t="shared" si="3" ref="E54:E61">C54-D54</f>
        <v>0</v>
      </c>
    </row>
    <row r="55" spans="1:5" ht="12.75">
      <c r="A55" s="246" t="s">
        <v>264</v>
      </c>
      <c r="B55" s="61"/>
      <c r="C55" s="294"/>
      <c r="D55" s="294"/>
      <c r="E55" s="250">
        <f t="shared" si="3"/>
        <v>0</v>
      </c>
    </row>
    <row r="56" spans="1:5" ht="12.75">
      <c r="A56" s="490" t="s">
        <v>487</v>
      </c>
      <c r="B56" s="61"/>
      <c r="C56" s="294"/>
      <c r="D56" s="294"/>
      <c r="E56" s="250">
        <f t="shared" si="3"/>
        <v>0</v>
      </c>
    </row>
    <row r="57" spans="1:5" ht="12.75">
      <c r="A57" s="246" t="s">
        <v>266</v>
      </c>
      <c r="B57" s="61"/>
      <c r="C57" s="294"/>
      <c r="D57" s="294"/>
      <c r="E57" s="250">
        <f t="shared" si="3"/>
        <v>0</v>
      </c>
    </row>
    <row r="58" spans="1:5" ht="12.75">
      <c r="A58" s="246" t="s">
        <v>267</v>
      </c>
      <c r="B58" s="61"/>
      <c r="C58" s="294"/>
      <c r="D58" s="294"/>
      <c r="E58" s="250">
        <f t="shared" si="3"/>
        <v>0</v>
      </c>
    </row>
    <row r="59" spans="1:5" ht="12.75">
      <c r="A59" s="61" t="s">
        <v>445</v>
      </c>
      <c r="B59" s="61"/>
      <c r="C59" s="294"/>
      <c r="D59" s="294"/>
      <c r="E59" s="250">
        <f t="shared" si="3"/>
        <v>0</v>
      </c>
    </row>
    <row r="60" spans="1:5" ht="12.75">
      <c r="A60" s="61" t="s">
        <v>445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90" zoomScaleNormal="90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5" sqref="C2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EB-2011-0178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461</v>
      </c>
      <c r="B5" s="8"/>
      <c r="C5" s="8" t="s">
        <v>2</v>
      </c>
      <c r="D5" s="8"/>
      <c r="E5" s="8"/>
      <c r="F5" s="8"/>
    </row>
    <row r="6" spans="1:6" ht="12.75">
      <c r="A6" s="414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Kingston Hydro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30262.5525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250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446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251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471</v>
      </c>
      <c r="B36" t="s">
        <v>187</v>
      </c>
      <c r="C36" s="488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0">
        <f t="shared" si="0"/>
        <v>0</v>
      </c>
    </row>
    <row r="39" spans="2:5" ht="12.75">
      <c r="B39" t="s">
        <v>187</v>
      </c>
      <c r="C39" s="294"/>
      <c r="D39" s="295"/>
      <c r="E39" s="250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0">
        <f t="shared" si="0"/>
        <v>0</v>
      </c>
    </row>
    <row r="41" spans="1:5" ht="12.75">
      <c r="A41" s="496"/>
      <c r="B41" t="s">
        <v>187</v>
      </c>
      <c r="C41" s="294"/>
      <c r="D41" s="294"/>
      <c r="E41" s="250">
        <f t="shared" si="0"/>
        <v>0</v>
      </c>
    </row>
    <row r="42" spans="1:5" ht="12.75">
      <c r="A42" s="67"/>
      <c r="B42" t="s">
        <v>187</v>
      </c>
      <c r="C42" s="294"/>
      <c r="D42" s="294"/>
      <c r="E42" s="250">
        <f t="shared" si="0"/>
        <v>0</v>
      </c>
    </row>
    <row r="43" spans="1:5" ht="12.75">
      <c r="A43" s="67"/>
      <c r="B43" t="s">
        <v>187</v>
      </c>
      <c r="C43" s="294"/>
      <c r="D43" s="294"/>
      <c r="E43" s="250">
        <f t="shared" si="0"/>
        <v>0</v>
      </c>
    </row>
    <row r="44" spans="1:5" ht="12.75">
      <c r="A44" s="67"/>
      <c r="B44" t="s">
        <v>187</v>
      </c>
      <c r="C44" s="294"/>
      <c r="D44" s="294"/>
      <c r="E44" s="250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144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0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0">
        <f t="shared" si="5"/>
        <v>0</v>
      </c>
    </row>
    <row r="85" spans="1:5" ht="12.75">
      <c r="A85" s="71" t="s">
        <v>252</v>
      </c>
      <c r="B85" s="8" t="s">
        <v>188</v>
      </c>
      <c r="C85" s="294"/>
      <c r="D85" s="294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0">
        <f t="shared" si="5"/>
        <v>0</v>
      </c>
    </row>
    <row r="87" spans="1:5" ht="12.75">
      <c r="A87" s="67" t="s">
        <v>374</v>
      </c>
      <c r="B87" s="8" t="s">
        <v>188</v>
      </c>
      <c r="C87" s="485"/>
      <c r="D87" s="294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0">
        <f t="shared" si="5"/>
        <v>0</v>
      </c>
    </row>
    <row r="92" spans="1:5" ht="12.75">
      <c r="A92" s="491"/>
      <c r="B92" s="8" t="s">
        <v>188</v>
      </c>
      <c r="C92" s="294"/>
      <c r="D92" s="294"/>
      <c r="E92" s="250"/>
    </row>
    <row r="93" spans="1:5" ht="12.75">
      <c r="A93" s="491" t="s">
        <v>496</v>
      </c>
      <c r="B93" s="8" t="s">
        <v>188</v>
      </c>
      <c r="C93" s="294"/>
      <c r="D93" s="294"/>
      <c r="E93" s="250">
        <f t="shared" si="5"/>
        <v>0</v>
      </c>
    </row>
    <row r="94" spans="1:5" ht="12.75">
      <c r="A94" s="67"/>
      <c r="B94" s="8" t="s">
        <v>188</v>
      </c>
      <c r="C94" s="294"/>
      <c r="D94" s="294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0">
        <f t="shared" si="5"/>
        <v>0</v>
      </c>
    </row>
    <row r="96" spans="1:5" ht="12.75">
      <c r="A96" s="67" t="s">
        <v>472</v>
      </c>
      <c r="B96" s="8" t="s">
        <v>188</v>
      </c>
      <c r="C96" s="485"/>
      <c r="D96" s="294"/>
      <c r="E96" s="250">
        <f t="shared" si="5"/>
        <v>0</v>
      </c>
    </row>
    <row r="97" spans="1:5" ht="12.75">
      <c r="A97" s="67" t="s">
        <v>489</v>
      </c>
      <c r="B97" s="8" t="s">
        <v>188</v>
      </c>
      <c r="C97" s="294"/>
      <c r="D97" s="294"/>
      <c r="E97" s="250">
        <f t="shared" si="5"/>
        <v>0</v>
      </c>
    </row>
    <row r="98" spans="1:5" ht="12.75">
      <c r="A98" s="67"/>
      <c r="B98" s="8" t="s">
        <v>188</v>
      </c>
      <c r="C98" s="294"/>
      <c r="D98" s="294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IF($E93&gt;$C$11,A93,"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202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201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171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5"/>
  <sheetViews>
    <sheetView zoomScale="90" zoomScaleNormal="90"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41" sqref="C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EB-2011-0178</v>
      </c>
    </row>
    <row r="3" spans="1:5" ht="12.75">
      <c r="A3" s="2" t="s">
        <v>382</v>
      </c>
      <c r="E3" s="92"/>
    </row>
    <row r="4" spans="1:6" ht="15">
      <c r="A4" s="457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59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Kingston Hydro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385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450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388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389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451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434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387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386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429</v>
      </c>
      <c r="B32" t="s">
        <v>187</v>
      </c>
      <c r="C32" s="488"/>
      <c r="D32" s="295"/>
      <c r="E32" s="312">
        <f t="shared" si="0"/>
        <v>0</v>
      </c>
    </row>
    <row r="33" spans="1:5" ht="12.75">
      <c r="A33" s="67" t="s">
        <v>430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447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448</v>
      </c>
      <c r="C35" s="488"/>
      <c r="D35" s="295"/>
      <c r="E35" s="312">
        <f t="shared" si="0"/>
        <v>0</v>
      </c>
    </row>
    <row r="36" spans="1:5" ht="12.75">
      <c r="A36" s="67" t="s">
        <v>431</v>
      </c>
      <c r="C36" s="295"/>
      <c r="D36" s="295"/>
      <c r="E36" s="312">
        <f t="shared" si="0"/>
        <v>0</v>
      </c>
    </row>
    <row r="37" spans="1:5" ht="12.75">
      <c r="A37" s="67" t="s">
        <v>432</v>
      </c>
      <c r="C37" s="295"/>
      <c r="D37" s="295"/>
      <c r="E37" s="312">
        <f t="shared" si="0"/>
        <v>0</v>
      </c>
    </row>
    <row r="38" spans="1:5" ht="12.75">
      <c r="A38" s="67" t="s">
        <v>453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390</v>
      </c>
      <c r="B40" t="s">
        <v>187</v>
      </c>
      <c r="C40" s="295">
        <v>78000</v>
      </c>
      <c r="D40" s="295"/>
      <c r="E40" s="312">
        <f t="shared" si="0"/>
        <v>78000</v>
      </c>
    </row>
    <row r="41" spans="1:5" ht="12.75">
      <c r="A41" s="81" t="s">
        <v>384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1:5" ht="12.75">
      <c r="A44" s="493" t="s">
        <v>488</v>
      </c>
      <c r="B44" t="s">
        <v>187</v>
      </c>
      <c r="C44" s="294"/>
      <c r="D44" s="294"/>
      <c r="E44" s="250">
        <f t="shared" si="0"/>
        <v>0</v>
      </c>
    </row>
    <row r="45" spans="1:5" ht="12.75">
      <c r="A45" s="492" t="s">
        <v>506</v>
      </c>
      <c r="B45" t="s">
        <v>187</v>
      </c>
      <c r="C45" s="294">
        <v>850783</v>
      </c>
      <c r="D45" s="294"/>
      <c r="E45" s="250">
        <f t="shared" si="0"/>
        <v>850783</v>
      </c>
    </row>
    <row r="46" spans="1:5" ht="12.75">
      <c r="A46" s="492" t="s">
        <v>492</v>
      </c>
      <c r="C46" s="294">
        <v>64825</v>
      </c>
      <c r="D46" s="294"/>
      <c r="E46" s="279"/>
    </row>
    <row r="47" spans="1:5" ht="12.75">
      <c r="A47" s="492" t="s">
        <v>493</v>
      </c>
      <c r="C47" s="294"/>
      <c r="D47" s="294"/>
      <c r="E47" s="279"/>
    </row>
    <row r="48" spans="1:5" ht="12.75">
      <c r="A48" s="492" t="s">
        <v>494</v>
      </c>
      <c r="C48" s="294"/>
      <c r="D48" s="294"/>
      <c r="E48" s="279"/>
    </row>
    <row r="49" spans="1:5" ht="12.75">
      <c r="A49" s="67"/>
      <c r="B49" t="s">
        <v>187</v>
      </c>
      <c r="C49" s="294"/>
      <c r="D49" s="294"/>
      <c r="E49" s="279"/>
    </row>
    <row r="50" spans="1:5" ht="12.75">
      <c r="A50" s="442" t="s">
        <v>394</v>
      </c>
      <c r="B50" t="s">
        <v>189</v>
      </c>
      <c r="C50" s="250">
        <f>SUM(C19:C49)</f>
        <v>993608</v>
      </c>
      <c r="D50" s="250">
        <f>SUM(D19:D49)</f>
        <v>0</v>
      </c>
      <c r="E50" s="250">
        <f>SUM(E19:E49)</f>
        <v>928783</v>
      </c>
    </row>
    <row r="51" ht="12.75">
      <c r="A51" s="67"/>
    </row>
    <row r="52" ht="12.75">
      <c r="A52" s="81" t="s">
        <v>145</v>
      </c>
    </row>
    <row r="54" spans="1:5" ht="12.75">
      <c r="A54" s="71" t="s">
        <v>385</v>
      </c>
      <c r="B54" s="8" t="s">
        <v>188</v>
      </c>
      <c r="C54" s="294"/>
      <c r="D54" s="294"/>
      <c r="E54" s="250">
        <f aca="true" t="shared" si="1" ref="E54:E64">C54-D54</f>
        <v>0</v>
      </c>
    </row>
    <row r="55" spans="1:5" ht="12.75">
      <c r="A55" s="67" t="s">
        <v>450</v>
      </c>
      <c r="B55" s="8" t="s">
        <v>188</v>
      </c>
      <c r="C55" s="294"/>
      <c r="D55" s="294"/>
      <c r="E55" s="250">
        <f t="shared" si="1"/>
        <v>0</v>
      </c>
    </row>
    <row r="56" spans="1:5" ht="12.75">
      <c r="A56" t="s">
        <v>386</v>
      </c>
      <c r="B56" s="8" t="s">
        <v>188</v>
      </c>
      <c r="C56" s="294"/>
      <c r="D56" s="294"/>
      <c r="E56" s="250">
        <f t="shared" si="1"/>
        <v>0</v>
      </c>
    </row>
    <row r="57" spans="1:5" ht="12.75">
      <c r="A57" t="s">
        <v>433</v>
      </c>
      <c r="B57" s="8" t="s">
        <v>188</v>
      </c>
      <c r="C57" s="294"/>
      <c r="D57" s="294"/>
      <c r="E57" s="250">
        <f t="shared" si="1"/>
        <v>0</v>
      </c>
    </row>
    <row r="58" spans="1:5" ht="12.75">
      <c r="A58" s="67" t="s">
        <v>441</v>
      </c>
      <c r="B58" s="8" t="s">
        <v>188</v>
      </c>
      <c r="C58" s="294">
        <v>16633</v>
      </c>
      <c r="D58" s="294"/>
      <c r="E58" s="250">
        <f t="shared" si="1"/>
        <v>16633</v>
      </c>
    </row>
    <row r="59" spans="1:5" ht="12.75">
      <c r="A59" s="67" t="s">
        <v>452</v>
      </c>
      <c r="B59" s="8" t="s">
        <v>188</v>
      </c>
      <c r="C59" s="294"/>
      <c r="D59" s="294"/>
      <c r="E59" s="250">
        <f t="shared" si="1"/>
        <v>0</v>
      </c>
    </row>
    <row r="60" spans="1:5" ht="12.75">
      <c r="A60" s="2" t="s">
        <v>449</v>
      </c>
      <c r="B60" s="8" t="s">
        <v>188</v>
      </c>
      <c r="C60" s="294"/>
      <c r="D60" s="294"/>
      <c r="E60" s="250">
        <f t="shared" si="1"/>
        <v>0</v>
      </c>
    </row>
    <row r="61" spans="1:5" ht="12.75">
      <c r="A61" s="491" t="s">
        <v>506</v>
      </c>
      <c r="B61" s="8" t="s">
        <v>188</v>
      </c>
      <c r="C61" s="294">
        <v>817974</v>
      </c>
      <c r="D61" s="294"/>
      <c r="E61" s="250">
        <f t="shared" si="1"/>
        <v>817974</v>
      </c>
    </row>
    <row r="62" spans="1:5" ht="12.75">
      <c r="A62" s="491" t="s">
        <v>507</v>
      </c>
      <c r="B62" s="8" t="s">
        <v>188</v>
      </c>
      <c r="C62" s="294">
        <v>178255</v>
      </c>
      <c r="D62" s="294"/>
      <c r="E62" s="250">
        <f t="shared" si="1"/>
        <v>178255</v>
      </c>
    </row>
    <row r="63" spans="1:5" ht="12.75">
      <c r="A63" s="491" t="s">
        <v>508</v>
      </c>
      <c r="B63" s="8" t="s">
        <v>188</v>
      </c>
      <c r="C63" s="294">
        <v>60655</v>
      </c>
      <c r="D63" s="294"/>
      <c r="E63" s="250">
        <f t="shared" si="1"/>
        <v>60655</v>
      </c>
    </row>
    <row r="64" spans="2:5" ht="12.75">
      <c r="B64" s="8" t="s">
        <v>188</v>
      </c>
      <c r="C64" s="294"/>
      <c r="D64" s="294"/>
      <c r="E64" s="250">
        <f t="shared" si="1"/>
        <v>0</v>
      </c>
    </row>
    <row r="65" spans="2:5" ht="12.75">
      <c r="B65" s="8" t="s">
        <v>188</v>
      </c>
      <c r="C65" s="294"/>
      <c r="D65" s="294"/>
      <c r="E65" s="250">
        <f aca="true" t="shared" si="2" ref="E65:E75">C65-D65</f>
        <v>0</v>
      </c>
    </row>
    <row r="66" spans="2:5" ht="12.75">
      <c r="B66" s="8" t="s">
        <v>188</v>
      </c>
      <c r="C66" s="294"/>
      <c r="D66" s="294"/>
      <c r="E66" s="250">
        <f t="shared" si="2"/>
        <v>0</v>
      </c>
    </row>
    <row r="67" spans="1:5" ht="12.75">
      <c r="A67" s="461" t="s">
        <v>391</v>
      </c>
      <c r="B67" s="8" t="s">
        <v>188</v>
      </c>
      <c r="C67" s="294">
        <v>78000</v>
      </c>
      <c r="D67" s="294"/>
      <c r="E67" s="250">
        <f t="shared" si="2"/>
        <v>78000</v>
      </c>
    </row>
    <row r="68" spans="2:5" ht="12.75">
      <c r="B68" s="8" t="s">
        <v>188</v>
      </c>
      <c r="C68" s="294"/>
      <c r="D68" s="294"/>
      <c r="E68" s="250">
        <f t="shared" si="2"/>
        <v>0</v>
      </c>
    </row>
    <row r="69" spans="1:5" ht="12.75">
      <c r="A69" s="461" t="s">
        <v>384</v>
      </c>
      <c r="B69" s="8" t="s">
        <v>188</v>
      </c>
      <c r="C69" s="294"/>
      <c r="D69" s="294"/>
      <c r="E69" s="250">
        <f t="shared" si="2"/>
        <v>0</v>
      </c>
    </row>
    <row r="70" spans="1:5" ht="12.75">
      <c r="A70" s="67"/>
      <c r="B70" s="8" t="s">
        <v>188</v>
      </c>
      <c r="C70" s="294"/>
      <c r="D70" s="294"/>
      <c r="E70" s="250">
        <f t="shared" si="2"/>
        <v>0</v>
      </c>
    </row>
    <row r="71" spans="1:5" ht="12.75">
      <c r="A71" s="68" t="s">
        <v>205</v>
      </c>
      <c r="B71" s="8" t="s">
        <v>188</v>
      </c>
      <c r="C71" s="294"/>
      <c r="D71" s="294"/>
      <c r="E71" s="250">
        <f t="shared" si="2"/>
        <v>0</v>
      </c>
    </row>
    <row r="72" spans="1:5" ht="12.75">
      <c r="A72" s="492" t="s">
        <v>509</v>
      </c>
      <c r="B72" s="8" t="s">
        <v>188</v>
      </c>
      <c r="C72" s="294">
        <v>841005</v>
      </c>
      <c r="D72" s="294"/>
      <c r="E72" s="250">
        <f t="shared" si="2"/>
        <v>841005</v>
      </c>
    </row>
    <row r="73" spans="1:5" ht="12.75">
      <c r="A73" s="492" t="s">
        <v>490</v>
      </c>
      <c r="B73" s="8" t="s">
        <v>188</v>
      </c>
      <c r="C73" s="294"/>
      <c r="D73" s="294"/>
      <c r="E73" s="250">
        <f t="shared" si="2"/>
        <v>0</v>
      </c>
    </row>
    <row r="74" spans="1:5" ht="12.75">
      <c r="A74" s="492" t="s">
        <v>491</v>
      </c>
      <c r="B74" s="8" t="s">
        <v>188</v>
      </c>
      <c r="C74" s="294"/>
      <c r="D74" s="294"/>
      <c r="E74" s="250">
        <f t="shared" si="2"/>
        <v>0</v>
      </c>
    </row>
    <row r="75" spans="1:5" ht="12.75">
      <c r="A75" s="67"/>
      <c r="B75" s="8" t="s">
        <v>188</v>
      </c>
      <c r="C75" s="294"/>
      <c r="D75" s="294"/>
      <c r="E75" s="279">
        <f t="shared" si="2"/>
        <v>0</v>
      </c>
    </row>
    <row r="76" spans="1:5" ht="12.75">
      <c r="A76" s="441" t="s">
        <v>393</v>
      </c>
      <c r="B76" s="8" t="s">
        <v>189</v>
      </c>
      <c r="C76" s="250">
        <f>SUM(C54:C75)</f>
        <v>1992522</v>
      </c>
      <c r="D76" s="250">
        <f>SUM(D54:D75)</f>
        <v>0</v>
      </c>
      <c r="E76" s="250">
        <f>SUM(E54:E75)</f>
        <v>1992522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1">
      <selection activeCell="A59" sqref="A59:F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- EB-2011-0178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303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Kingston Hydro Corporation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9" t="s">
        <v>333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3" t="s">
        <v>483</v>
      </c>
      <c r="B8" s="514"/>
      <c r="C8" s="514"/>
      <c r="D8" s="514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463</v>
      </c>
      <c r="B10" s="326"/>
      <c r="C10" s="375" t="s">
        <v>111</v>
      </c>
      <c r="D10" s="375"/>
      <c r="E10" s="375" t="s">
        <v>111</v>
      </c>
      <c r="F10" s="376" t="s">
        <v>484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296</v>
      </c>
      <c r="B13" s="408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295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300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257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4" t="s">
        <v>328</v>
      </c>
      <c r="B21" s="405" t="s">
        <v>465</v>
      </c>
      <c r="C21" s="361">
        <f>5000000*REGINFO!D21</f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4" t="s">
        <v>329</v>
      </c>
      <c r="B22" s="406" t="s">
        <v>466</v>
      </c>
      <c r="C22" s="362">
        <f>10000000*REGINFO!D22</f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7" t="s">
        <v>485</v>
      </c>
      <c r="B23" s="508"/>
      <c r="C23" s="508"/>
      <c r="D23" s="508"/>
      <c r="E23" s="508"/>
      <c r="F23" s="508"/>
      <c r="G23" s="431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09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5" t="s">
        <v>477</v>
      </c>
      <c r="B26" s="516"/>
      <c r="C26" s="516"/>
      <c r="D26" s="516"/>
      <c r="E26" s="516"/>
      <c r="F26" s="516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437</v>
      </c>
      <c r="B28" s="326"/>
      <c r="C28" s="369" t="s">
        <v>111</v>
      </c>
      <c r="D28" s="369"/>
      <c r="E28" s="369" t="s">
        <v>111</v>
      </c>
      <c r="F28" s="370" t="s">
        <v>484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8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295</v>
      </c>
      <c r="B32" s="408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8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257</v>
      </c>
      <c r="B34" s="408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8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8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8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4" t="s">
        <v>474</v>
      </c>
      <c r="B39" s="405" t="s">
        <v>465</v>
      </c>
      <c r="C39" s="361">
        <f>5000000*REGINFO!D21</f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4" t="s">
        <v>475</v>
      </c>
      <c r="B40" s="406" t="s">
        <v>466</v>
      </c>
      <c r="C40" s="362">
        <f>10000000*REGINFO!D22</f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9" t="s">
        <v>331</v>
      </c>
      <c r="B41" s="508"/>
      <c r="C41" s="508"/>
      <c r="D41" s="508"/>
      <c r="E41" s="508"/>
      <c r="F41" s="50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0"/>
      <c r="B42" s="510"/>
      <c r="C42" s="510"/>
      <c r="D42" s="510"/>
      <c r="E42" s="510"/>
      <c r="F42" s="51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09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476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484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8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295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f>TAXREC!C150</f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257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4" t="s">
        <v>346</v>
      </c>
      <c r="B57" s="405" t="s">
        <v>465</v>
      </c>
      <c r="C57" s="494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4" t="s">
        <v>347</v>
      </c>
      <c r="B58" s="406" t="s">
        <v>466</v>
      </c>
      <c r="C58" s="495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7" t="s">
        <v>348</v>
      </c>
      <c r="B59" s="511"/>
      <c r="C59" s="511"/>
      <c r="D59" s="511"/>
      <c r="E59" s="511"/>
      <c r="F59" s="511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2"/>
      <c r="B60" s="512"/>
      <c r="C60" s="512"/>
      <c r="D60" s="512"/>
      <c r="E60" s="512"/>
      <c r="F60" s="512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EB-2011-0178</v>
      </c>
    </row>
    <row r="2" spans="1:2" ht="12.75">
      <c r="A2" s="2" t="s">
        <v>454</v>
      </c>
      <c r="B2" s="2"/>
    </row>
    <row r="3" spans="1:15" ht="12.75">
      <c r="A3" s="2" t="str">
        <f>REGINFO!A3</f>
        <v>Utility Name: Kingston Hydro Corporation</v>
      </c>
      <c r="O3" s="415" t="str">
        <f>REGINFO!E1</f>
        <v>Version 2009.1</v>
      </c>
    </row>
    <row r="4" spans="1:15" ht="12.75">
      <c r="A4" s="2" t="str">
        <f>REGINFO!A4</f>
        <v>Reporting period:  2002</v>
      </c>
      <c r="E4" s="416" t="s">
        <v>317</v>
      </c>
      <c r="F4" s="398"/>
      <c r="G4" s="398"/>
      <c r="H4" s="398"/>
      <c r="I4" s="398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354796</v>
      </c>
      <c r="F11" s="418"/>
      <c r="G11" s="396">
        <f>E22</f>
        <v>464477.81870629604</v>
      </c>
      <c r="H11" s="418"/>
      <c r="I11" s="396">
        <f>G22</f>
        <v>361845.6401368058</v>
      </c>
      <c r="J11" s="390"/>
      <c r="K11" s="396">
        <f>I22</f>
        <v>133647.251311091</v>
      </c>
      <c r="L11" s="390"/>
      <c r="M11" s="396">
        <f>K22</f>
        <v>-73216.03609210905</v>
      </c>
      <c r="N11" s="390"/>
      <c r="O11" s="396">
        <f>C11</f>
        <v>0</v>
      </c>
    </row>
    <row r="12" spans="1:15" ht="27" customHeight="1">
      <c r="A12" s="81" t="s">
        <v>395</v>
      </c>
      <c r="B12" s="66" t="s">
        <v>190</v>
      </c>
      <c r="C12" s="521">
        <v>354796</v>
      </c>
      <c r="D12" s="391"/>
      <c r="E12" s="395">
        <v>1077201</v>
      </c>
      <c r="F12" s="95"/>
      <c r="G12" s="417">
        <f>C12+E12</f>
        <v>1431997</v>
      </c>
      <c r="H12" s="95"/>
      <c r="I12" s="417">
        <f>(E12/12*9)+(G12/12*3)</f>
        <v>1165900</v>
      </c>
      <c r="J12" s="391"/>
      <c r="K12" s="417">
        <f>E12/12*3</f>
        <v>269300.25</v>
      </c>
      <c r="L12" s="391"/>
      <c r="M12" s="417">
        <v>333844</v>
      </c>
      <c r="N12" s="391"/>
      <c r="O12" s="396">
        <f aca="true" t="shared" si="0" ref="O12:O20">SUM(C12:N12)</f>
        <v>4633038.25</v>
      </c>
    </row>
    <row r="13" spans="1:15" ht="27" customHeight="1">
      <c r="A13" s="81" t="s">
        <v>436</v>
      </c>
      <c r="B13" s="66"/>
      <c r="C13" s="417"/>
      <c r="D13" s="391"/>
      <c r="E13" s="417"/>
      <c r="F13" s="95"/>
      <c r="G13" s="417"/>
      <c r="H13" s="95"/>
      <c r="I13" s="417"/>
      <c r="J13" s="391"/>
      <c r="K13" s="395">
        <v>751148</v>
      </c>
      <c r="L13" s="391"/>
      <c r="M13" s="417"/>
      <c r="N13" s="391"/>
      <c r="O13" s="396">
        <f t="shared" si="0"/>
        <v>751148</v>
      </c>
    </row>
    <row r="14" spans="1:15" ht="26.25">
      <c r="A14" s="81" t="s">
        <v>396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397</v>
      </c>
      <c r="B15" s="66" t="s">
        <v>190</v>
      </c>
      <c r="C15" s="395"/>
      <c r="D15" s="391"/>
      <c r="E15" s="395"/>
      <c r="F15" s="95"/>
      <c r="G15" s="395">
        <f>TAXCALC!E132</f>
        <v>-68024.38650000002</v>
      </c>
      <c r="H15" s="95"/>
      <c r="I15" s="395">
        <v>-146942.46823643413</v>
      </c>
      <c r="J15" s="391"/>
      <c r="K15" s="395">
        <v>-66352</v>
      </c>
      <c r="L15" s="391"/>
      <c r="M15" s="395"/>
      <c r="N15" s="391"/>
      <c r="O15" s="396">
        <f t="shared" si="0"/>
        <v>-281318.8547364342</v>
      </c>
    </row>
    <row r="16" spans="1:15" ht="27" customHeight="1">
      <c r="A16" s="81" t="s">
        <v>398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399</v>
      </c>
      <c r="B17" s="66" t="s">
        <v>190</v>
      </c>
      <c r="C17" s="395"/>
      <c r="D17" s="391"/>
      <c r="E17" s="395"/>
      <c r="F17" s="95"/>
      <c r="G17" s="395"/>
      <c r="H17" s="95"/>
      <c r="I17" s="395">
        <v>-50047.29345446081</v>
      </c>
      <c r="J17" s="391"/>
      <c r="K17" s="395">
        <v>-84311</v>
      </c>
      <c r="L17" s="391"/>
      <c r="M17" s="395"/>
      <c r="N17" s="391"/>
      <c r="O17" s="396">
        <f t="shared" si="0"/>
        <v>-134358.2934544608</v>
      </c>
    </row>
    <row r="18" spans="1:15" ht="26.25">
      <c r="A18" s="81" t="s">
        <v>400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5" t="s">
        <v>401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464</v>
      </c>
      <c r="B20" s="66" t="s">
        <v>188</v>
      </c>
      <c r="C20" s="417">
        <v>0</v>
      </c>
      <c r="D20" s="391"/>
      <c r="E20" s="395">
        <v>-967519.181293704</v>
      </c>
      <c r="F20" s="95"/>
      <c r="G20" s="395">
        <v>-1466604.79206949</v>
      </c>
      <c r="H20" s="95"/>
      <c r="I20" s="395">
        <v>-1197108.62713482</v>
      </c>
      <c r="J20" s="391"/>
      <c r="K20" s="395">
        <v>-1076648.5374032</v>
      </c>
      <c r="L20" s="391"/>
      <c r="M20" s="521">
        <v>-474526.7827321</v>
      </c>
      <c r="N20" s="391"/>
      <c r="O20" s="396">
        <f t="shared" si="0"/>
        <v>-5182407.920633314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8"/>
    </row>
    <row r="22" spans="1:15" ht="13.5" thickBot="1">
      <c r="A22" s="81" t="s">
        <v>371</v>
      </c>
      <c r="B22" s="34"/>
      <c r="C22" s="397">
        <f>SUM(C11:C20)</f>
        <v>354796</v>
      </c>
      <c r="D22" s="418"/>
      <c r="E22" s="397">
        <f>SUM(E11:E20)</f>
        <v>464477.81870629604</v>
      </c>
      <c r="F22" s="418"/>
      <c r="G22" s="397">
        <f>SUM(G11:G20)</f>
        <v>361845.6401368058</v>
      </c>
      <c r="H22" s="418"/>
      <c r="I22" s="397">
        <f>SUM(I11:I20)</f>
        <v>133647.251311091</v>
      </c>
      <c r="J22" s="390"/>
      <c r="K22" s="397">
        <f>SUM(K11:K20)</f>
        <v>-73216.03609210905</v>
      </c>
      <c r="L22" s="390"/>
      <c r="M22" s="397">
        <f>SUM(M11:M21)</f>
        <v>-213898.81882420904</v>
      </c>
      <c r="N22" s="390"/>
      <c r="O22" s="443">
        <f>SUM(O11:O20)</f>
        <v>-213898.81882420927</v>
      </c>
    </row>
    <row r="23" spans="1:15" ht="13.5" thickTop="1">
      <c r="A23" s="426"/>
      <c r="B23" s="427"/>
      <c r="C23" s="433"/>
      <c r="D23" s="434"/>
      <c r="E23" s="433"/>
      <c r="F23" s="434"/>
      <c r="G23" s="433"/>
      <c r="H23" s="434"/>
      <c r="I23" s="433"/>
      <c r="J23" s="427"/>
      <c r="K23" s="433"/>
      <c r="L23" s="188"/>
      <c r="M23" s="435"/>
      <c r="N23" s="188"/>
      <c r="O23" s="435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6"/>
      <c r="B25" s="427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6" t="s">
        <v>402</v>
      </c>
      <c r="B26" s="427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6"/>
      <c r="B27" s="427"/>
      <c r="C27" s="427"/>
      <c r="D27" s="427"/>
      <c r="E27" s="427"/>
      <c r="F27" s="427"/>
      <c r="G27" s="427"/>
      <c r="H27" s="427"/>
      <c r="I27" s="427"/>
      <c r="J27" s="427"/>
      <c r="K27" s="428"/>
      <c r="L27" s="188"/>
      <c r="M27" s="188"/>
      <c r="N27" s="188"/>
      <c r="O27" s="188"/>
    </row>
    <row r="28" spans="1:15" ht="12.75">
      <c r="A28" s="426" t="s">
        <v>403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188"/>
      <c r="M28" s="188"/>
      <c r="N28" s="188"/>
      <c r="O28" s="188"/>
    </row>
    <row r="29" spans="1:15" ht="12.75">
      <c r="A29" s="429" t="s">
        <v>404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188"/>
      <c r="M29" s="188"/>
      <c r="N29" s="188"/>
      <c r="O29" s="188"/>
    </row>
    <row r="30" spans="1:15" ht="9" customHeight="1">
      <c r="A30" s="188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188"/>
      <c r="M30" s="188"/>
      <c r="N30" s="188"/>
      <c r="O30" s="188"/>
    </row>
    <row r="31" spans="1:15" ht="12.75">
      <c r="A31" s="444" t="s">
        <v>510</v>
      </c>
      <c r="B31" s="80"/>
      <c r="C31" s="80"/>
      <c r="D31" s="80"/>
      <c r="E31" s="80"/>
      <c r="F31" s="80"/>
      <c r="G31" s="80"/>
      <c r="H31" s="80"/>
      <c r="I31" s="440"/>
      <c r="J31" s="440"/>
      <c r="K31" s="440"/>
      <c r="L31" s="440"/>
      <c r="M31" s="440"/>
      <c r="N31" s="440"/>
      <c r="O31" s="440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18" t="s">
        <v>405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419"/>
      <c r="Q33" s="419"/>
      <c r="R33" s="419"/>
      <c r="S33" s="419"/>
    </row>
    <row r="34" spans="1:19" ht="12.75">
      <c r="A34" s="517" t="s">
        <v>406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419"/>
      <c r="Q34" s="419"/>
      <c r="R34" s="419"/>
      <c r="S34" s="419"/>
    </row>
    <row r="35" spans="1:19" ht="12.75">
      <c r="A35" s="517" t="s">
        <v>427</v>
      </c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419"/>
      <c r="Q35" s="419"/>
      <c r="R35" s="419"/>
      <c r="S35" s="419"/>
    </row>
    <row r="36" spans="1:19" ht="12.75">
      <c r="A36" s="517" t="s">
        <v>407</v>
      </c>
      <c r="B36" s="519"/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419"/>
      <c r="Q36" s="419"/>
      <c r="R36" s="419"/>
      <c r="S36" s="419"/>
    </row>
    <row r="37" spans="1:19" ht="12.75">
      <c r="A37" s="430" t="s">
        <v>368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19"/>
      <c r="Q37" s="419"/>
      <c r="R37" s="419"/>
      <c r="S37" s="419"/>
    </row>
    <row r="38" spans="1:19" ht="12.75">
      <c r="A38" s="430" t="s">
        <v>369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19"/>
      <c r="Q38" s="419"/>
      <c r="R38" s="419"/>
      <c r="S38" s="419"/>
    </row>
    <row r="39" spans="1:19" ht="12.75">
      <c r="A39" s="430" t="s">
        <v>408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19"/>
      <c r="Q39" s="419"/>
      <c r="R39" s="419"/>
      <c r="S39" s="419"/>
    </row>
    <row r="40" spans="1:19" ht="12.75">
      <c r="A40" s="430" t="s">
        <v>409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19"/>
      <c r="Q40" s="419"/>
      <c r="R40" s="419"/>
      <c r="S40" s="419"/>
    </row>
    <row r="41" spans="2:19" ht="9" customHeight="1"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19"/>
      <c r="Q41" s="419"/>
      <c r="R41" s="419"/>
      <c r="S41" s="419"/>
    </row>
    <row r="42" spans="1:15" ht="12.75">
      <c r="A42" s="432" t="s">
        <v>410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188"/>
      <c r="M42" s="188"/>
      <c r="N42" s="188"/>
      <c r="O42" s="188"/>
    </row>
    <row r="43" spans="1:15" ht="12.75">
      <c r="A43" s="427" t="s">
        <v>411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188"/>
      <c r="M43" s="188"/>
      <c r="N43" s="188"/>
      <c r="O43" s="188"/>
    </row>
    <row r="44" spans="1:15" ht="9" customHeigh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188"/>
      <c r="M44" s="188"/>
      <c r="N44" s="188"/>
      <c r="O44" s="188"/>
    </row>
    <row r="45" spans="1:15" ht="12.75">
      <c r="A45" s="432" t="s">
        <v>412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188"/>
      <c r="M45" s="188"/>
      <c r="N45" s="188"/>
      <c r="O45" s="188"/>
    </row>
    <row r="46" spans="1:15" ht="12.75">
      <c r="A46" s="427" t="s">
        <v>413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188"/>
      <c r="M46" s="188"/>
      <c r="N46" s="188"/>
      <c r="O46" s="188"/>
    </row>
    <row r="47" spans="1:15" ht="9" customHeight="1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188"/>
      <c r="M47" s="188"/>
      <c r="N47" s="188"/>
      <c r="O47" s="188"/>
    </row>
    <row r="48" spans="1:15" ht="12.75">
      <c r="A48" s="432" t="s">
        <v>414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188"/>
      <c r="M48" s="188"/>
      <c r="N48" s="188"/>
      <c r="O48" s="188"/>
    </row>
    <row r="49" spans="1:15" ht="12.75">
      <c r="A49" s="427" t="s">
        <v>415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188"/>
      <c r="M49" s="188"/>
      <c r="N49" s="188"/>
      <c r="O49" s="188"/>
    </row>
    <row r="50" spans="1:15" ht="9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188"/>
      <c r="M50" s="188"/>
      <c r="N50" s="188"/>
      <c r="O50" s="188"/>
    </row>
    <row r="51" spans="1:15" ht="12.75">
      <c r="A51" s="432" t="s">
        <v>416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188"/>
      <c r="M51" s="188"/>
      <c r="N51" s="188"/>
      <c r="O51" s="188"/>
    </row>
    <row r="52" spans="1:15" ht="12.75">
      <c r="A52" s="427" t="s">
        <v>413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188"/>
      <c r="M52" s="188"/>
      <c r="N52" s="188"/>
      <c r="O52" s="188"/>
    </row>
    <row r="53" spans="1:15" ht="9" customHeight="1">
      <c r="A53" s="432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188"/>
      <c r="M53" s="188"/>
      <c r="N53" s="188"/>
      <c r="O53" s="188"/>
    </row>
    <row r="54" spans="1:15" ht="12.75">
      <c r="A54" s="427" t="s">
        <v>417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188"/>
      <c r="M54" s="188"/>
      <c r="N54" s="188"/>
      <c r="O54" s="188"/>
    </row>
    <row r="55" spans="1:15" ht="9" customHeight="1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188"/>
      <c r="M55" s="188"/>
      <c r="N55" s="188"/>
      <c r="O55" s="188"/>
    </row>
    <row r="56" spans="1:15" ht="12.75" customHeight="1">
      <c r="A56" s="432" t="s">
        <v>418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188"/>
      <c r="M56" s="188"/>
      <c r="N56" s="188"/>
      <c r="O56" s="188"/>
    </row>
    <row r="57" spans="1:15" ht="9" customHeigh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188"/>
      <c r="M57" s="188"/>
      <c r="N57" s="188"/>
      <c r="O57" s="188"/>
    </row>
    <row r="58" spans="1:15" ht="12.75">
      <c r="A58" s="427" t="s">
        <v>419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188"/>
      <c r="M58" s="188"/>
      <c r="N58" s="188"/>
      <c r="O58" s="188"/>
    </row>
    <row r="59" spans="1:15" ht="12.75">
      <c r="A59" s="427" t="s">
        <v>420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188"/>
      <c r="M59" s="188"/>
      <c r="N59" s="188"/>
      <c r="O59" s="188"/>
    </row>
    <row r="60" spans="1:15" ht="12.75">
      <c r="A60" s="427" t="s">
        <v>421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188"/>
      <c r="M60" s="188"/>
      <c r="N60" s="188"/>
      <c r="O60" s="188"/>
    </row>
    <row r="61" spans="1:15" ht="12.75">
      <c r="A61" s="427" t="s">
        <v>378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188"/>
      <c r="M61" s="188"/>
      <c r="N61" s="188"/>
      <c r="O61" s="188"/>
    </row>
    <row r="62" spans="1:15" ht="9" customHeight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188"/>
      <c r="M62" s="188"/>
      <c r="N62" s="188"/>
      <c r="O62" s="188"/>
    </row>
    <row r="63" spans="1:15" ht="12.75">
      <c r="A63" s="427" t="s">
        <v>422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188"/>
      <c r="M63" s="188"/>
      <c r="N63" s="188"/>
      <c r="O63" s="188"/>
    </row>
    <row r="64" spans="1:15" ht="12.75">
      <c r="A64" s="427" t="s">
        <v>423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188"/>
      <c r="M64" s="188"/>
      <c r="N64" s="188"/>
      <c r="O64" s="188"/>
    </row>
    <row r="65" spans="1:15" ht="12.75">
      <c r="A65" s="427" t="s">
        <v>380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188"/>
      <c r="M65" s="188"/>
      <c r="N65" s="188"/>
      <c r="O65" s="188"/>
    </row>
    <row r="66" spans="1:15" ht="3.75" customHeigh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188"/>
      <c r="M66" s="188"/>
      <c r="N66" s="188"/>
      <c r="O66" s="188"/>
    </row>
    <row r="67" spans="1:15" ht="12.75">
      <c r="A67" s="427" t="s">
        <v>379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188"/>
      <c r="M67" s="188"/>
      <c r="N67" s="188"/>
      <c r="O67" s="188"/>
    </row>
    <row r="68" spans="1:15" ht="12.75">
      <c r="A68" s="427" t="s">
        <v>381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188"/>
      <c r="M68" s="188"/>
      <c r="N68" s="188"/>
      <c r="O68" s="188"/>
    </row>
    <row r="69" spans="1:15" ht="3.75" customHeigh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188"/>
      <c r="M69" s="188"/>
      <c r="N69" s="188"/>
      <c r="O69" s="188"/>
    </row>
    <row r="70" spans="1:15" ht="12.75">
      <c r="A70" s="427" t="s">
        <v>424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188"/>
      <c r="M70" s="188"/>
      <c r="N70" s="188"/>
      <c r="O70" s="188"/>
    </row>
    <row r="71" spans="1:15" ht="12.75">
      <c r="A71" s="427" t="s">
        <v>425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188"/>
      <c r="M71" s="188"/>
      <c r="N71" s="188"/>
      <c r="O71" s="188"/>
    </row>
    <row r="72" spans="1:15" ht="12.75">
      <c r="A72" s="427" t="s">
        <v>426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188"/>
      <c r="M72" s="188"/>
      <c r="N72" s="188"/>
      <c r="O72" s="188"/>
    </row>
    <row r="73" spans="1:15" ht="9" customHeigh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188"/>
      <c r="M73" s="188"/>
      <c r="N73" s="188"/>
      <c r="O73" s="188"/>
    </row>
    <row r="74" spans="1:15" ht="12.75" customHeight="1">
      <c r="A74" s="517" t="s">
        <v>455</v>
      </c>
      <c r="B74" s="517"/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</row>
    <row r="75" spans="1:15" ht="12.75">
      <c r="A75" s="427" t="s">
        <v>370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188"/>
      <c r="M75" s="188"/>
      <c r="N75" s="188"/>
      <c r="O75" s="188"/>
    </row>
    <row r="76" spans="1:15" ht="12.75">
      <c r="A76" s="188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188"/>
      <c r="M76" s="188"/>
      <c r="N76" s="188"/>
      <c r="O76" s="188"/>
    </row>
    <row r="77" spans="1:15" ht="12.75">
      <c r="A77" s="188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188"/>
      <c r="M77" s="188"/>
      <c r="N77" s="188"/>
      <c r="O77" s="188"/>
    </row>
    <row r="78" spans="1:17" ht="12.75">
      <c r="A78" s="188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188"/>
      <c r="O78" s="188"/>
      <c r="P78" s="188"/>
      <c r="Q78" s="188"/>
    </row>
    <row r="79" spans="1:17" ht="12.75">
      <c r="A79" s="188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188"/>
      <c r="O79" s="188"/>
      <c r="P79" s="188"/>
      <c r="Q79" s="188"/>
    </row>
    <row r="80" spans="1:17" ht="12.75">
      <c r="A80" s="188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188"/>
      <c r="O80" s="188"/>
      <c r="P80" s="188"/>
      <c r="Q80" s="188"/>
    </row>
    <row r="81" spans="1:17" ht="12.7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188"/>
      <c r="O81" s="188"/>
      <c r="P81" s="188"/>
      <c r="Q81" s="188"/>
    </row>
    <row r="82" spans="1:17" ht="12.75">
      <c r="A82" s="188"/>
      <c r="B82" s="188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188"/>
      <c r="O82" s="188"/>
      <c r="P82" s="188"/>
      <c r="Q82" s="188"/>
    </row>
    <row r="83" spans="1:17" ht="12.75">
      <c r="A83" s="188"/>
      <c r="B83" s="188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188"/>
      <c r="O83" s="188"/>
      <c r="P83" s="188"/>
      <c r="Q83" s="188"/>
    </row>
    <row r="84" spans="1:17" ht="12.75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188"/>
      <c r="O84" s="188"/>
      <c r="P84" s="188"/>
      <c r="Q84" s="188"/>
    </row>
    <row r="85" spans="1:17" ht="12.75">
      <c r="A85" s="188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188"/>
      <c r="O85" s="188"/>
      <c r="P85" s="188"/>
      <c r="Q85" s="188"/>
    </row>
    <row r="86" spans="1:17" ht="12.75">
      <c r="A86" s="188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188"/>
      <c r="O86" s="188"/>
      <c r="P86" s="188"/>
      <c r="Q86" s="188"/>
    </row>
    <row r="87" spans="1:17" ht="12.75">
      <c r="A87" s="188"/>
      <c r="B87" s="188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188"/>
      <c r="O87" s="188"/>
      <c r="P87" s="188"/>
      <c r="Q87" s="188"/>
    </row>
    <row r="88" spans="1:17" ht="12.75">
      <c r="A88" s="188"/>
      <c r="B88" s="188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188"/>
      <c r="O88" s="188"/>
      <c r="P88" s="188"/>
      <c r="Q88" s="188"/>
    </row>
    <row r="89" spans="1:17" ht="12.75">
      <c r="A89" s="188"/>
      <c r="B89" s="188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188"/>
      <c r="O89" s="188"/>
      <c r="P89" s="188"/>
      <c r="Q89" s="188"/>
    </row>
    <row r="90" spans="1:17" ht="12.75">
      <c r="A90" s="188"/>
      <c r="B90" s="188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188"/>
      <c r="O90" s="188"/>
      <c r="P90" s="188"/>
      <c r="Q90" s="188"/>
    </row>
    <row r="91" spans="1:17" ht="12.75">
      <c r="A91" s="188"/>
      <c r="B91" s="188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188"/>
      <c r="O91" s="188"/>
      <c r="P91" s="188"/>
      <c r="Q91" s="188"/>
    </row>
    <row r="92" spans="1:17" ht="12.75">
      <c r="A92" s="188"/>
      <c r="B92" s="188"/>
      <c r="C92" s="517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</row>
    <row r="93" spans="1:17" ht="12.75">
      <c r="A93" s="188"/>
      <c r="B93" s="188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rmurphy</cp:lastModifiedBy>
  <cp:lastPrinted>2011-11-25T18:06:20Z</cp:lastPrinted>
  <dcterms:created xsi:type="dcterms:W3CDTF">2001-11-07T16:15:53Z</dcterms:created>
  <dcterms:modified xsi:type="dcterms:W3CDTF">2011-11-29T21:00:35Z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