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500" windowWidth="15360" windowHeight="8712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True-up'!$A$1:$F$77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<sst xmlns="http://schemas.openxmlformats.org/spreadsheetml/2006/main" count="886" uniqueCount="509">
  <si>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</si>
  <si>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</si>
  <si>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</si>
  <si>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</si>
  <si>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</si>
  <si>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</si>
  <si>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</si>
  <si>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</si>
  <si>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</si>
  <si>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</si>
  <si>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</si>
  <si>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</si>
  <si>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</si>
  <si>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</si>
  <si>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</si>
  <si>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</si>
  <si>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</si>
  <si>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</si>
  <si>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</si>
  <si>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</si>
  <si>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</si>
  <si>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</si>
  <si>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</si>
  <si>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</si>
  <si>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</si>
  <si>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</si>
  <si>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</si>
  <si>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</si>
  <si>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</si>
  <si>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</si>
  <si>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</si>
  <si>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</si>
  <si>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</si>
  <si>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</si>
  <si>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</si>
  <si>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</si>
  <si>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</si>
  <si>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</si>
  <si>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</si>
  <si>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</si>
  <si>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</si>
  <si>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</si>
  <si>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</si>
  <si>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</si>
  <si>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</si>
  <si>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</si>
  <si>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</si>
  <si>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</si>
  <si>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</si>
  <si>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</si>
  <si>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</si>
  <si>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</si>
  <si>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</si>
  <si>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</si>
  <si>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</si>
  <si>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</si>
  <si>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</si>
  <si>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</si>
  <si>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</si>
  <si>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</si>
  <si>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</si>
  <si>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</si>
  <si>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</si>
  <si>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</si>
  <si>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</si>
  <si>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</si>
  <si>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</si>
  <si>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</si>
  <si>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</si>
  <si>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</si>
  <si>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</si>
  <si>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</si>
  <si>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</si>
  <si>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</si>
  <si>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</si>
  <si>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</si>
  <si>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</si>
  <si>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</si>
  <si>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</si>
  <si>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</si>
  <si>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</si>
  <si>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</si>
  <si>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</si>
  <si>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</si>
  <si>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</si>
  <si>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</si>
  <si>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</si>
  <si>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</si>
  <si>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</si>
  <si>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</si>
  <si>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</si>
  <si>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</si>
  <si>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</si>
  <si>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</si>
  <si>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</si>
  <si>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</si>
  <si>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</si>
  <si>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</si>
  <si>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</si>
  <si>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</si>
  <si>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</si>
  <si>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</si>
  <si>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</si>
  <si>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</si>
  <si>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</si>
  <si>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</si>
  <si>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</si>
  <si>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</si>
  <si>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</si>
  <si>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</si>
  <si>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</si>
  <si>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</si>
  <si>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</si>
  <si>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</si>
  <si>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</si>
  <si>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</si>
  <si>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</si>
  <si>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</si>
  <si>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</si>
  <si>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</si>
  <si>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</si>
  <si>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</si>
  <si>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</si>
  <si>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</si>
  <si>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</si>
  <si>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</si>
  <si>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</si>
  <si>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</si>
  <si>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</si>
  <si>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</si>
  <si>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</si>
  <si>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</si>
  <si>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</si>
  <si>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</si>
  <si>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</si>
  <si>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</si>
  <si>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</si>
  <si>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</si>
  <si>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</si>
  <si>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</si>
  <si>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</si>
  <si>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</si>
  <si>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</si>
  <si>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</si>
  <si>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</si>
  <si>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</si>
  <si>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</si>
  <si>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</si>
  <si>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</si>
  <si>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</si>
  <si>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</si>
  <si>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</si>
  <si>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</si>
  <si>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</si>
  <si>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</si>
  <si>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</si>
  <si>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</si>
  <si>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</si>
  <si>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</si>
  <si>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</si>
  <si>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</si>
  <si>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</si>
  <si>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</si>
  <si>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</si>
  <si>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</si>
  <si>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</si>
  <si>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</si>
  <si>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</si>
  <si>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</si>
  <si>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</si>
  <si>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</si>
  <si>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</si>
  <si>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</si>
  <si>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</si>
  <si>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</si>
  <si>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</si>
  <si>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</si>
  <si>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</si>
  <si>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</si>
  <si>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</si>
  <si>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</si>
  <si>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</si>
  <si>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</si>
  <si>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</si>
  <si>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</si>
  <si>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</si>
  <si>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</si>
  <si>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</si>
  <si>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</si>
  <si>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</si>
  <si>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</si>
  <si>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</si>
  <si>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</si>
  <si>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</si>
  <si>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</si>
  <si>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</si>
  <si>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</si>
  <si>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</si>
  <si>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</si>
  <si>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</si>
  <si>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</si>
  <si>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</si>
  <si>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</si>
  <si>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</si>
  <si>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</si>
  <si>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</si>
  <si>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</si>
  <si>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</si>
  <si>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</si>
  <si>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</si>
  <si>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</si>
  <si>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</si>
  <si>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</si>
  <si>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</si>
  <si>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</si>
  <si>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</si>
  <si>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</si>
  <si>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</si>
  <si>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</si>
  <si>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</si>
  <si>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</si>
  <si>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</si>
  <si>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</si>
  <si>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</si>
  <si>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</si>
  <si>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</si>
  <si>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</si>
  <si>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</si>
  <si>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</si>
  <si>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</si>
  <si>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</si>
  <si>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</si>
  <si>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</si>
  <si>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</si>
  <si>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</si>
  <si>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</si>
  <si>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</si>
  <si>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</si>
  <si>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</si>
  <si>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</si>
  <si>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</si>
  <si>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</si>
  <si>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</si>
  <si>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</si>
  <si>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</si>
  <si>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</si>
  <si>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</si>
  <si>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</si>
  <si>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</si>
  <si>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</si>
  <si>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</si>
  <si>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</si>
  <si>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</si>
  <si>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</si>
  <si>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</si>
  <si>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</si>
  <si>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</si>
  <si>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</si>
  <si>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</si>
  <si>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</si>
  <si>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</si>
  <si>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</si>
  <si>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</si>
  <si>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</si>
  <si>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</si>
  <si>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</si>
  <si>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</si>
  <si>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</si>
  <si>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</si>
  <si>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</si>
  <si>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</si>
  <si>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</si>
  <si>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</si>
  <si>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</si>
  <si>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</si>
  <si>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</si>
  <si>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</si>
  <si>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</si>
  <si>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</si>
  <si>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</si>
  <si>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</si>
  <si>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</si>
  <si>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</si>
  <si>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</si>
  <si>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</si>
  <si>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</si>
  <si>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</si>
  <si>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</si>
  <si>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</si>
  <si>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</si>
  <si>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</si>
  <si>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</si>
  <si>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</si>
  <si>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</si>
  <si>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</si>
  <si>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</si>
  <si>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</si>
  <si>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</si>
  <si>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</si>
  <si>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</si>
  <si>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</si>
  <si>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</si>
  <si>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</si>
  <si>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</si>
  <si>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</si>
  <si>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</si>
  <si>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</si>
  <si>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</si>
  <si>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</si>
  <si>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</si>
  <si>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</si>
  <si>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</si>
  <si>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</si>
  <si>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</si>
  <si>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</si>
  <si>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</si>
  <si>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</si>
  <si>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</si>
  <si>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</si>
  <si>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</si>
  <si>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</si>
  <si>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</si>
  <si>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</si>
  <si>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</si>
  <si>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</si>
  <si>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</si>
  <si>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</si>
  <si>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</si>
  <si>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</si>
  <si>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</si>
  <si>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</si>
  <si>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</si>
  <si>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</si>
  <si>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</si>
  <si>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</si>
  <si>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</si>
  <si>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</si>
  <si>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</si>
  <si>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</si>
  <si>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</si>
  <si>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</si>
  <si>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</si>
  <si>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</si>
  <si>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</si>
  <si>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</si>
  <si>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</si>
  <si>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</si>
  <si>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</si>
  <si>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</si>
  <si>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</si>
  <si>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</si>
  <si>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</si>
  <si>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</si>
  <si>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</si>
  <si>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</si>
  <si>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</si>
  <si>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</si>
  <si>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</si>
  <si>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</si>
  <si>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</si>
  <si>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</si>
  <si>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</si>
  <si>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</si>
  <si>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</si>
  <si>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</si>
  <si>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</si>
  <si>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</si>
  <si>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</si>
  <si>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</si>
  <si>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</si>
  <si>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</si>
  <si>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</si>
  <si>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</si>
  <si>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</si>
  <si>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</si>
  <si>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</si>
  <si>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</si>
  <si>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</si>
  <si>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</si>
  <si>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</si>
  <si>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</si>
  <si>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</si>
  <si>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</si>
  <si>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</si>
  <si>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</si>
  <si>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</si>
  <si>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</si>
  <si>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</si>
  <si>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</si>
  <si>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</si>
  <si>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</si>
  <si>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</si>
  <si>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</si>
  <si>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</si>
  <si>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</si>
  <si>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</si>
  <si>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</si>
  <si>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</si>
  <si>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</si>
  <si>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</si>
  <si>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</si>
  <si>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</si>
  <si>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</si>
  <si>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</si>
  <si>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</si>
  <si>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</si>
  <si>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</si>
  <si>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</si>
  <si>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</si>
  <si>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</si>
  <si>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</si>
  <si>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</si>
  <si>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</si>
  <si>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</si>
  <si>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</si>
  <si>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</si>
  <si>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</si>
  <si>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</si>
  <si>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</si>
  <si>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</si>
  <si>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</si>
  <si>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</si>
  <si>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</si>
  <si>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</si>
  <si>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</si>
  <si>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</si>
  <si>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</si>
  <si>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</si>
  <si>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</si>
  <si>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</si>
  <si>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</si>
  <si>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</si>
  <si>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</si>
  <si>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</si>
  <si>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</si>
  <si>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</si>
  <si>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</si>
  <si>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</si>
  <si>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</si>
  <si>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</si>
  <si>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</si>
  <si>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</si>
  <si>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</si>
  <si>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</si>
  <si>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</si>
  <si>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</si>
  <si>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</si>
  <si>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</si>
  <si>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</si>
  <si>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</si>
  <si>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</si>
  <si>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</si>
  <si>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</si>
  <si>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</si>
  <si>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</si>
  <si>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</si>
  <si>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</si>
  <si>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</si>
  <si>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</si>
  <si>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</si>
  <si>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</si>
  <si>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</si>
  <si>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</si>
  <si>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</si>
  <si>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</si>
  <si>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&gt;700,000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</si>
  <si>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</si>
  <si>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</si>
  <si>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</si>
  <si>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</si>
  <si>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</si>
  <si>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</si>
  <si>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</si>
  <si>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</si>
  <si>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</si>
  <si>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</si>
  <si>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</si>
  <si>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</si>
  <si>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</si>
  <si>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</si>
  <si>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</si>
  <si>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</si>
  <si>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</si>
  <si>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t>**Exemption amounts must agree with the Board-approved 2002 RAM PILs filing</t>
  </si>
  <si>
    <t xml:space="preserve">     Reg Asset movement</t>
  </si>
  <si>
    <t>Total deemed interest  (REGINFO CELL D62)</t>
  </si>
  <si>
    <t>Partnership income per T5013 (net of 2001 loss)</t>
  </si>
  <si>
    <t>RSVA Reserve (1580)</t>
  </si>
  <si>
    <t>Reserves for rebate payment</t>
  </si>
  <si>
    <t>Prospectus &amp; underwriting fees</t>
  </si>
  <si>
    <t>Income not earned on movement of Regulatory A/Cs</t>
  </si>
  <si>
    <t>Deferred cost deductible (market ready)</t>
  </si>
  <si>
    <t>Other Liabilities (2405) - Allowance for doubtful accounts</t>
  </si>
  <si>
    <t>Interest phased-in  (Cell C37)</t>
  </si>
  <si>
    <t xml:space="preserve">Interest deducted on MoF filing  (Cell G37+G42) 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</si>
  <si>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</si>
  <si>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Interest Adjustment for Tax Purposes  (carry forward to Cell E112)</t>
  </si>
  <si>
    <t>Utility Name: Kingston Hydro Corporation</t>
  </si>
  <si>
    <t>PILs TAXES - EB-2011-0178</t>
  </si>
  <si>
    <t>January 1, 2003 -  December 31, 2003</t>
  </si>
  <si>
    <t>Y</t>
  </si>
  <si>
    <t>N</t>
  </si>
  <si>
    <t>Employee future benefits</t>
  </si>
  <si>
    <t>Recovery of transition costs previously expensed</t>
  </si>
  <si>
    <t>2002 interest accrual prior period adjustment</t>
  </si>
  <si>
    <t>CCA taken on reg assets</t>
  </si>
  <si>
    <t>Please identify if Method 1, 2 or 3 was used to account for the PILs proxy and recovery.  ANSWER:  3</t>
  </si>
  <si>
    <t>Per PILs Decision</t>
  </si>
  <si>
    <t>Per Settlement Agreement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</si>
</sst>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5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26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 vertical="top"/>
    </xf>
    <xf numFmtId="10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5" borderId="0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37" fontId="0" fillId="44" borderId="14" xfId="0" applyNumberFormat="1" applyFill="1" applyBorder="1" applyAlignment="1">
      <alignment vertical="top"/>
    </xf>
    <xf numFmtId="10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/>
    </xf>
    <xf numFmtId="9" fontId="0" fillId="44" borderId="0" xfId="0" applyNumberFormat="1" applyFill="1" applyAlignment="1">
      <alignment horizontal="center" vertical="top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3" fontId="0" fillId="32" borderId="14" xfId="0" applyNumberFormat="1" applyFill="1" applyBorder="1" applyAlignment="1" applyProtection="1">
      <alignment/>
      <protection/>
    </xf>
    <xf numFmtId="0" fontId="0" fillId="45" borderId="0" xfId="0" applyFont="1" applyFill="1" applyAlignment="1">
      <alignment vertical="top"/>
    </xf>
    <xf numFmtId="0" fontId="0" fillId="45" borderId="0" xfId="0" applyFont="1" applyFill="1" applyAlignment="1">
      <alignment vertical="top" wrapText="1"/>
    </xf>
    <xf numFmtId="0" fontId="0" fillId="0" borderId="14" xfId="0" applyFont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24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vertical="top"/>
      <protection locked="0"/>
    </xf>
    <xf numFmtId="3" fontId="0" fillId="46" borderId="14" xfId="0" applyNumberFormat="1" applyFill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  <xf numFmtId="3" fontId="0" fillId="44" borderId="0" xfId="0" applyNumberForma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workbookViewId="0" topLeftCell="A4">
      <selection activeCell="D31" sqref="D3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498</v>
      </c>
      <c r="C1" s="8"/>
      <c r="E1" s="2" t="s">
        <v>456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497</v>
      </c>
      <c r="C3" s="8"/>
      <c r="D3" s="452" t="s">
        <v>443</v>
      </c>
      <c r="E3" s="8"/>
      <c r="F3" s="8"/>
      <c r="G3" s="8"/>
      <c r="H3" s="8"/>
    </row>
    <row r="4" spans="1:8" ht="12.75">
      <c r="A4" s="504" t="s">
        <v>499</v>
      </c>
      <c r="C4" s="8"/>
      <c r="D4" s="451" t="s">
        <v>438</v>
      </c>
      <c r="E4" s="425"/>
      <c r="H4" s="8"/>
    </row>
    <row r="5" spans="1:8" ht="12.75">
      <c r="A5" s="52"/>
      <c r="C5" s="8"/>
      <c r="D5" s="450" t="s">
        <v>439</v>
      </c>
      <c r="E5" s="400"/>
      <c r="H5" s="8"/>
    </row>
    <row r="6" spans="1:8" ht="12.75">
      <c r="A6" s="2" t="s">
        <v>126</v>
      </c>
      <c r="B6" s="390">
        <v>365</v>
      </c>
      <c r="C6" s="8" t="s">
        <v>127</v>
      </c>
      <c r="D6" s="21"/>
      <c r="H6" s="8"/>
    </row>
    <row r="7" spans="1:8" ht="13.5" thickBot="1">
      <c r="A7" s="52" t="s">
        <v>254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500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501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501</v>
      </c>
    </row>
    <row r="18" spans="1:4" ht="15" customHeight="1">
      <c r="A18" s="391" t="s">
        <v>312</v>
      </c>
      <c r="C18" s="8"/>
      <c r="D18" s="8"/>
    </row>
    <row r="19" spans="1:4" ht="15" customHeight="1">
      <c r="A19" s="509" t="s">
        <v>313</v>
      </c>
      <c r="B19" s="8" t="s">
        <v>310</v>
      </c>
      <c r="C19" s="8" t="s">
        <v>64</v>
      </c>
      <c r="D19" s="390" t="s">
        <v>500</v>
      </c>
    </row>
    <row r="20" spans="1:4" ht="13.5" thickBot="1">
      <c r="A20" s="510"/>
      <c r="B20" s="8" t="s">
        <v>311</v>
      </c>
      <c r="C20" s="8" t="s">
        <v>64</v>
      </c>
      <c r="D20" s="258" t="s">
        <v>500</v>
      </c>
    </row>
    <row r="21" spans="1:4" ht="12.75">
      <c r="A21" s="509" t="s">
        <v>309</v>
      </c>
      <c r="B21" s="8" t="s">
        <v>310</v>
      </c>
      <c r="C21" s="8"/>
      <c r="D21" s="494">
        <v>1</v>
      </c>
    </row>
    <row r="22" spans="1:4" ht="12.75">
      <c r="A22" s="509"/>
      <c r="B22" s="8" t="s">
        <v>311</v>
      </c>
      <c r="C22" s="8"/>
      <c r="D22" s="494">
        <v>1</v>
      </c>
    </row>
    <row r="23" spans="1:4" ht="7.5" customHeight="1">
      <c r="A23" s="45"/>
      <c r="C23" s="8"/>
      <c r="D23" s="390"/>
    </row>
    <row r="24" spans="1:4" ht="12.75">
      <c r="A24" s="45" t="s">
        <v>212</v>
      </c>
      <c r="C24" s="8" t="s">
        <v>213</v>
      </c>
      <c r="D24" s="423" t="s">
        <v>472</v>
      </c>
    </row>
    <row r="25" ht="6.75" customHeight="1" thickBot="1">
      <c r="A25" s="12"/>
    </row>
    <row r="26" spans="1:5" ht="12.75">
      <c r="A26" s="255" t="s">
        <v>67</v>
      </c>
      <c r="C26" s="8"/>
      <c r="E26" s="440" t="s">
        <v>294</v>
      </c>
    </row>
    <row r="27" spans="1:5" ht="12.75">
      <c r="A27" s="256" t="s">
        <v>68</v>
      </c>
      <c r="C27" s="8"/>
      <c r="E27" s="441" t="s">
        <v>295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284</v>
      </c>
      <c r="D31" s="5">
        <v>24210042</v>
      </c>
      <c r="H31" s="5"/>
    </row>
    <row r="32" ht="6" customHeight="1"/>
    <row r="33" spans="1:8" ht="12.75">
      <c r="A33" t="s">
        <v>71</v>
      </c>
      <c r="D33" s="48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83">
        <v>0.0988</v>
      </c>
      <c r="H37" s="41"/>
    </row>
    <row r="38" ht="4.5" customHeight="1">
      <c r="H38" s="34"/>
    </row>
    <row r="39" spans="1:8" ht="12.75">
      <c r="A39" t="s">
        <v>74</v>
      </c>
      <c r="D39" s="48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2073590.0973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4">
        <v>1547868</v>
      </c>
      <c r="E43" s="389">
        <f>D43</f>
        <v>1547868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525722.0973</v>
      </c>
      <c r="H45" s="40"/>
      <c r="J45" s="5"/>
      <c r="K45" s="5"/>
    </row>
    <row r="46" spans="1:11" ht="12.75">
      <c r="A46" s="2" t="s">
        <v>285</v>
      </c>
      <c r="D46" s="40"/>
      <c r="H46" s="40"/>
      <c r="J46" s="5"/>
      <c r="K46" s="5"/>
    </row>
    <row r="47" spans="1:11" ht="12.75">
      <c r="A47" t="s">
        <v>286</v>
      </c>
      <c r="D47" s="484">
        <f>D45/3</f>
        <v>175240.6991</v>
      </c>
      <c r="E47" s="389">
        <f aca="true" t="shared" si="0" ref="E47:E53">D47</f>
        <v>175240.6991</v>
      </c>
      <c r="H47" s="40"/>
      <c r="J47" s="5"/>
      <c r="K47" s="5"/>
    </row>
    <row r="48" spans="1:11" ht="12.75">
      <c r="A48" t="s">
        <v>287</v>
      </c>
      <c r="D48" s="484">
        <f>D45/3</f>
        <v>175240.6991</v>
      </c>
      <c r="E48" s="389">
        <f>D48</f>
        <v>175240.6991</v>
      </c>
      <c r="F48" s="22"/>
      <c r="H48" s="40"/>
      <c r="J48" s="5"/>
      <c r="K48" s="5"/>
    </row>
    <row r="49" spans="1:11" ht="12.75">
      <c r="A49" t="s">
        <v>288</v>
      </c>
      <c r="D49" s="485"/>
      <c r="E49" s="389">
        <v>0</v>
      </c>
      <c r="F49" s="22"/>
      <c r="H49" s="40"/>
      <c r="J49" s="5"/>
      <c r="K49" s="5"/>
    </row>
    <row r="50" spans="1:11" ht="12.75">
      <c r="A50" t="s">
        <v>289</v>
      </c>
      <c r="D50" s="425"/>
      <c r="E50" s="389">
        <f t="shared" si="0"/>
        <v>0</v>
      </c>
      <c r="H50" s="40"/>
      <c r="J50" s="5"/>
      <c r="K50" s="5"/>
    </row>
    <row r="51" spans="1:11" ht="12.75">
      <c r="A51" t="s">
        <v>435</v>
      </c>
      <c r="D51" s="425"/>
      <c r="E51" s="389">
        <f t="shared" si="0"/>
        <v>0</v>
      </c>
      <c r="H51" s="40"/>
      <c r="J51" s="5"/>
      <c r="K51" s="5"/>
    </row>
    <row r="52" spans="1:11" ht="12.75">
      <c r="A52" t="s">
        <v>457</v>
      </c>
      <c r="D52" s="425"/>
      <c r="E52" s="389">
        <f t="shared" si="0"/>
        <v>0</v>
      </c>
      <c r="H52" s="40"/>
      <c r="J52" s="5"/>
      <c r="K52" s="5"/>
    </row>
    <row r="53" spans="4:11" ht="12.75">
      <c r="D53" s="425"/>
      <c r="E53" s="389">
        <f t="shared" si="0"/>
        <v>0</v>
      </c>
      <c r="H53" s="40"/>
      <c r="J53" s="5"/>
      <c r="K53" s="5"/>
    </row>
    <row r="54" spans="1:11" ht="12.75">
      <c r="A54" s="2" t="s">
        <v>290</v>
      </c>
      <c r="E54" s="254">
        <f>SUM(E43:E53)</f>
        <v>1898349.3982000002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12105021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1195976.0748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12105021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308</v>
      </c>
      <c r="B62" s="5"/>
      <c r="C62" s="5"/>
      <c r="D62" s="252">
        <f>D60*D39</f>
        <v>877614.0225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291</v>
      </c>
      <c r="B64" s="5"/>
      <c r="C64" s="5"/>
      <c r="D64" s="253">
        <f>IF(D41&gt;0,(((D43+D47)/D41)*D62),0)</f>
        <v>729278.3460872738</v>
      </c>
      <c r="F64" s="5"/>
      <c r="H64" s="32"/>
      <c r="J64" s="5"/>
      <c r="K64" s="5"/>
    </row>
    <row r="65" spans="1:11" ht="12.75">
      <c r="A65" s="33" t="s">
        <v>375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292</v>
      </c>
      <c r="B66" s="5"/>
      <c r="C66" s="5"/>
      <c r="D66" s="253">
        <f>IF(D41&gt;0,(((D43+D47+D48)/D41)*D62),0)</f>
        <v>803446.1842936369</v>
      </c>
      <c r="F66" s="5"/>
      <c r="H66" s="32"/>
      <c r="J66" s="5"/>
      <c r="K66" s="5"/>
    </row>
    <row r="67" spans="1:11" ht="12.75">
      <c r="A67" s="33" t="s">
        <v>376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293</v>
      </c>
      <c r="B68" s="5"/>
      <c r="C68" s="5"/>
      <c r="D68" s="253">
        <f>IF(D41&gt;0,(((D43+D47+D48)/D41)*D62),0)</f>
        <v>803446.1842936369</v>
      </c>
      <c r="F68" s="5"/>
      <c r="H68" s="32"/>
      <c r="J68" s="5"/>
    </row>
    <row r="69" spans="1:10" ht="12.75">
      <c r="A69" s="33" t="s">
        <v>377</v>
      </c>
      <c r="B69" s="5"/>
      <c r="C69" s="5"/>
      <c r="D69" s="5"/>
      <c r="F69" s="5"/>
      <c r="H69" s="32"/>
      <c r="J69" s="5"/>
    </row>
    <row r="70" spans="1:10" ht="12.75">
      <c r="A70" s="45" t="s">
        <v>444</v>
      </c>
      <c r="B70" s="5"/>
      <c r="C70" s="5"/>
      <c r="D70" s="253">
        <f>D62</f>
        <v>877614.0225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90" zoomScaleNormal="90" workbookViewId="0" topLeftCell="A68">
      <selection activeCell="I53" sqref="I53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EB-2011-0178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459</v>
      </c>
      <c r="H1" s="210"/>
    </row>
    <row r="2" spans="1:8" ht="12.75">
      <c r="A2" s="211" t="s">
        <v>458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460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Kingston Hydro Corporation</v>
      </c>
      <c r="B6" s="115"/>
      <c r="D6" s="137"/>
      <c r="E6" s="115"/>
      <c r="G6" s="115"/>
      <c r="H6" s="462"/>
    </row>
    <row r="7" spans="1:8" ht="12.75">
      <c r="A7" s="211" t="str">
        <f>REGINFO!A4</f>
        <v>January 1, 2003 -  December 31, 2003</v>
      </c>
      <c r="B7" s="115"/>
      <c r="D7" s="137"/>
      <c r="E7" s="115"/>
      <c r="G7" s="115"/>
      <c r="H7" s="462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6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254</v>
      </c>
      <c r="B10" s="426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338</v>
      </c>
      <c r="B16" s="125">
        <v>1</v>
      </c>
      <c r="C16" s="260">
        <f>REGINFO!E54</f>
        <v>1898349.3982000002</v>
      </c>
      <c r="D16" s="17"/>
      <c r="E16" s="268">
        <f>G16-C16</f>
        <v>464290.60179999983</v>
      </c>
      <c r="F16" s="3"/>
      <c r="G16" s="268">
        <f>TAXREC!E50</f>
        <v>2362640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505">
        <v>1519994</v>
      </c>
      <c r="D20" s="18"/>
      <c r="E20" s="268">
        <f>G20-C20</f>
        <v>-47852</v>
      </c>
      <c r="F20" s="6"/>
      <c r="G20" s="268">
        <f>TAXREC!E61</f>
        <v>1472142</v>
      </c>
      <c r="H20" s="151"/>
    </row>
    <row r="21" spans="1:8" ht="12.75">
      <c r="A21" s="158" t="s">
        <v>56</v>
      </c>
      <c r="B21" s="127">
        <v>3</v>
      </c>
      <c r="C21" s="262"/>
      <c r="D21" s="18"/>
      <c r="E21" s="268">
        <f>G21-C21</f>
        <v>0</v>
      </c>
      <c r="F21" s="6"/>
      <c r="G21" s="268">
        <f>TAXREC!E62</f>
        <v>0</v>
      </c>
      <c r="H21" s="151"/>
    </row>
    <row r="22" spans="1:8" ht="12.75">
      <c r="A22" s="158" t="s">
        <v>262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261</v>
      </c>
      <c r="B23" s="127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1"/>
    </row>
    <row r="24" spans="1:8" ht="12.75">
      <c r="A24" s="158" t="s">
        <v>263</v>
      </c>
      <c r="B24" s="127">
        <v>5</v>
      </c>
      <c r="C24" s="486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5">
      <c r="A30" s="477" t="s">
        <v>392</v>
      </c>
      <c r="B30" s="127"/>
      <c r="C30" s="260"/>
      <c r="D30" s="18"/>
      <c r="E30" s="268">
        <f>G30-C30</f>
        <v>1110892</v>
      </c>
      <c r="F30" s="6"/>
      <c r="G30" s="268">
        <f>TAXREC!E66</f>
        <v>1110892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339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505">
        <v>1000872</v>
      </c>
      <c r="D33" s="132"/>
      <c r="E33" s="268">
        <f aca="true" t="shared" si="0" ref="E33:E42">G33-C33</f>
        <v>435187</v>
      </c>
      <c r="F33" s="6"/>
      <c r="G33" s="268">
        <f>TAXREC!E97+TAXREC!E98</f>
        <v>1436059</v>
      </c>
      <c r="H33" s="151"/>
    </row>
    <row r="34" spans="1:8" ht="12.75">
      <c r="A34" s="158" t="s">
        <v>57</v>
      </c>
      <c r="B34" s="127">
        <v>8</v>
      </c>
      <c r="C34" s="262"/>
      <c r="D34" s="132"/>
      <c r="E34" s="268">
        <f t="shared" si="0"/>
        <v>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264</v>
      </c>
      <c r="B36" s="127">
        <v>10</v>
      </c>
      <c r="C36" s="486"/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REGINFO!D66</f>
        <v>803446.1842936369</v>
      </c>
      <c r="D37" s="132"/>
      <c r="E37" s="268">
        <f t="shared" si="0"/>
        <v>341147.81570636306</v>
      </c>
      <c r="F37" s="6"/>
      <c r="G37" s="268">
        <f>TAXREC!E51</f>
        <v>1144594</v>
      </c>
      <c r="H37" s="151"/>
    </row>
    <row r="38" spans="1:8" ht="12.75">
      <c r="A38" s="155" t="s">
        <v>260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259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5">
      <c r="A48" s="477" t="s">
        <v>392</v>
      </c>
      <c r="B48" s="127"/>
      <c r="C48" s="260"/>
      <c r="D48" s="132"/>
      <c r="E48" s="268">
        <f>G48-C48</f>
        <v>1263226</v>
      </c>
      <c r="F48" s="6"/>
      <c r="G48" s="251">
        <f>TAXREC!E108</f>
        <v>1263226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325</v>
      </c>
      <c r="B50" s="125"/>
      <c r="C50" s="264">
        <f>C16+SUM(C20:C30)-SUM(C33:C48)</f>
        <v>1614025.2139063631</v>
      </c>
      <c r="D50" s="102"/>
      <c r="E50" s="264">
        <f>E16+SUM(E20:E30)-SUM(E33:E48)</f>
        <v>-512230.2139063631</v>
      </c>
      <c r="F50" s="428" t="s">
        <v>364</v>
      </c>
      <c r="G50" s="264">
        <f>G16+SUM(G20:G30)-SUM(G33:G48)</f>
        <v>1101795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333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337</v>
      </c>
      <c r="B53" s="127">
        <v>13</v>
      </c>
      <c r="C53" s="263">
        <f>IF($C$50&gt;'Tax Rates'!$E$11,'Tax Rates'!$F$16,IF($C$50&gt;'Tax Rates'!$C$11,'Tax Rates'!$E$16,'Tax Rates'!$C$16))</f>
        <v>0.3862</v>
      </c>
      <c r="D53" s="102"/>
      <c r="E53" s="269">
        <f>+G53-C53</f>
        <v>-0.020000512844864426</v>
      </c>
      <c r="F53" s="114"/>
      <c r="G53" s="470">
        <f>TAXREC!E151</f>
        <v>0.36619948715513556</v>
      </c>
      <c r="H53" s="151"/>
      <c r="I53" s="467" t="s">
        <v>507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623336.5376106374</v>
      </c>
      <c r="D55" s="102"/>
      <c r="E55" s="268">
        <f>G55-C55</f>
        <v>-291925.5376106374</v>
      </c>
      <c r="F55" s="428" t="s">
        <v>365</v>
      </c>
      <c r="G55" s="265">
        <f>TAXREC!E144</f>
        <v>331411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28" t="s">
        <v>365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623336.5376106374</v>
      </c>
      <c r="D60" s="133"/>
      <c r="E60" s="270">
        <f>+E55-E58</f>
        <v>-291925.5376106374</v>
      </c>
      <c r="F60" s="428" t="s">
        <v>365</v>
      </c>
      <c r="G60" s="270">
        <f>+G55-G58</f>
        <v>331411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24210042</v>
      </c>
      <c r="D66" s="102"/>
      <c r="E66" s="268">
        <f>G66-C66</f>
        <v>6770781</v>
      </c>
      <c r="F66" s="6"/>
      <c r="G66" s="487">
        <v>30980823</v>
      </c>
      <c r="H66" s="151"/>
      <c r="I66" s="472" t="s">
        <v>468</v>
      </c>
    </row>
    <row r="67" spans="1:10" ht="12.75">
      <c r="A67" s="152" t="s">
        <v>357</v>
      </c>
      <c r="B67" s="125">
        <v>16</v>
      </c>
      <c r="C67" s="261">
        <f>IF(C66&gt;0,'Tax Rates'!C21,0)</f>
        <v>5000000</v>
      </c>
      <c r="D67" s="102"/>
      <c r="E67" s="268">
        <f>G67-C67</f>
        <v>0</v>
      </c>
      <c r="F67" s="6"/>
      <c r="G67" s="268">
        <v>5000000</v>
      </c>
      <c r="H67" s="151"/>
      <c r="I67" s="508" t="s">
        <v>508</v>
      </c>
      <c r="J67" s="473"/>
    </row>
    <row r="68" spans="1:8" ht="12.75">
      <c r="A68" s="152" t="s">
        <v>42</v>
      </c>
      <c r="B68" s="125"/>
      <c r="C68" s="265">
        <f>IF((C66-C67)&gt;0,C66-C67,0)</f>
        <v>19210042</v>
      </c>
      <c r="D68" s="102"/>
      <c r="E68" s="268">
        <f>SUM(E66:E67)</f>
        <v>6770781</v>
      </c>
      <c r="F68" s="114"/>
      <c r="G68" s="265">
        <f>G66-G67</f>
        <v>25980823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358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314</v>
      </c>
      <c r="B72" s="125"/>
      <c r="C72" s="265">
        <f>IF(C68&gt;0,C68*C70,0)*REGINFO!$B$6/REGINFO!$B$7</f>
        <v>57630.126000000004</v>
      </c>
      <c r="D72" s="101"/>
      <c r="E72" s="268">
        <f>+G72-C72</f>
        <v>20312.342999999993</v>
      </c>
      <c r="F72" s="474"/>
      <c r="G72" s="265">
        <f>IF(G68&gt;0,G68*G70,0)*REGINFO!$B$6/REGINFO!$B$7</f>
        <v>77942.469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24210042</v>
      </c>
      <c r="D75" s="102"/>
      <c r="E75" s="268">
        <f>+G75-C75</f>
        <v>7386826</v>
      </c>
      <c r="F75" s="6"/>
      <c r="G75" s="487">
        <v>31596868</v>
      </c>
      <c r="H75" s="151"/>
      <c r="I75" s="472" t="s">
        <v>468</v>
      </c>
    </row>
    <row r="76" spans="1:9" ht="12.75">
      <c r="A76" s="152" t="s">
        <v>357</v>
      </c>
      <c r="B76" s="125">
        <v>19</v>
      </c>
      <c r="C76" s="261">
        <f>IF(C75&gt;0,'Tax Rates'!C22,0)</f>
        <v>10000000</v>
      </c>
      <c r="D76" s="18"/>
      <c r="E76" s="268">
        <f>+G76-C76</f>
        <v>0</v>
      </c>
      <c r="F76" s="6"/>
      <c r="G76" s="268">
        <v>10000000</v>
      </c>
      <c r="H76" s="151"/>
      <c r="I76" s="508" t="s">
        <v>508</v>
      </c>
    </row>
    <row r="77" spans="1:8" ht="12.75">
      <c r="A77" s="152" t="s">
        <v>42</v>
      </c>
      <c r="B77" s="125"/>
      <c r="C77" s="265">
        <f>IF((C75-C76)&gt;0,C75-C76,0)</f>
        <v>14210042</v>
      </c>
      <c r="D77" s="19"/>
      <c r="E77" s="268">
        <f>SUM(E75:E76)</f>
        <v>7386826</v>
      </c>
      <c r="F77" s="114"/>
      <c r="G77" s="265">
        <f>G75-G76</f>
        <v>21596868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358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315</v>
      </c>
      <c r="B81" s="125"/>
      <c r="C81" s="265">
        <f>IF(C77&gt;0,C77*C79,0)*REGINFO!$B$6/REGINFO!$B$7</f>
        <v>31972.5945</v>
      </c>
      <c r="D81" s="102"/>
      <c r="E81" s="268">
        <f>+G81-C81</f>
        <v>16620.358499999995</v>
      </c>
      <c r="F81" s="6"/>
      <c r="G81" s="265">
        <f>G77*G79*B9/B10</f>
        <v>48592.952999999994</v>
      </c>
      <c r="H81" s="151"/>
    </row>
    <row r="82" spans="1:8" ht="12.75">
      <c r="A82" s="152" t="s">
        <v>316</v>
      </c>
      <c r="B82" s="125">
        <v>21</v>
      </c>
      <c r="C82" s="301">
        <f>IF(C77&gt;0,IF(C60&gt;0,C50*'Tax Rates'!C20,0),0)</f>
        <v>18077.082395751266</v>
      </c>
      <c r="D82" s="102"/>
      <c r="E82" s="268">
        <f>+G82-C82</f>
        <v>-5736.978395751266</v>
      </c>
      <c r="F82" s="6"/>
      <c r="G82" s="301">
        <f>IF(G77&gt;0,IF(G60&gt;0,G50*'Tax Rates'!C38,0),0)</f>
        <v>12340.104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13895.512104248734</v>
      </c>
      <c r="D84" s="16"/>
      <c r="E84" s="268">
        <f>E81-E82</f>
        <v>22357.33689575126</v>
      </c>
      <c r="F84" s="103"/>
      <c r="G84" s="265">
        <f>G81-G82</f>
        <v>36252.848999999995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3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366</v>
      </c>
      <c r="B90" s="127">
        <v>22</v>
      </c>
      <c r="C90" s="265">
        <f>C60/(1-C88)</f>
        <v>997338.4601770198</v>
      </c>
      <c r="D90" s="20"/>
      <c r="E90" s="139"/>
      <c r="F90" s="427" t="s">
        <v>473</v>
      </c>
      <c r="G90" s="271">
        <f>TAXREC!E156</f>
        <v>331411</v>
      </c>
      <c r="H90" s="151"/>
    </row>
    <row r="91" spans="1:8" ht="12.75">
      <c r="A91" s="158" t="s">
        <v>367</v>
      </c>
      <c r="B91" s="127">
        <v>23</v>
      </c>
      <c r="C91" s="265">
        <f>C84/(1-C88)</f>
        <v>22232.819366797972</v>
      </c>
      <c r="D91" s="20"/>
      <c r="E91" s="139"/>
      <c r="F91" s="427" t="s">
        <v>473</v>
      </c>
      <c r="G91" s="271">
        <f>TAXREC!E158</f>
        <v>36800</v>
      </c>
      <c r="H91" s="151"/>
    </row>
    <row r="92" spans="1:8" ht="12.75">
      <c r="A92" s="158" t="s">
        <v>345</v>
      </c>
      <c r="B92" s="127">
        <v>24</v>
      </c>
      <c r="C92" s="265">
        <f>C72</f>
        <v>57630.126000000004</v>
      </c>
      <c r="D92" s="20"/>
      <c r="E92" s="139"/>
      <c r="F92" s="427" t="s">
        <v>473</v>
      </c>
      <c r="G92" s="271">
        <f>TAXREC!E157</f>
        <v>77942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474</v>
      </c>
      <c r="B95" s="125">
        <v>25</v>
      </c>
      <c r="C95" s="270">
        <f>SUM(C90:C93)</f>
        <v>1077201.4055438177</v>
      </c>
      <c r="D95" s="6"/>
      <c r="E95" s="139"/>
      <c r="F95" s="427" t="s">
        <v>473</v>
      </c>
      <c r="G95" s="415">
        <f>SUM(G90:G94)</f>
        <v>446153</v>
      </c>
      <c r="H95" s="164"/>
    </row>
    <row r="96" spans="1:8" ht="12.75">
      <c r="A96" s="405" t="s">
        <v>305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302</v>
      </c>
      <c r="B99" s="123"/>
      <c r="C99" s="112"/>
      <c r="D99" s="3"/>
      <c r="E99" s="112"/>
      <c r="F99" s="3"/>
      <c r="G99" s="200"/>
      <c r="H99" s="164"/>
    </row>
    <row r="100" spans="1:8" ht="13.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343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360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361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359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503" t="s">
        <v>495</v>
      </c>
      <c r="B112" s="127">
        <v>11</v>
      </c>
      <c r="C112" s="112"/>
      <c r="D112" s="3"/>
      <c r="E112" s="469">
        <f>E206</f>
        <v>266979.97750000004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362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363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-266979.97750000004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475</v>
      </c>
      <c r="B122" s="127"/>
      <c r="C122" s="112"/>
      <c r="D122" s="3" t="s">
        <v>231</v>
      </c>
      <c r="E122" s="466">
        <f>IF((E120+G50)&gt;'Tax Rates'!$E$47,'Tax Rates'!$F$52-1.12%,IF((E120+G50)&gt;'Tax Rates'!$D$47,'Tax Rates'!$E$52-1.12%,IF((E120+G50)&gt;'Tax Rates'!$C$47,'Tax Rates'!$D$52-1.12%,'Tax Rates'!$C$52-1.12%)))</f>
        <v>0.355</v>
      </c>
      <c r="F122" s="467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5">
        <f>E120*E122</f>
        <v>-94777.89201250001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-94777.89201250001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3">
        <f>IF((E120+C50)&gt;'Tax Rates'!$E$47,'Tax Rates'!$F$52-1.12%,IF((E120+C50)&gt;'Tax Rates'!$D$47,'Tax Rates'!$E$52-1.12%,IF((E120+C50)&gt;'Tax Rates'!$C$47,'Tax Rates'!$D$52-1.12%,'Tax Rates'!$C$52-1.12%)))</f>
        <v>0.355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349</v>
      </c>
      <c r="B132" s="130"/>
      <c r="C132" s="112"/>
      <c r="D132" s="3"/>
      <c r="E132" s="480">
        <f>E128/(1-E130)</f>
        <v>-146942.46823643413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27">
      <c r="A134" s="169" t="s">
        <v>352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6.25">
      <c r="A136" s="171" t="s">
        <v>235</v>
      </c>
      <c r="B136" s="130"/>
      <c r="C136" s="112"/>
      <c r="D136" s="118" t="s">
        <v>189</v>
      </c>
      <c r="E136" s="303">
        <f>C50</f>
        <v>1614025.2139063631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3">
        <f>IF((E120+E136)&gt;'Tax Rates'!E47,'Tax Rates'!F52,IF((E120+E136)&gt;'Tax Rates'!D47,'Tax Rates'!E52,IF((E120+E136)&gt;'Tax Rates'!C47,'Tax Rates'!D52,'Tax Rates'!C52)))</f>
        <v>0.36619999999999997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4">
        <f>IF(E136&gt;0,E136*E138,0)</f>
        <v>591056.0333325102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5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3">
        <f>E140-E142</f>
        <v>591056.0333325102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6.25">
      <c r="A146" s="171" t="s">
        <v>239</v>
      </c>
      <c r="B146" s="130"/>
      <c r="C146" s="112"/>
      <c r="D146" s="118" t="s">
        <v>188</v>
      </c>
      <c r="E146" s="303">
        <f>C60</f>
        <v>623336.5376106374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3">
        <f>E144-E146</f>
        <v>-32280.50427812722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8" t="s">
        <v>20</v>
      </c>
      <c r="B150" s="130"/>
      <c r="C150" s="112"/>
      <c r="D150" s="119"/>
      <c r="E150" s="476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24210042</v>
      </c>
      <c r="F151" s="37"/>
      <c r="G151" s="201"/>
      <c r="H151" s="164"/>
    </row>
    <row r="152" spans="1:8" ht="12.75">
      <c r="A152" s="171" t="s">
        <v>355</v>
      </c>
      <c r="B152" s="130"/>
      <c r="C152" s="112"/>
      <c r="D152" s="118" t="s">
        <v>188</v>
      </c>
      <c r="E152" s="306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3">
        <f>E151-E152</f>
        <v>19210042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356</v>
      </c>
      <c r="B155" s="130"/>
      <c r="C155" s="112"/>
      <c r="D155" s="119" t="s">
        <v>231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3">
        <f>IF(E153&gt;0,E153*E155*B9/B10,0)</f>
        <v>57630.126000000004</v>
      </c>
      <c r="F157" s="37"/>
      <c r="G157" s="201"/>
      <c r="H157" s="164"/>
    </row>
    <row r="158" spans="1:8" ht="26.25">
      <c r="A158" s="171" t="s">
        <v>306</v>
      </c>
      <c r="B158" s="130"/>
      <c r="C158" s="112"/>
      <c r="D158" s="118" t="s">
        <v>188</v>
      </c>
      <c r="E158" s="306">
        <f>C72</f>
        <v>57630.126000000004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1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8" t="s">
        <v>236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24210042</v>
      </c>
      <c r="F162" s="37"/>
      <c r="G162" s="201"/>
      <c r="H162" s="164"/>
    </row>
    <row r="163" spans="1:8" ht="12.75">
      <c r="A163" s="171" t="s">
        <v>354</v>
      </c>
      <c r="B163" s="130"/>
      <c r="C163" s="112"/>
      <c r="D163" s="118" t="s">
        <v>188</v>
      </c>
      <c r="E163" s="306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3">
        <f>E162-E163</f>
        <v>14210042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307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3">
        <f>IF(E164&gt;0,E164*E166*B9/B10,0)</f>
        <v>31972.5945</v>
      </c>
      <c r="F168" s="37"/>
      <c r="G168" s="201"/>
      <c r="H168" s="164"/>
    </row>
    <row r="169" spans="1:8" ht="12.75">
      <c r="A169" s="171" t="s">
        <v>317</v>
      </c>
      <c r="B169" s="130"/>
      <c r="C169" s="112"/>
      <c r="D169" s="118" t="s">
        <v>188</v>
      </c>
      <c r="E169" s="308">
        <f>IF(E164&gt;0,IF(E144&gt;0,E136*'Tax Rates'!C56,0),0)</f>
        <v>18077.082395751266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3">
        <f>E168-E169</f>
        <v>13895.512104248734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6" t="s">
        <v>344</v>
      </c>
      <c r="B172" s="130"/>
      <c r="C172" s="112"/>
      <c r="D172" s="118" t="s">
        <v>188</v>
      </c>
      <c r="E172" s="306">
        <f>C84</f>
        <v>13895.512104248734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1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342</v>
      </c>
      <c r="B175" s="130"/>
      <c r="C175" s="112"/>
      <c r="D175" s="119"/>
      <c r="E175" s="466">
        <f>IF((E120+G50)&gt;'Tax Rates'!E47,'Tax Rates'!F52-1.12%,IF((E120+G50)&gt;'Tax Rates'!D47,'Tax Rates'!E52-1.12%,IF((E120+G50)&gt;'Tax Rates'!C47,'Tax Rates'!D52,'Tax Rates'!C52-1.12%)))</f>
        <v>0.355</v>
      </c>
      <c r="F175" s="467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3">
        <f>E148/(1-E175)</f>
        <v>-50047.29345446081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350</v>
      </c>
      <c r="B181" s="130"/>
      <c r="C181" s="112"/>
      <c r="D181" s="119" t="s">
        <v>189</v>
      </c>
      <c r="E181" s="479">
        <f>SUM(E177:E179)</f>
        <v>-50047.29345446081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482</v>
      </c>
      <c r="B183" s="130"/>
      <c r="C183" s="112"/>
      <c r="D183" s="119" t="s">
        <v>187</v>
      </c>
      <c r="E183" s="479">
        <f>E132</f>
        <v>-146942.46823643413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3.5">
      <c r="A185" s="173" t="s">
        <v>351</v>
      </c>
      <c r="B185" s="130"/>
      <c r="C185" s="112"/>
      <c r="D185" s="119" t="s">
        <v>189</v>
      </c>
      <c r="E185" s="479">
        <f>E181+E183</f>
        <v>-196989.76169089493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9">
        <f>REGINFO!D62</f>
        <v>877614.0225</v>
      </c>
      <c r="F193" s="3"/>
      <c r="G193" s="123"/>
      <c r="H193" s="164"/>
    </row>
    <row r="194" spans="1:8" ht="12.75">
      <c r="A194" s="503" t="s">
        <v>493</v>
      </c>
      <c r="B194" s="127"/>
      <c r="C194" s="112"/>
      <c r="D194" s="120"/>
      <c r="E194" s="309">
        <f>C37</f>
        <v>803446.1842936369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340</v>
      </c>
      <c r="B196" s="127"/>
      <c r="C196" s="112"/>
      <c r="D196" s="120"/>
      <c r="E196" s="309">
        <f>E193-E194</f>
        <v>74167.83820636303</v>
      </c>
      <c r="F196" s="3"/>
      <c r="G196" s="123"/>
      <c r="H196" s="164"/>
    </row>
    <row r="197" spans="1:8" ht="12.75">
      <c r="A197" s="155" t="s">
        <v>341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81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503" t="s">
        <v>494</v>
      </c>
      <c r="B201" s="127"/>
      <c r="C201" s="112"/>
      <c r="D201" s="120"/>
      <c r="E201" s="309">
        <f>G37+G42</f>
        <v>1144594</v>
      </c>
      <c r="F201" s="3"/>
      <c r="G201" s="481"/>
      <c r="H201" s="164"/>
    </row>
    <row r="202" spans="1:8" ht="12.75">
      <c r="A202" s="155" t="s">
        <v>485</v>
      </c>
      <c r="B202" s="127"/>
      <c r="C202" s="112"/>
      <c r="D202" s="120"/>
      <c r="E202" s="497">
        <f>REGINFO!D62</f>
        <v>877614.0225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266979.97750000004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496</v>
      </c>
      <c r="B206" s="127"/>
      <c r="C206" s="112"/>
      <c r="D206" s="120"/>
      <c r="E206" s="468">
        <f>IF((E201-E202)&gt;0,E201-E202,0)</f>
        <v>266979.97750000004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10">
        <f>+E196-E204</f>
        <v>-192812.139293637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7" bottom="0.34" header="0.19" footer="0"/>
  <pageSetup fitToHeight="2" fitToWidth="1" horizontalDpi="600" verticalDpi="600" orientation="portrait" scale="47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workbookViewId="0" topLeftCell="A52">
      <selection activeCell="C134" sqref="C13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EB-2011-0178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Kingston Hydro Corporation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January 1, 2003 -  December 31,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2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f>Ratebase*REGINFO!D33*0.25%</f>
        <v>30262.5525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500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300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282</v>
      </c>
      <c r="B17" s="20" t="s">
        <v>64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1" t="s">
        <v>323</v>
      </c>
      <c r="B23" s="402"/>
      <c r="C23" s="403"/>
      <c r="D23" s="404"/>
      <c r="E23" s="28"/>
      <c r="F23" s="11"/>
      <c r="G23" s="11"/>
      <c r="H23" s="6"/>
      <c r="I23" s="6"/>
    </row>
    <row r="24" spans="1:9" ht="12.75">
      <c r="A24" s="401" t="s">
        <v>257</v>
      </c>
      <c r="B24" s="402"/>
      <c r="C24" s="403"/>
      <c r="D24" s="404"/>
      <c r="E24" s="28"/>
      <c r="F24" s="11"/>
      <c r="G24" s="11"/>
      <c r="H24" s="6"/>
      <c r="I24" s="6"/>
    </row>
    <row r="25" spans="1:9" ht="12.75">
      <c r="A25" s="401" t="s">
        <v>223</v>
      </c>
      <c r="B25" s="402"/>
      <c r="C25" s="403"/>
      <c r="D25" s="404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1" t="s">
        <v>321</v>
      </c>
      <c r="B27" s="402"/>
      <c r="C27" s="403"/>
      <c r="D27" s="404"/>
      <c r="E27" s="28"/>
      <c r="F27" s="11"/>
      <c r="G27" s="11"/>
      <c r="H27" s="6"/>
      <c r="I27" s="6"/>
    </row>
    <row r="28" spans="1:9" ht="12.75">
      <c r="A28" s="401" t="s">
        <v>322</v>
      </c>
      <c r="B28" s="402"/>
      <c r="C28" s="403"/>
      <c r="D28" s="404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271</v>
      </c>
      <c r="B31" s="23" t="s">
        <v>187</v>
      </c>
      <c r="C31" s="488"/>
      <c r="D31" s="287"/>
      <c r="E31" s="285">
        <f>C31-D31</f>
        <v>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42">
        <v>55503772</v>
      </c>
      <c r="D32" s="287"/>
      <c r="E32" s="285">
        <f>C32-D32</f>
        <v>55503772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42"/>
      <c r="D33" s="287"/>
      <c r="E33" s="285">
        <f>C33-D33</f>
        <v>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42">
        <v>957205</v>
      </c>
      <c r="D34" s="287"/>
      <c r="E34" s="285">
        <f>C34-D34</f>
        <v>957205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283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2">
        <v>47227516</v>
      </c>
      <c r="D39" s="287"/>
      <c r="E39" s="285">
        <f>C39-D39</f>
        <v>47227516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2">
        <v>1954996</v>
      </c>
      <c r="D40" s="287"/>
      <c r="E40" s="285">
        <f aca="true" t="shared" si="0" ref="E40:E48">C40-D40</f>
        <v>1954996</v>
      </c>
      <c r="F40" s="11"/>
      <c r="G40" s="11"/>
      <c r="H40" s="6"/>
      <c r="I40" s="6"/>
    </row>
    <row r="41" spans="1:9" ht="12.75">
      <c r="A41" s="4" t="s">
        <v>272</v>
      </c>
      <c r="B41" s="23" t="s">
        <v>188</v>
      </c>
      <c r="C41" s="42">
        <v>1271670</v>
      </c>
      <c r="D41" s="287"/>
      <c r="E41" s="285">
        <f t="shared" si="0"/>
        <v>1271670</v>
      </c>
      <c r="F41" s="11"/>
      <c r="G41" s="11"/>
      <c r="H41" s="6"/>
      <c r="I41" s="6"/>
    </row>
    <row r="42" spans="1:9" ht="12.75">
      <c r="A42" s="4" t="s">
        <v>273</v>
      </c>
      <c r="B42" s="23" t="s">
        <v>188</v>
      </c>
      <c r="C42" s="42">
        <v>2172013</v>
      </c>
      <c r="D42" s="287"/>
      <c r="E42" s="285">
        <f t="shared" si="0"/>
        <v>2172013</v>
      </c>
      <c r="F42" s="11"/>
      <c r="G42" s="11"/>
      <c r="H42" s="6"/>
      <c r="I42" s="6"/>
    </row>
    <row r="43" spans="1:9" ht="12.75">
      <c r="A43" s="4" t="s">
        <v>274</v>
      </c>
      <c r="B43" s="23" t="s">
        <v>188</v>
      </c>
      <c r="C43" s="42">
        <v>1472142</v>
      </c>
      <c r="D43" s="287"/>
      <c r="E43" s="285">
        <f t="shared" si="0"/>
        <v>1472142</v>
      </c>
      <c r="F43" s="11"/>
      <c r="G43" s="11"/>
      <c r="H43" s="6"/>
      <c r="I43" s="6"/>
    </row>
    <row r="44" spans="1:9" ht="12.75">
      <c r="A44" s="4" t="s">
        <v>275</v>
      </c>
      <c r="B44" s="23" t="s">
        <v>188</v>
      </c>
      <c r="C44" s="488"/>
      <c r="D44" s="287"/>
      <c r="E44" s="285">
        <f t="shared" si="0"/>
        <v>0</v>
      </c>
      <c r="F44" s="11"/>
      <c r="G44" s="11"/>
      <c r="H44" s="6"/>
      <c r="I44" s="6"/>
    </row>
    <row r="45" spans="1:11" ht="12.75">
      <c r="A45" s="417" t="s">
        <v>484</v>
      </c>
      <c r="B45" s="23" t="s">
        <v>188</v>
      </c>
      <c r="C45" s="488"/>
      <c r="D45" s="287"/>
      <c r="E45" s="285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6"/>
      <c r="D46" s="287"/>
      <c r="E46" s="285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2362640</v>
      </c>
      <c r="D50" s="282">
        <f>SUM(D31:D36)-SUM(D39:D49)</f>
        <v>0</v>
      </c>
      <c r="E50" s="282">
        <f>SUM(E31:E35)-SUM(E39:E48)</f>
        <v>2362640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488">
        <v>1144594</v>
      </c>
      <c r="D51" s="286"/>
      <c r="E51" s="283">
        <f>+C51-D51</f>
        <v>1144594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488">
        <v>442870</v>
      </c>
      <c r="D52" s="286"/>
      <c r="E52" s="284">
        <f>+C52-D52</f>
        <v>442870</v>
      </c>
      <c r="F52" s="8"/>
      <c r="G52" s="417"/>
    </row>
    <row r="53" spans="1:6" ht="12.75">
      <c r="A53" s="2" t="s">
        <v>131</v>
      </c>
      <c r="B53" s="8" t="s">
        <v>189</v>
      </c>
      <c r="C53" s="282">
        <f>C50-C51-C52</f>
        <v>775176</v>
      </c>
      <c r="D53" s="282">
        <f>D50-D51-D52</f>
        <v>0</v>
      </c>
      <c r="E53" s="282">
        <f>E50-E51-E52</f>
        <v>775176</v>
      </c>
      <c r="F53" s="8"/>
    </row>
    <row r="54" spans="1:6" ht="22.5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8">
        <f>C52-48845</f>
        <v>394025</v>
      </c>
      <c r="D59" s="288">
        <f>D52</f>
        <v>0</v>
      </c>
      <c r="E59" s="273">
        <f>+C59-D59</f>
        <v>394025</v>
      </c>
      <c r="F59" s="8"/>
      <c r="G59" s="417"/>
    </row>
    <row r="60" spans="1:6" ht="12.75">
      <c r="A60" s="4" t="s">
        <v>324</v>
      </c>
      <c r="B60" s="8" t="s">
        <v>187</v>
      </c>
      <c r="C60" s="489"/>
      <c r="D60" s="319"/>
      <c r="E60" s="273">
        <f>+C60-D60</f>
        <v>0</v>
      </c>
      <c r="F60" s="8"/>
    </row>
    <row r="61" spans="1:7" ht="12.75">
      <c r="A61" t="s">
        <v>4</v>
      </c>
      <c r="B61" s="8" t="s">
        <v>187</v>
      </c>
      <c r="C61" s="288">
        <f>C43</f>
        <v>1472142</v>
      </c>
      <c r="D61" s="288">
        <f>D43</f>
        <v>0</v>
      </c>
      <c r="E61" s="273">
        <f>+C61-D61</f>
        <v>1472142</v>
      </c>
      <c r="F61" s="8"/>
      <c r="G61" s="417"/>
    </row>
    <row r="62" spans="1:6" ht="12.75">
      <c r="A62" t="s">
        <v>6</v>
      </c>
      <c r="B62" s="8" t="s">
        <v>187</v>
      </c>
      <c r="C62" s="489"/>
      <c r="D62" s="288">
        <v>0</v>
      </c>
      <c r="E62" s="273">
        <f>+C62-D62</f>
        <v>0</v>
      </c>
      <c r="F62" s="8"/>
    </row>
    <row r="63" spans="1:6" ht="12.75">
      <c r="A63" s="31" t="s">
        <v>276</v>
      </c>
      <c r="B63" s="8" t="s">
        <v>187</v>
      </c>
      <c r="C63" s="317">
        <f>'Tax Reserves'!C22</f>
        <v>0</v>
      </c>
      <c r="D63" s="318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7"/>
      <c r="D64" s="318">
        <f>'Tax Reserves'!D63</f>
        <v>0</v>
      </c>
      <c r="E64" s="273">
        <f>+C64-D64</f>
        <v>0</v>
      </c>
      <c r="F64" s="8"/>
    </row>
    <row r="65" spans="1:6" ht="12.75">
      <c r="A65" t="s">
        <v>440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4" t="s">
        <v>392</v>
      </c>
      <c r="B66" s="8"/>
      <c r="C66" s="443">
        <f>'TAXREC 3 No True-up'!C47</f>
        <v>1110892</v>
      </c>
      <c r="D66" s="443">
        <f>'TAXREC 3 No True-up'!D47</f>
        <v>0</v>
      </c>
      <c r="E66" s="273">
        <f>+C66-D66</f>
        <v>1110892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3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3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2977059</v>
      </c>
      <c r="D70" s="273">
        <f>SUM(D59:D68)</f>
        <v>0</v>
      </c>
      <c r="E70" s="273">
        <f>SUM(E59:E68)</f>
        <v>2977059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/>
      <c r="D74" s="295"/>
      <c r="E74" s="273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78">
        <v>0</v>
      </c>
      <c r="D76" s="295"/>
      <c r="E76" s="475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5"/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5"/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2977059</v>
      </c>
      <c r="D82" s="251">
        <f>D70+D80</f>
        <v>0</v>
      </c>
      <c r="E82" s="251">
        <f>E70+E80</f>
        <v>2977059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428</v>
      </c>
      <c r="B93" s="274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482">
        <v>1435252</v>
      </c>
      <c r="D97" s="295"/>
      <c r="E97" s="273">
        <f>+C97-D97</f>
        <v>1435252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>
        <v>807</v>
      </c>
      <c r="D98" s="295"/>
      <c r="E98" s="273">
        <f>+C98-D98</f>
        <v>807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482"/>
      <c r="D99" s="295"/>
      <c r="E99" s="273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188</v>
      </c>
      <c r="C104" s="320">
        <f>'Tax Reserves'!C35</f>
        <v>0</v>
      </c>
      <c r="D104" s="320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277</v>
      </c>
      <c r="B105" s="8" t="s">
        <v>188</v>
      </c>
      <c r="C105" s="320">
        <v>0</v>
      </c>
      <c r="D105" s="320">
        <f>'Tax Reserves'!D50</f>
        <v>0</v>
      </c>
      <c r="E105" s="283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4" t="s">
        <v>392</v>
      </c>
      <c r="B108" s="8"/>
      <c r="C108" s="254">
        <f>'TAXREC 3 No True-up'!C75</f>
        <v>1263226</v>
      </c>
      <c r="D108" s="254">
        <f>'TAXREC 3 No True-up'!D75</f>
        <v>0</v>
      </c>
      <c r="E108" s="273">
        <f t="shared" si="5"/>
        <v>1263226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/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2699285</v>
      </c>
      <c r="D113" s="251">
        <f>SUM(D97:D111)</f>
        <v>0</v>
      </c>
      <c r="E113" s="251">
        <f>SUM(E97:E111)</f>
        <v>2699285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5"/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5"/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2699285</v>
      </c>
      <c r="D122" s="251">
        <f>D113+D120</f>
        <v>0</v>
      </c>
      <c r="E122" s="251">
        <f>+E113+E120</f>
        <v>2699285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1052950</v>
      </c>
      <c r="D134" s="251">
        <f>D53+D82-D122</f>
        <v>0</v>
      </c>
      <c r="E134" s="251">
        <f>E53+E82-E122</f>
        <v>1052950</v>
      </c>
      <c r="F134" s="8"/>
      <c r="G134" s="45"/>
      <c r="H134" s="45"/>
      <c r="I134" s="30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372</v>
      </c>
      <c r="B136" s="8" t="s">
        <v>188</v>
      </c>
      <c r="C136" s="295">
        <v>0</v>
      </c>
      <c r="D136" s="295"/>
      <c r="E136" s="265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373</v>
      </c>
      <c r="B137" s="8" t="s">
        <v>188</v>
      </c>
      <c r="C137" s="311"/>
      <c r="D137" s="311"/>
      <c r="E137" s="395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5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1052950</v>
      </c>
      <c r="D139" s="252">
        <f>D134-D136-D137-D138</f>
        <v>0</v>
      </c>
      <c r="E139" s="252">
        <f>E134-E136-E137-E138</f>
        <v>1052950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1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320</v>
      </c>
      <c r="B142" s="8" t="s">
        <v>187</v>
      </c>
      <c r="C142" s="490">
        <v>253971</v>
      </c>
      <c r="D142" s="299"/>
      <c r="E142" s="252">
        <f>C142-D142</f>
        <v>253971</v>
      </c>
      <c r="F142" s="8"/>
      <c r="G142" s="45"/>
      <c r="H142" s="45"/>
      <c r="I142" s="45"/>
      <c r="J142" s="45"/>
      <c r="K142" s="45"/>
    </row>
    <row r="143" spans="1:11" ht="12.75">
      <c r="A143" s="46" t="s">
        <v>319</v>
      </c>
      <c r="B143" s="8" t="s">
        <v>187</v>
      </c>
      <c r="C143" s="490">
        <v>77440</v>
      </c>
      <c r="D143" s="299"/>
      <c r="E143" s="293">
        <f>C143-D143</f>
        <v>77440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331411</v>
      </c>
      <c r="D144" s="252">
        <f>D142+D143</f>
        <v>0</v>
      </c>
      <c r="E144" s="252">
        <f>E142+E143</f>
        <v>331411</v>
      </c>
      <c r="F144" s="8"/>
      <c r="G144" s="45"/>
      <c r="H144" s="45"/>
      <c r="I144" s="45"/>
      <c r="J144" s="45"/>
      <c r="K144" s="45"/>
    </row>
    <row r="145" spans="1:11" ht="12.75">
      <c r="A145" s="46" t="s">
        <v>331</v>
      </c>
      <c r="B145" s="8" t="s">
        <v>188</v>
      </c>
      <c r="C145" s="299"/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1" t="s">
        <v>99</v>
      </c>
      <c r="B146" s="8" t="s">
        <v>189</v>
      </c>
      <c r="C146" s="252">
        <f>C144-C145</f>
        <v>331411</v>
      </c>
      <c r="D146" s="252">
        <f>D144-D145</f>
        <v>0</v>
      </c>
      <c r="E146" s="252">
        <f>E144-E145</f>
        <v>331411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1" t="s">
        <v>303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326</v>
      </c>
      <c r="B149" s="8"/>
      <c r="C149" s="406">
        <f>C142/C139</f>
        <v>0.24119948715513556</v>
      </c>
      <c r="D149" s="5"/>
      <c r="E149" s="407">
        <f>C149</f>
        <v>0.24119948715513556</v>
      </c>
      <c r="F149" s="8"/>
      <c r="G149" s="467" t="s">
        <v>507</v>
      </c>
      <c r="H149" s="45"/>
      <c r="I149" s="45"/>
      <c r="J149" s="45"/>
      <c r="K149" s="45"/>
    </row>
    <row r="150" spans="1:11" ht="12.75">
      <c r="A150" s="46" t="s">
        <v>327</v>
      </c>
      <c r="B150" s="8"/>
      <c r="C150" s="491">
        <v>0.125</v>
      </c>
      <c r="D150" s="5"/>
      <c r="E150" s="407">
        <f>C150</f>
        <v>0.125</v>
      </c>
      <c r="F150" s="8"/>
      <c r="G150" s="467" t="s">
        <v>507</v>
      </c>
      <c r="H150" s="45"/>
      <c r="I150" s="45"/>
      <c r="J150" s="45"/>
      <c r="K150" s="45"/>
    </row>
    <row r="151" spans="1:11" ht="12.75">
      <c r="A151" t="s">
        <v>328</v>
      </c>
      <c r="B151" s="8"/>
      <c r="C151" s="407">
        <f>SUM(C149:C150)</f>
        <v>0.36619948715513556</v>
      </c>
      <c r="D151" s="5"/>
      <c r="E151" s="407">
        <f>SUM(E149:E150)</f>
        <v>0.36619948715513556</v>
      </c>
      <c r="F151" s="8"/>
      <c r="G151" s="467" t="s">
        <v>507</v>
      </c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353</v>
      </c>
      <c r="B153" s="8"/>
    </row>
    <row r="154" spans="1:2" ht="12.75">
      <c r="A154" s="14"/>
      <c r="B154" s="8"/>
    </row>
    <row r="155" spans="1:2" ht="12.75">
      <c r="A155" s="2" t="s">
        <v>471</v>
      </c>
      <c r="B155" s="8"/>
    </row>
    <row r="156" spans="1:5" ht="12.75">
      <c r="A156" t="s">
        <v>219</v>
      </c>
      <c r="B156" s="86" t="s">
        <v>187</v>
      </c>
      <c r="C156" s="251">
        <f>C146</f>
        <v>331411</v>
      </c>
      <c r="D156" s="251">
        <f>D146</f>
        <v>0</v>
      </c>
      <c r="E156" s="251">
        <f>E146</f>
        <v>331411</v>
      </c>
    </row>
    <row r="157" spans="1:5" ht="12.75">
      <c r="A157" t="s">
        <v>20</v>
      </c>
      <c r="B157" s="86" t="s">
        <v>187</v>
      </c>
      <c r="C157" s="492">
        <v>77942</v>
      </c>
      <c r="D157" s="251"/>
      <c r="E157" s="251">
        <f>C157+D157</f>
        <v>77942</v>
      </c>
    </row>
    <row r="158" spans="1:5" ht="12.75">
      <c r="A158" t="s">
        <v>218</v>
      </c>
      <c r="B158" s="86" t="s">
        <v>187</v>
      </c>
      <c r="C158" s="492">
        <v>36800</v>
      </c>
      <c r="D158" s="251"/>
      <c r="E158" s="251">
        <f>C158+D158</f>
        <v>36800</v>
      </c>
    </row>
    <row r="159" ht="12.75">
      <c r="B159" s="8"/>
    </row>
    <row r="160" spans="1:5" ht="12.75">
      <c r="A160" s="2" t="s">
        <v>300</v>
      </c>
      <c r="B160" s="66" t="s">
        <v>189</v>
      </c>
      <c r="C160" s="251">
        <f>C156+C157+C158</f>
        <v>446153</v>
      </c>
      <c r="D160" s="251">
        <f>D156+D157+D158</f>
        <v>0</v>
      </c>
      <c r="E160" s="251">
        <f>E156+E157+E158</f>
        <v>446153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7" bottom="0.34" header="0.19" footer="0"/>
  <pageSetup fitToHeight="2" fitToWidth="1" horizontalDpi="600" verticalDpi="600" orientation="portrait" scale="65" r:id="rId1"/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workbookViewId="0" topLeftCell="A49">
      <selection activeCell="C24" sqref="C24"/>
    </sheetView>
  </sheetViews>
  <sheetFormatPr defaultColWidth="9.140625" defaultRowHeight="12.75"/>
  <cols>
    <col min="1" max="1" width="48.421875" style="0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EB-2011-0178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298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299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Kingston Hydro Corporation</v>
      </c>
      <c r="B7" s="20"/>
      <c r="C7" s="25"/>
      <c r="D7" s="25"/>
      <c r="E7" s="25"/>
      <c r="F7" s="20"/>
    </row>
    <row r="8" spans="1:6" ht="12.75">
      <c r="A8" s="2" t="str">
        <f>REGINFO!A4</f>
        <v>January 1, 2003 -  December 31, 2003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270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278</v>
      </c>
      <c r="B14" s="61"/>
      <c r="C14" s="295"/>
      <c r="D14" s="295"/>
      <c r="E14" s="251">
        <f aca="true" t="shared" si="0" ref="E14:E21">C14-D14</f>
        <v>0</v>
      </c>
    </row>
    <row r="15" spans="1:5" ht="12.75">
      <c r="A15" s="61" t="s">
        <v>279</v>
      </c>
      <c r="B15" s="61"/>
      <c r="C15" s="295"/>
      <c r="D15" s="295"/>
      <c r="E15" s="251">
        <f t="shared" si="0"/>
        <v>0</v>
      </c>
    </row>
    <row r="16" spans="1:5" ht="12.75">
      <c r="A16" s="61" t="s">
        <v>280</v>
      </c>
      <c r="B16" s="61"/>
      <c r="C16" s="295"/>
      <c r="D16" s="295"/>
      <c r="E16" s="251">
        <f t="shared" si="0"/>
        <v>0</v>
      </c>
    </row>
    <row r="17" spans="1:5" ht="12.75">
      <c r="A17" s="61" t="s">
        <v>281</v>
      </c>
      <c r="B17" s="61"/>
      <c r="C17" s="295"/>
      <c r="D17" s="295"/>
      <c r="E17" s="251">
        <f t="shared" si="0"/>
        <v>0</v>
      </c>
    </row>
    <row r="18" spans="1:5" ht="12.75">
      <c r="A18" s="61" t="s">
        <v>445</v>
      </c>
      <c r="B18" s="61"/>
      <c r="C18" s="295"/>
      <c r="D18" s="295"/>
      <c r="E18" s="251">
        <f t="shared" si="0"/>
        <v>0</v>
      </c>
    </row>
    <row r="19" spans="1:5" ht="12.75">
      <c r="A19" s="61" t="s">
        <v>445</v>
      </c>
      <c r="B19" s="61"/>
      <c r="C19" s="295"/>
      <c r="D19" s="295"/>
      <c r="E19" s="251">
        <f t="shared" si="0"/>
        <v>0</v>
      </c>
    </row>
    <row r="20" spans="1:5" ht="12.75">
      <c r="A20" s="61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269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278</v>
      </c>
      <c r="B26" s="61"/>
      <c r="C26" s="295"/>
      <c r="D26" s="295"/>
      <c r="E26" s="251">
        <f aca="true" t="shared" si="1" ref="E26:E33">C26-D26</f>
        <v>0</v>
      </c>
    </row>
    <row r="27" spans="1:5" ht="12.75">
      <c r="A27" s="61" t="s">
        <v>279</v>
      </c>
      <c r="B27" s="61"/>
      <c r="C27" s="295"/>
      <c r="D27" s="295"/>
      <c r="E27" s="251">
        <f t="shared" si="1"/>
        <v>0</v>
      </c>
    </row>
    <row r="28" spans="1:5" ht="12.75">
      <c r="A28" s="61" t="s">
        <v>280</v>
      </c>
      <c r="B28" s="61"/>
      <c r="C28" s="295"/>
      <c r="D28" s="295"/>
      <c r="E28" s="251">
        <f t="shared" si="1"/>
        <v>0</v>
      </c>
    </row>
    <row r="29" spans="1:5" ht="12.75">
      <c r="A29" s="61" t="s">
        <v>281</v>
      </c>
      <c r="B29" s="61"/>
      <c r="C29" s="295"/>
      <c r="D29" s="295"/>
      <c r="E29" s="251">
        <f t="shared" si="1"/>
        <v>0</v>
      </c>
    </row>
    <row r="30" spans="1:5" ht="12.75">
      <c r="A30" s="61" t="s">
        <v>445</v>
      </c>
      <c r="B30" s="61"/>
      <c r="C30" s="295"/>
      <c r="D30" s="295"/>
      <c r="E30" s="251">
        <f t="shared" si="1"/>
        <v>0</v>
      </c>
    </row>
    <row r="31" spans="1:5" ht="12.75">
      <c r="A31" s="61" t="s">
        <v>445</v>
      </c>
      <c r="B31" s="61"/>
      <c r="C31" s="295"/>
      <c r="D31" s="295"/>
      <c r="E31" s="251">
        <f t="shared" si="1"/>
        <v>0</v>
      </c>
    </row>
    <row r="32" spans="1:5" ht="12.75">
      <c r="A32" s="61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268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270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265</v>
      </c>
      <c r="B43" s="61"/>
      <c r="C43" s="295"/>
      <c r="D43" s="295"/>
      <c r="E43" s="251">
        <f t="shared" si="2"/>
        <v>0</v>
      </c>
    </row>
    <row r="44" spans="1:5" ht="12.75">
      <c r="A44" s="500" t="s">
        <v>492</v>
      </c>
      <c r="B44" s="61"/>
      <c r="C44" s="295"/>
      <c r="D44" s="295"/>
      <c r="E44" s="251">
        <f t="shared" si="2"/>
        <v>0</v>
      </c>
    </row>
    <row r="45" spans="1:5" ht="12.75">
      <c r="A45" s="61" t="s">
        <v>266</v>
      </c>
      <c r="B45" s="61"/>
      <c r="C45" s="295"/>
      <c r="D45" s="295"/>
      <c r="E45" s="251">
        <f t="shared" si="2"/>
        <v>0</v>
      </c>
    </row>
    <row r="46" spans="1:5" ht="12.75">
      <c r="A46" s="61" t="s">
        <v>267</v>
      </c>
      <c r="B46" s="61"/>
      <c r="C46" s="295"/>
      <c r="D46" s="295"/>
      <c r="E46" s="251">
        <f t="shared" si="2"/>
        <v>0</v>
      </c>
    </row>
    <row r="47" spans="1:5" ht="12.75">
      <c r="A47" s="61" t="s">
        <v>445</v>
      </c>
      <c r="B47" s="61"/>
      <c r="C47" s="295"/>
      <c r="D47" s="295"/>
      <c r="E47" s="251">
        <f t="shared" si="2"/>
        <v>0</v>
      </c>
    </row>
    <row r="48" spans="1:5" ht="12.75">
      <c r="A48" s="61" t="s">
        <v>445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269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265</v>
      </c>
      <c r="B55" s="61"/>
      <c r="C55" s="295"/>
      <c r="D55" s="295"/>
      <c r="E55" s="251">
        <f t="shared" si="3"/>
        <v>0</v>
      </c>
    </row>
    <row r="56" spans="1:5" ht="12.75">
      <c r="A56" s="500" t="s">
        <v>492</v>
      </c>
      <c r="B56" s="61"/>
      <c r="C56" s="295"/>
      <c r="D56" s="295"/>
      <c r="E56" s="251">
        <f t="shared" si="3"/>
        <v>0</v>
      </c>
    </row>
    <row r="57" spans="1:5" ht="12.75">
      <c r="A57" s="246" t="s">
        <v>266</v>
      </c>
      <c r="B57" s="61"/>
      <c r="C57" s="295"/>
      <c r="D57" s="295"/>
      <c r="E57" s="251">
        <f t="shared" si="3"/>
        <v>0</v>
      </c>
    </row>
    <row r="58" spans="1:5" ht="12.75">
      <c r="A58" s="246" t="s">
        <v>267</v>
      </c>
      <c r="B58" s="61"/>
      <c r="C58" s="295"/>
      <c r="D58" s="295"/>
      <c r="E58" s="251">
        <f t="shared" si="3"/>
        <v>0</v>
      </c>
    </row>
    <row r="59" spans="1:5" ht="12.75">
      <c r="A59" s="61" t="s">
        <v>445</v>
      </c>
      <c r="B59" s="61"/>
      <c r="C59" s="295"/>
      <c r="D59" s="295"/>
      <c r="E59" s="251">
        <f t="shared" si="3"/>
        <v>0</v>
      </c>
    </row>
    <row r="60" spans="1:5" ht="12.75">
      <c r="A60" s="61" t="s">
        <v>445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110" zoomScaleNormal="110" zoomScalePageLayoutView="0" workbookViewId="0" topLeftCell="A1">
      <pane xSplit="1" ySplit="6" topLeftCell="B7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95" sqref="A9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EB-2011-0178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462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7" t="s">
        <v>461</v>
      </c>
      <c r="B5" s="8"/>
      <c r="C5" s="8" t="s">
        <v>2</v>
      </c>
      <c r="D5" s="8"/>
      <c r="E5" s="8"/>
      <c r="F5" s="8"/>
    </row>
    <row r="6" spans="1:6" ht="12.75">
      <c r="A6" s="417" t="s">
        <v>442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Kingston Hydro Corporation</v>
      </c>
      <c r="B8" s="20"/>
      <c r="C8" s="25"/>
      <c r="D8" s="25"/>
      <c r="E8" s="25"/>
      <c r="F8" s="20"/>
    </row>
    <row r="9" spans="1:6" ht="12.75">
      <c r="A9" s="35" t="str">
        <f>REGINFO!A4</f>
        <v>January 1, 2003 -  December 31,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30262.5525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4">
        <f>C17-D17</f>
        <v>0</v>
      </c>
    </row>
    <row r="18" spans="1:5" ht="12.75">
      <c r="A18" s="67" t="s">
        <v>251</v>
      </c>
      <c r="B18" t="s">
        <v>187</v>
      </c>
      <c r="C18" s="296"/>
      <c r="D18" s="296"/>
      <c r="E18" s="314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4">
        <f t="shared" si="0"/>
        <v>0</v>
      </c>
    </row>
    <row r="20" spans="1:5" ht="12.75">
      <c r="A20" s="67" t="s">
        <v>446</v>
      </c>
      <c r="B20" t="s">
        <v>187</v>
      </c>
      <c r="C20" s="296"/>
      <c r="D20" s="315"/>
      <c r="E20" s="314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7"/>
      <c r="B22" t="s">
        <v>187</v>
      </c>
      <c r="C22" s="296"/>
      <c r="D22" s="296"/>
      <c r="E22" s="314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252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4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4">
        <f t="shared" si="0"/>
        <v>0</v>
      </c>
    </row>
    <row r="36" spans="1:5" ht="12.75">
      <c r="A36" s="67" t="s">
        <v>469</v>
      </c>
      <c r="B36" t="s">
        <v>187</v>
      </c>
      <c r="C36" s="493"/>
      <c r="D36" s="296"/>
      <c r="E36" s="314">
        <f t="shared" si="0"/>
        <v>0</v>
      </c>
    </row>
    <row r="37" spans="1:5" ht="12.75">
      <c r="A37" s="67"/>
      <c r="B37" t="s">
        <v>187</v>
      </c>
      <c r="C37" s="296"/>
      <c r="D37" s="296"/>
      <c r="E37" s="314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67"/>
      <c r="B41" t="s">
        <v>187</v>
      </c>
      <c r="C41" s="295"/>
      <c r="D41" s="295"/>
      <c r="E41" s="251">
        <f t="shared" si="0"/>
        <v>0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7" t="s">
        <v>203</v>
      </c>
      <c r="B78" s="278"/>
      <c r="C78" s="316">
        <f>C46-C77</f>
        <v>0</v>
      </c>
      <c r="D78" s="316">
        <f>D46-D77</f>
        <v>0</v>
      </c>
      <c r="E78" s="316">
        <f>E46-E77</f>
        <v>0</v>
      </c>
    </row>
    <row r="79" spans="1:5" ht="12.75">
      <c r="A79" s="277" t="s">
        <v>170</v>
      </c>
      <c r="B79" s="278"/>
      <c r="C79" s="316">
        <f>C77+C78</f>
        <v>0</v>
      </c>
      <c r="D79" s="316">
        <f>D77+D78</f>
        <v>0</v>
      </c>
      <c r="E79" s="316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/>
      <c r="D82" s="295"/>
      <c r="E82" s="251">
        <f>C82-D82</f>
        <v>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253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374</v>
      </c>
      <c r="B87" s="8" t="s">
        <v>188</v>
      </c>
      <c r="C87" s="482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2:5" ht="12.75">
      <c r="B92" s="8" t="s">
        <v>188</v>
      </c>
      <c r="C92" s="295"/>
      <c r="D92" s="295"/>
      <c r="E92" s="251"/>
    </row>
    <row r="93" spans="1:5" ht="12.75">
      <c r="A93" s="67"/>
      <c r="B93" s="8" t="s">
        <v>188</v>
      </c>
      <c r="C93" s="295"/>
      <c r="D93" s="295"/>
      <c r="E93" s="251">
        <f t="shared" si="5"/>
        <v>0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470</v>
      </c>
      <c r="B96" s="8" t="s">
        <v>188</v>
      </c>
      <c r="C96" s="295">
        <v>0</v>
      </c>
      <c r="D96" s="295"/>
      <c r="E96" s="251">
        <f t="shared" si="5"/>
        <v>0</v>
      </c>
    </row>
    <row r="97" spans="1:5" ht="12.75">
      <c r="A97" s="498"/>
      <c r="B97" s="8" t="s">
        <v>188</v>
      </c>
      <c r="C97" s="295"/>
      <c r="D97" s="295"/>
      <c r="E97" s="251">
        <f t="shared" si="5"/>
        <v>0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IF($E93&gt;$C$11,#REF!,"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 </v>
      </c>
      <c r="B117" s="274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7" bottom="0.34" header="0.19" footer="0"/>
  <pageSetup fitToHeight="2" fitToWidth="1" horizontalDpi="600" verticalDpi="600" orientation="portrait" scale="76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4"/>
  <sheetViews>
    <sheetView zoomScale="90" zoomScaleNormal="90" zoomScalePageLayoutView="0" workbookViewId="0" topLeftCell="A1">
      <pane xSplit="1" ySplit="8" topLeftCell="B36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41" sqref="C4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EB-2011-0178</v>
      </c>
    </row>
    <row r="3" spans="1:5" ht="12.75">
      <c r="A3" s="2" t="s">
        <v>382</v>
      </c>
      <c r="E3" s="92"/>
    </row>
    <row r="4" spans="1:6" ht="15">
      <c r="A4" s="461" t="s">
        <v>442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3" t="s">
        <v>383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Kingston Hydro Corporation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January 1, 2003 -  December 31,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4">
        <f aca="true" t="shared" si="0" ref="E19:E45">C19-D19</f>
        <v>0</v>
      </c>
    </row>
    <row r="20" spans="1:5" ht="12.75">
      <c r="A20" t="s">
        <v>385</v>
      </c>
      <c r="B20" t="s">
        <v>187</v>
      </c>
      <c r="C20" s="296"/>
      <c r="D20" s="296"/>
      <c r="E20" s="314">
        <f t="shared" si="0"/>
        <v>0</v>
      </c>
    </row>
    <row r="21" spans="1:5" ht="12.75">
      <c r="A21" t="s">
        <v>450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7" t="s">
        <v>388</v>
      </c>
      <c r="B22" t="s">
        <v>187</v>
      </c>
      <c r="C22" s="296"/>
      <c r="D22" s="315"/>
      <c r="E22" s="314">
        <f t="shared" si="0"/>
        <v>0</v>
      </c>
    </row>
    <row r="23" spans="1:5" ht="12.75">
      <c r="A23" s="67" t="s">
        <v>389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451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7" t="s">
        <v>125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434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387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386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429</v>
      </c>
      <c r="B32" t="s">
        <v>187</v>
      </c>
      <c r="C32" s="493"/>
      <c r="D32" s="296"/>
      <c r="E32" s="314">
        <f t="shared" si="0"/>
        <v>0</v>
      </c>
    </row>
    <row r="33" spans="1:5" ht="12.75">
      <c r="A33" s="67" t="s">
        <v>430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447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81" t="s">
        <v>448</v>
      </c>
      <c r="C35" s="296">
        <v>0</v>
      </c>
      <c r="D35" s="296"/>
      <c r="E35" s="314">
        <f t="shared" si="0"/>
        <v>0</v>
      </c>
    </row>
    <row r="36" spans="1:5" ht="12.75">
      <c r="A36" s="67" t="s">
        <v>431</v>
      </c>
      <c r="C36" s="493"/>
      <c r="D36" s="296"/>
      <c r="E36" s="314">
        <f t="shared" si="0"/>
        <v>0</v>
      </c>
    </row>
    <row r="37" spans="1:5" ht="12.75">
      <c r="A37" s="67" t="s">
        <v>432</v>
      </c>
      <c r="C37" s="296"/>
      <c r="D37" s="296"/>
      <c r="E37" s="314">
        <f t="shared" si="0"/>
        <v>0</v>
      </c>
    </row>
    <row r="38" spans="1:5" ht="12.75">
      <c r="A38" s="67" t="s">
        <v>453</v>
      </c>
      <c r="C38" s="296"/>
      <c r="D38" s="296"/>
      <c r="E38" s="314">
        <f t="shared" si="0"/>
        <v>0</v>
      </c>
    </row>
    <row r="39" spans="1:5" ht="12.75">
      <c r="A39" s="506" t="s">
        <v>503</v>
      </c>
      <c r="B39" t="s">
        <v>187</v>
      </c>
      <c r="C39" s="296">
        <v>12690</v>
      </c>
      <c r="D39" s="296"/>
      <c r="E39" s="314">
        <f t="shared" si="0"/>
        <v>12690</v>
      </c>
    </row>
    <row r="40" spans="1:5" ht="12.75">
      <c r="A40" s="81" t="s">
        <v>390</v>
      </c>
      <c r="B40" t="s">
        <v>187</v>
      </c>
      <c r="C40" s="296">
        <v>48845</v>
      </c>
      <c r="D40" s="296"/>
      <c r="E40" s="314">
        <f t="shared" si="0"/>
        <v>48845</v>
      </c>
    </row>
    <row r="41" spans="1:5" ht="12.75">
      <c r="A41" s="81" t="s">
        <v>384</v>
      </c>
      <c r="B41" t="s">
        <v>187</v>
      </c>
      <c r="C41" s="493"/>
      <c r="D41" s="296"/>
      <c r="E41" s="314">
        <f t="shared" si="0"/>
        <v>0</v>
      </c>
    </row>
    <row r="42" spans="2:5" ht="12.75">
      <c r="B42" t="s">
        <v>187</v>
      </c>
      <c r="C42" s="296"/>
      <c r="D42" s="296"/>
      <c r="E42" s="314">
        <f t="shared" si="0"/>
        <v>0</v>
      </c>
    </row>
    <row r="43" spans="1:5" ht="12.75">
      <c r="A43" s="68" t="s">
        <v>204</v>
      </c>
      <c r="B43" t="s">
        <v>187</v>
      </c>
      <c r="C43" s="296"/>
      <c r="D43" s="296"/>
      <c r="E43" s="314">
        <f t="shared" si="0"/>
        <v>0</v>
      </c>
    </row>
    <row r="44" spans="1:5" ht="12.75">
      <c r="A44" s="498" t="s">
        <v>486</v>
      </c>
      <c r="B44" t="s">
        <v>187</v>
      </c>
      <c r="C44" s="482">
        <v>0</v>
      </c>
      <c r="D44" s="295"/>
      <c r="E44" s="251">
        <f t="shared" si="0"/>
        <v>0</v>
      </c>
    </row>
    <row r="45" spans="1:5" ht="12.75">
      <c r="A45" s="499" t="s">
        <v>502</v>
      </c>
      <c r="B45" t="s">
        <v>187</v>
      </c>
      <c r="C45" s="295">
        <v>871102</v>
      </c>
      <c r="D45" s="295"/>
      <c r="E45" s="251">
        <f t="shared" si="0"/>
        <v>871102</v>
      </c>
    </row>
    <row r="46" spans="1:5" ht="12.75">
      <c r="A46" s="499" t="s">
        <v>487</v>
      </c>
      <c r="B46" t="s">
        <v>187</v>
      </c>
      <c r="C46" s="295">
        <v>178255</v>
      </c>
      <c r="D46" s="295"/>
      <c r="E46" s="280"/>
    </row>
    <row r="47" spans="1:5" ht="12.75">
      <c r="A47" s="446" t="s">
        <v>394</v>
      </c>
      <c r="B47" t="s">
        <v>189</v>
      </c>
      <c r="C47" s="251">
        <f>SUM(C19:C46)</f>
        <v>1110892</v>
      </c>
      <c r="D47" s="251">
        <f>SUM(D19:D46)</f>
        <v>0</v>
      </c>
      <c r="E47" s="251">
        <f>SUM(E19:E46)</f>
        <v>932637</v>
      </c>
    </row>
    <row r="48" ht="12.75">
      <c r="A48" s="67"/>
    </row>
    <row r="49" ht="12.75">
      <c r="A49" s="81" t="s">
        <v>145</v>
      </c>
    </row>
    <row r="51" spans="1:5" ht="12.75">
      <c r="A51" s="507" t="s">
        <v>385</v>
      </c>
      <c r="B51" s="8" t="s">
        <v>188</v>
      </c>
      <c r="C51" s="295"/>
      <c r="D51" s="295"/>
      <c r="E51" s="251">
        <f aca="true" t="shared" si="1" ref="E51:E61">C51-D51</f>
        <v>0</v>
      </c>
    </row>
    <row r="52" spans="1:5" ht="12.75">
      <c r="A52" s="67" t="s">
        <v>450</v>
      </c>
      <c r="B52" s="8" t="s">
        <v>188</v>
      </c>
      <c r="C52" s="295"/>
      <c r="D52" s="295"/>
      <c r="E52" s="251">
        <f t="shared" si="1"/>
        <v>0</v>
      </c>
    </row>
    <row r="53" spans="1:5" ht="12.75">
      <c r="A53" t="s">
        <v>386</v>
      </c>
      <c r="B53" s="8" t="s">
        <v>188</v>
      </c>
      <c r="C53" s="295"/>
      <c r="D53" s="295"/>
      <c r="E53" s="251">
        <f t="shared" si="1"/>
        <v>0</v>
      </c>
    </row>
    <row r="54" spans="1:5" ht="12.75">
      <c r="A54" t="s">
        <v>433</v>
      </c>
      <c r="B54" s="8" t="s">
        <v>188</v>
      </c>
      <c r="C54" s="295"/>
      <c r="D54" s="295"/>
      <c r="E54" s="251">
        <f t="shared" si="1"/>
        <v>0</v>
      </c>
    </row>
    <row r="55" spans="1:5" ht="12.75">
      <c r="A55" s="506" t="s">
        <v>441</v>
      </c>
      <c r="B55" s="8" t="s">
        <v>188</v>
      </c>
      <c r="C55" s="295">
        <v>16633</v>
      </c>
      <c r="D55" s="295"/>
      <c r="E55" s="251">
        <f t="shared" si="1"/>
        <v>16633</v>
      </c>
    </row>
    <row r="56" spans="1:5" ht="12.75">
      <c r="A56" s="506" t="s">
        <v>504</v>
      </c>
      <c r="B56" s="8" t="s">
        <v>188</v>
      </c>
      <c r="C56" s="295">
        <v>47534</v>
      </c>
      <c r="D56" s="295"/>
      <c r="E56" s="251">
        <f t="shared" si="1"/>
        <v>47534</v>
      </c>
    </row>
    <row r="57" spans="1:5" ht="12.75">
      <c r="A57" s="2" t="s">
        <v>449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452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506" t="s">
        <v>502</v>
      </c>
      <c r="B59" s="8" t="s">
        <v>188</v>
      </c>
      <c r="C59" s="295">
        <v>850783</v>
      </c>
      <c r="D59" s="295"/>
      <c r="E59" s="251">
        <f t="shared" si="1"/>
        <v>850783</v>
      </c>
    </row>
    <row r="60" spans="2:5" ht="12.75">
      <c r="B60" s="8" t="s">
        <v>188</v>
      </c>
      <c r="C60" s="295"/>
      <c r="D60" s="295"/>
      <c r="E60" s="251">
        <f t="shared" si="1"/>
        <v>0</v>
      </c>
    </row>
    <row r="61" spans="2:5" ht="12.75">
      <c r="B61" s="8" t="s">
        <v>188</v>
      </c>
      <c r="C61" s="295"/>
      <c r="D61" s="295"/>
      <c r="E61" s="251">
        <f t="shared" si="1"/>
        <v>0</v>
      </c>
    </row>
    <row r="62" spans="2:5" ht="12.75">
      <c r="B62" s="8" t="s">
        <v>188</v>
      </c>
      <c r="C62" s="295"/>
      <c r="D62" s="295"/>
      <c r="E62" s="251">
        <f aca="true" t="shared" si="2" ref="E62:E73">C62-D62</f>
        <v>0</v>
      </c>
    </row>
    <row r="63" spans="2:5" ht="12.75">
      <c r="B63" s="8" t="s">
        <v>188</v>
      </c>
      <c r="C63" s="295"/>
      <c r="D63" s="295"/>
      <c r="E63" s="251">
        <f t="shared" si="2"/>
        <v>0</v>
      </c>
    </row>
    <row r="64" spans="1:5" ht="12.75">
      <c r="A64" s="465" t="s">
        <v>391</v>
      </c>
      <c r="B64" s="8" t="s">
        <v>188</v>
      </c>
      <c r="C64" s="295">
        <v>79457</v>
      </c>
      <c r="D64" s="295"/>
      <c r="E64" s="251">
        <f t="shared" si="2"/>
        <v>79457</v>
      </c>
    </row>
    <row r="65" spans="2:5" ht="12.75">
      <c r="B65" s="8" t="s">
        <v>188</v>
      </c>
      <c r="C65" s="295"/>
      <c r="D65" s="295"/>
      <c r="E65" s="251">
        <f t="shared" si="2"/>
        <v>0</v>
      </c>
    </row>
    <row r="66" spans="1:5" ht="12.75">
      <c r="A66" s="465" t="s">
        <v>384</v>
      </c>
      <c r="B66" s="8" t="s">
        <v>188</v>
      </c>
      <c r="C66" s="295"/>
      <c r="D66" s="295"/>
      <c r="E66" s="251">
        <f t="shared" si="2"/>
        <v>0</v>
      </c>
    </row>
    <row r="67" spans="1:5" ht="12.75">
      <c r="A67" s="67"/>
      <c r="B67" s="8" t="s">
        <v>188</v>
      </c>
      <c r="C67" s="295"/>
      <c r="D67" s="295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5"/>
      <c r="D68" s="295"/>
      <c r="E68" s="251">
        <f t="shared" si="2"/>
        <v>0</v>
      </c>
    </row>
    <row r="69" spans="1:5" ht="12.75">
      <c r="A69" s="499" t="s">
        <v>487</v>
      </c>
      <c r="B69" s="8" t="s">
        <v>188</v>
      </c>
      <c r="C69" s="295">
        <v>64825</v>
      </c>
      <c r="D69" s="295"/>
      <c r="E69" s="251">
        <f t="shared" si="2"/>
        <v>64825</v>
      </c>
    </row>
    <row r="70" spans="1:5" ht="12.75">
      <c r="A70" s="499" t="s">
        <v>505</v>
      </c>
      <c r="B70" s="8" t="s">
        <v>188</v>
      </c>
      <c r="C70" s="295">
        <v>203994</v>
      </c>
      <c r="D70" s="295"/>
      <c r="E70" s="251">
        <f t="shared" si="2"/>
        <v>203994</v>
      </c>
    </row>
    <row r="71" spans="1:5" ht="12.75">
      <c r="A71" s="499" t="s">
        <v>488</v>
      </c>
      <c r="B71" s="8" t="s">
        <v>188</v>
      </c>
      <c r="C71" s="295"/>
      <c r="D71" s="295"/>
      <c r="E71" s="251">
        <f t="shared" si="2"/>
        <v>0</v>
      </c>
    </row>
    <row r="72" spans="1:5" ht="12.75">
      <c r="A72" s="499" t="s">
        <v>489</v>
      </c>
      <c r="B72" s="8" t="s">
        <v>188</v>
      </c>
      <c r="C72" s="295"/>
      <c r="D72" s="295"/>
      <c r="E72" s="280">
        <f t="shared" si="2"/>
        <v>0</v>
      </c>
    </row>
    <row r="73" spans="1:5" ht="12.75">
      <c r="A73" s="499" t="s">
        <v>490</v>
      </c>
      <c r="B73" s="8"/>
      <c r="C73" s="295"/>
      <c r="D73" s="295"/>
      <c r="E73" s="280">
        <f t="shared" si="2"/>
        <v>0</v>
      </c>
    </row>
    <row r="74" spans="1:5" ht="12.75">
      <c r="A74" s="499" t="s">
        <v>491</v>
      </c>
      <c r="B74" s="8"/>
      <c r="C74" s="295"/>
      <c r="D74" s="295"/>
      <c r="E74" s="280"/>
    </row>
    <row r="75" spans="1:5" ht="12.75">
      <c r="A75" s="445" t="s">
        <v>393</v>
      </c>
      <c r="B75" s="8" t="s">
        <v>189</v>
      </c>
      <c r="C75" s="251">
        <f>SUM(C51:C74)</f>
        <v>1263226</v>
      </c>
      <c r="D75" s="251">
        <f>SUM(D51:D74)</f>
        <v>0</v>
      </c>
      <c r="E75" s="251">
        <f>SUM(E51:E74)</f>
        <v>1263226</v>
      </c>
    </row>
    <row r="76" ht="12.75">
      <c r="A76" s="67"/>
    </row>
    <row r="77" ht="12.75">
      <c r="A77" s="4"/>
    </row>
    <row r="78" ht="12.75">
      <c r="A78" s="501"/>
    </row>
    <row r="79" ht="12.75">
      <c r="A79" s="502"/>
    </row>
    <row r="80" ht="12.75">
      <c r="A80" s="502"/>
    </row>
    <row r="81" ht="12.75">
      <c r="A81" s="502"/>
    </row>
    <row r="82" ht="12.75">
      <c r="A82" s="502"/>
    </row>
    <row r="83" ht="12.75">
      <c r="A83" s="31"/>
    </row>
    <row r="84" ht="12.75">
      <c r="A84" s="502"/>
    </row>
    <row r="85" ht="12.75">
      <c r="A85" s="502"/>
    </row>
    <row r="86" ht="12.75">
      <c r="A86" s="502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58">
      <selection activeCell="G20" sqref="G2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6" t="str">
        <f>REGINFO!A1</f>
        <v>PILs TAXES - EB-2011-0178</v>
      </c>
      <c r="B1" s="387"/>
      <c r="C1" s="344"/>
      <c r="D1" s="344"/>
      <c r="E1" s="344"/>
      <c r="F1" s="344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5" t="s">
        <v>107</v>
      </c>
      <c r="B2" s="344"/>
      <c r="C2" s="344"/>
      <c r="D2" s="344"/>
      <c r="E2" s="344"/>
      <c r="F2" s="346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5" t="s">
        <v>304</v>
      </c>
      <c r="B3" s="344"/>
      <c r="C3" s="344"/>
      <c r="D3" s="344"/>
      <c r="E3" s="344"/>
      <c r="F3" s="346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Kingston Hydro Corporation</v>
      </c>
      <c r="B4" s="344"/>
      <c r="C4" s="344"/>
      <c r="D4" s="344"/>
      <c r="E4" s="344"/>
      <c r="F4" s="344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January 1, 2003 -  December 31, 2003</v>
      </c>
      <c r="B5" s="344"/>
      <c r="C5" s="344"/>
      <c r="D5" s="344"/>
      <c r="E5" s="344"/>
      <c r="F5" s="344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5"/>
      <c r="B6" s="344"/>
      <c r="C6" s="344"/>
      <c r="D6" s="344"/>
      <c r="E6" s="344"/>
      <c r="F6" s="344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5"/>
      <c r="B7" s="344"/>
      <c r="C7" s="344"/>
      <c r="D7" s="344"/>
      <c r="E7" s="344"/>
      <c r="F7" s="412" t="s">
        <v>334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7" t="s">
        <v>476</v>
      </c>
      <c r="B8" s="518"/>
      <c r="C8" s="518"/>
      <c r="D8" s="518"/>
      <c r="E8" s="344"/>
      <c r="F8" s="384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2" t="s">
        <v>112</v>
      </c>
      <c r="B9" s="327"/>
      <c r="C9" s="375">
        <v>0</v>
      </c>
      <c r="D9" s="375"/>
      <c r="E9" s="375">
        <v>200001</v>
      </c>
      <c r="F9" s="376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3" t="s">
        <v>463</v>
      </c>
      <c r="B10" s="328"/>
      <c r="C10" s="377" t="s">
        <v>111</v>
      </c>
      <c r="D10" s="377"/>
      <c r="E10" s="377" t="s">
        <v>111</v>
      </c>
      <c r="F10" s="378" t="s">
        <v>481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3"/>
      <c r="B11" s="328" t="s">
        <v>116</v>
      </c>
      <c r="C11" s="379">
        <v>200000</v>
      </c>
      <c r="D11" s="379"/>
      <c r="E11" s="379">
        <v>700000</v>
      </c>
      <c r="F11" s="380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4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5" t="s">
        <v>297</v>
      </c>
      <c r="B13" s="411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5" t="s">
        <v>296</v>
      </c>
      <c r="B14" s="245"/>
      <c r="C14" s="329">
        <v>0.1312</v>
      </c>
      <c r="D14" s="329"/>
      <c r="E14" s="330">
        <v>0.2612</v>
      </c>
      <c r="F14" s="330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5" t="s">
        <v>301</v>
      </c>
      <c r="B15" s="245"/>
      <c r="C15" s="331">
        <v>0.06</v>
      </c>
      <c r="D15" s="331"/>
      <c r="E15" s="332">
        <v>0.06</v>
      </c>
      <c r="F15" s="332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5" t="s">
        <v>258</v>
      </c>
      <c r="B16" s="245"/>
      <c r="C16" s="333">
        <f>SUM(C14:C15)</f>
        <v>0.1912</v>
      </c>
      <c r="D16" s="333"/>
      <c r="E16" s="334">
        <v>0.3412</v>
      </c>
      <c r="F16" s="334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5"/>
      <c r="B17" s="245"/>
      <c r="C17" s="329"/>
      <c r="D17" s="329"/>
      <c r="E17" s="330"/>
      <c r="F17" s="330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4" t="s">
        <v>109</v>
      </c>
      <c r="B18" s="244"/>
      <c r="C18" s="335">
        <v>0.003</v>
      </c>
      <c r="D18" s="329"/>
      <c r="E18" s="330"/>
      <c r="F18" s="330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4" t="s">
        <v>110</v>
      </c>
      <c r="B19" s="238"/>
      <c r="C19" s="336">
        <v>0.00225</v>
      </c>
      <c r="D19" s="337"/>
      <c r="E19" s="338"/>
      <c r="F19" s="338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4" t="s">
        <v>113</v>
      </c>
      <c r="B20" s="238"/>
      <c r="C20" s="337">
        <v>0.0112</v>
      </c>
      <c r="D20" s="339"/>
      <c r="E20" s="340"/>
      <c r="F20" s="340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7" thickBot="1">
      <c r="A21" s="326" t="s">
        <v>329</v>
      </c>
      <c r="B21" s="408" t="s">
        <v>466</v>
      </c>
      <c r="C21" s="495">
        <f>5000000*REGINFO!D21</f>
        <v>5000000</v>
      </c>
      <c r="D21" s="339"/>
      <c r="E21" s="340"/>
      <c r="F21" s="340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.75" thickBot="1">
      <c r="A22" s="326" t="s">
        <v>330</v>
      </c>
      <c r="B22" s="409" t="s">
        <v>467</v>
      </c>
      <c r="C22" s="496">
        <f>10000000*REGINFO!D22</f>
        <v>10000000</v>
      </c>
      <c r="D22" s="341"/>
      <c r="E22" s="342"/>
      <c r="F22" s="342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11" t="s">
        <v>483</v>
      </c>
      <c r="B23" s="512"/>
      <c r="C23" s="512"/>
      <c r="D23" s="512"/>
      <c r="E23" s="512"/>
      <c r="F23" s="512"/>
      <c r="G23" s="435"/>
      <c r="H23" s="422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3"/>
      <c r="B24" s="414"/>
      <c r="C24" s="414"/>
      <c r="D24" s="414"/>
      <c r="E24" s="414"/>
      <c r="F24" s="414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1"/>
      <c r="B25" s="382"/>
      <c r="C25" s="385"/>
      <c r="D25" s="344"/>
      <c r="E25" s="344"/>
      <c r="F25" s="412" t="s">
        <v>335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9" t="s">
        <v>477</v>
      </c>
      <c r="B26" s="520"/>
      <c r="C26" s="520"/>
      <c r="D26" s="520"/>
      <c r="E26" s="520"/>
      <c r="F26" s="520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2" t="s">
        <v>112</v>
      </c>
      <c r="B27" s="327"/>
      <c r="C27" s="369">
        <v>0</v>
      </c>
      <c r="D27" s="369"/>
      <c r="E27" s="369">
        <v>200001</v>
      </c>
      <c r="F27" s="370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3" t="s">
        <v>437</v>
      </c>
      <c r="B28" s="328"/>
      <c r="C28" s="371" t="s">
        <v>111</v>
      </c>
      <c r="D28" s="371"/>
      <c r="E28" s="371" t="s">
        <v>111</v>
      </c>
      <c r="F28" s="372" t="s">
        <v>481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3"/>
      <c r="B29" s="328" t="s">
        <v>116</v>
      </c>
      <c r="C29" s="373">
        <v>200000</v>
      </c>
      <c r="D29" s="373"/>
      <c r="E29" s="373">
        <v>700000</v>
      </c>
      <c r="F29" s="374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4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5" t="s">
        <v>115</v>
      </c>
      <c r="B31" s="411">
        <v>2003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5" t="s">
        <v>296</v>
      </c>
      <c r="B32" s="411">
        <v>2003</v>
      </c>
      <c r="C32" s="329">
        <v>0.1312</v>
      </c>
      <c r="D32" s="329"/>
      <c r="E32" s="330"/>
      <c r="F32" s="330">
        <v>0.2412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5" t="s">
        <v>29</v>
      </c>
      <c r="B33" s="411">
        <v>2003</v>
      </c>
      <c r="C33" s="331">
        <v>0.06</v>
      </c>
      <c r="D33" s="331"/>
      <c r="E33" s="332"/>
      <c r="F33" s="332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5" t="s">
        <v>258</v>
      </c>
      <c r="B34" s="411">
        <v>2003</v>
      </c>
      <c r="C34" s="333">
        <f>SUM(C32:C33)</f>
        <v>0.1912</v>
      </c>
      <c r="D34" s="333"/>
      <c r="E34" s="334">
        <v>0.3412</v>
      </c>
      <c r="F34" s="334">
        <f>SUM(F32:F33)</f>
        <v>0.36619999999999997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5"/>
      <c r="B35" s="245"/>
      <c r="C35" s="329"/>
      <c r="D35" s="329"/>
      <c r="E35" s="330"/>
      <c r="F35" s="330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4" t="s">
        <v>109</v>
      </c>
      <c r="B36" s="411">
        <v>2003</v>
      </c>
      <c r="C36" s="335">
        <v>0.003</v>
      </c>
      <c r="D36" s="329"/>
      <c r="E36" s="330"/>
      <c r="F36" s="330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4" t="s">
        <v>110</v>
      </c>
      <c r="B37" s="411">
        <v>2003</v>
      </c>
      <c r="C37" s="336">
        <v>0.00225</v>
      </c>
      <c r="D37" s="337"/>
      <c r="E37" s="338"/>
      <c r="F37" s="338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4" t="s">
        <v>113</v>
      </c>
      <c r="B38" s="411">
        <v>2003</v>
      </c>
      <c r="C38" s="337">
        <v>0.0112</v>
      </c>
      <c r="D38" s="339"/>
      <c r="E38" s="340"/>
      <c r="F38" s="340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7" thickBot="1">
      <c r="A39" s="326" t="s">
        <v>478</v>
      </c>
      <c r="B39" s="408" t="s">
        <v>466</v>
      </c>
      <c r="C39" s="363">
        <f>5000000*REGINFO!D21</f>
        <v>5000000</v>
      </c>
      <c r="D39" s="339"/>
      <c r="E39" s="340"/>
      <c r="F39" s="340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.75" thickBot="1">
      <c r="A40" s="326" t="s">
        <v>479</v>
      </c>
      <c r="B40" s="409" t="s">
        <v>467</v>
      </c>
      <c r="C40" s="364">
        <f>10000000*REGINFO!D22</f>
        <v>10000000</v>
      </c>
      <c r="D40" s="341"/>
      <c r="E40" s="342"/>
      <c r="F40" s="342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3" t="s">
        <v>332</v>
      </c>
      <c r="B41" s="512"/>
      <c r="C41" s="512"/>
      <c r="D41" s="512"/>
      <c r="E41" s="512"/>
      <c r="F41" s="512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4"/>
      <c r="B42" s="514"/>
      <c r="C42" s="514"/>
      <c r="D42" s="514"/>
      <c r="E42" s="514"/>
      <c r="F42" s="514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1"/>
      <c r="B43" s="382"/>
      <c r="C43" s="383"/>
      <c r="D43" s="382"/>
      <c r="E43" s="382"/>
      <c r="F43" s="412" t="s">
        <v>336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10" t="s">
        <v>480</v>
      </c>
      <c r="B44" s="367"/>
      <c r="C44" s="368"/>
      <c r="D44" s="367"/>
      <c r="E44" s="344"/>
      <c r="F44" s="384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2" t="s">
        <v>112</v>
      </c>
      <c r="B45" s="327"/>
      <c r="C45" s="369">
        <v>0</v>
      </c>
      <c r="D45" s="369"/>
      <c r="E45" s="369">
        <v>200001</v>
      </c>
      <c r="F45" s="370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3"/>
      <c r="B46" s="328"/>
      <c r="C46" s="371" t="s">
        <v>111</v>
      </c>
      <c r="D46" s="371"/>
      <c r="E46" s="371" t="s">
        <v>111</v>
      </c>
      <c r="F46" s="372" t="s">
        <v>465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3"/>
      <c r="B47" s="343" t="s">
        <v>116</v>
      </c>
      <c r="C47" s="373">
        <v>200000</v>
      </c>
      <c r="D47" s="373"/>
      <c r="E47" s="373">
        <v>700000</v>
      </c>
      <c r="F47" s="374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4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5" t="s">
        <v>115</v>
      </c>
      <c r="B49" s="411">
        <v>2003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5" t="s">
        <v>296</v>
      </c>
      <c r="B50" s="245"/>
      <c r="C50" s="353">
        <v>0.1312</v>
      </c>
      <c r="D50" s="353"/>
      <c r="E50" s="354">
        <v>0</v>
      </c>
      <c r="F50" s="354">
        <v>0.2412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5" t="s">
        <v>29</v>
      </c>
      <c r="B51" s="245"/>
      <c r="C51" s="355">
        <v>0.06</v>
      </c>
      <c r="D51" s="355"/>
      <c r="E51" s="356">
        <v>0</v>
      </c>
      <c r="F51" s="356">
        <v>0.125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5" t="s">
        <v>258</v>
      </c>
      <c r="B52" s="245"/>
      <c r="C52" s="333">
        <f>SUM(C50:C51)</f>
        <v>0.1912</v>
      </c>
      <c r="D52" s="333"/>
      <c r="E52" s="334">
        <f>SUM(E50:E51)</f>
        <v>0</v>
      </c>
      <c r="F52" s="334">
        <f>SUM(F50:F51)</f>
        <v>0.36619999999999997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5"/>
      <c r="B53" s="245"/>
      <c r="C53" s="353"/>
      <c r="D53" s="353"/>
      <c r="E53" s="354"/>
      <c r="F53" s="354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4" t="s">
        <v>109</v>
      </c>
      <c r="B54" s="244"/>
      <c r="C54" s="357">
        <v>0.003</v>
      </c>
      <c r="D54" s="353"/>
      <c r="E54" s="354"/>
      <c r="F54" s="354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4" t="s">
        <v>110</v>
      </c>
      <c r="B55" s="238"/>
      <c r="C55" s="358">
        <v>0.00225</v>
      </c>
      <c r="D55" s="359"/>
      <c r="E55" s="360"/>
      <c r="F55" s="360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4" t="s">
        <v>113</v>
      </c>
      <c r="B56" s="238"/>
      <c r="C56" s="359">
        <v>0.0112</v>
      </c>
      <c r="D56" s="361"/>
      <c r="E56" s="362"/>
      <c r="F56" s="362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7" thickBot="1">
      <c r="A57" s="326" t="s">
        <v>346</v>
      </c>
      <c r="B57" s="408" t="s">
        <v>466</v>
      </c>
      <c r="C57" s="363">
        <v>148875</v>
      </c>
      <c r="D57" s="361"/>
      <c r="E57" s="362"/>
      <c r="F57" s="362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.75" thickBot="1">
      <c r="A58" s="326" t="s">
        <v>347</v>
      </c>
      <c r="B58" s="409" t="s">
        <v>467</v>
      </c>
      <c r="C58" s="364">
        <v>0</v>
      </c>
      <c r="D58" s="365"/>
      <c r="E58" s="366"/>
      <c r="F58" s="366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11" t="s">
        <v>348</v>
      </c>
      <c r="B59" s="515"/>
      <c r="C59" s="515"/>
      <c r="D59" s="515"/>
      <c r="E59" s="515"/>
      <c r="F59" s="515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6"/>
      <c r="B60" s="516"/>
      <c r="C60" s="516"/>
      <c r="D60" s="516"/>
      <c r="E60" s="516"/>
      <c r="F60" s="516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5"/>
      <c r="B61" s="346"/>
      <c r="C61" s="346"/>
      <c r="D61" s="346"/>
      <c r="E61" s="346"/>
      <c r="F61" s="348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5"/>
      <c r="B62" s="346"/>
      <c r="C62" s="347"/>
      <c r="D62" s="347"/>
      <c r="E62" s="347"/>
      <c r="F62" s="349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5"/>
      <c r="B63" s="344"/>
      <c r="C63" s="344"/>
      <c r="D63" s="344"/>
      <c r="E63" s="344"/>
      <c r="F63" s="344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50"/>
      <c r="B64" s="351"/>
      <c r="C64" s="352"/>
      <c r="D64" s="352"/>
      <c r="E64" s="352"/>
      <c r="F64" s="352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EB-2011-0178</v>
      </c>
    </row>
    <row r="2" spans="1:2" ht="12.75">
      <c r="A2" s="2" t="s">
        <v>454</v>
      </c>
      <c r="B2" s="2"/>
    </row>
    <row r="3" spans="1:15" ht="12.75">
      <c r="A3" s="2" t="str">
        <f>REGINFO!A3</f>
        <v>Utility Name: Kingston Hydro Corporation</v>
      </c>
      <c r="O3" s="418" t="str">
        <f>REGINFO!E1</f>
        <v>Version 2009.1</v>
      </c>
    </row>
    <row r="4" spans="1:15" ht="12.75">
      <c r="A4" s="2" t="str">
        <f>REGINFO!A4</f>
        <v>January 1, 2003 -  December 31, 2003</v>
      </c>
      <c r="E4" s="419" t="s">
        <v>318</v>
      </c>
      <c r="F4" s="400"/>
      <c r="G4" s="400"/>
      <c r="H4" s="400"/>
      <c r="I4" s="400"/>
      <c r="O4" s="418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4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6">
        <v>0</v>
      </c>
      <c r="D11" s="392"/>
      <c r="E11" s="398">
        <f>C22</f>
        <v>354796</v>
      </c>
      <c r="F11" s="421"/>
      <c r="G11" s="398">
        <f>E22</f>
        <v>464477.81870629604</v>
      </c>
      <c r="H11" s="421"/>
      <c r="I11" s="398">
        <f>G22</f>
        <v>361846.02663680585</v>
      </c>
      <c r="J11" s="392"/>
      <c r="K11" s="398">
        <f>I22</f>
        <v>133647.63781109103</v>
      </c>
      <c r="L11" s="392"/>
      <c r="M11" s="398">
        <f>K22</f>
        <v>-73215.64959210902</v>
      </c>
      <c r="N11" s="392"/>
      <c r="O11" s="398">
        <f>C11</f>
        <v>0</v>
      </c>
    </row>
    <row r="12" spans="1:15" ht="27" customHeight="1">
      <c r="A12" s="81" t="s">
        <v>395</v>
      </c>
      <c r="B12" s="66" t="s">
        <v>190</v>
      </c>
      <c r="C12" s="525">
        <v>354796</v>
      </c>
      <c r="D12" s="393"/>
      <c r="E12" s="397">
        <v>1077201</v>
      </c>
      <c r="F12" s="95"/>
      <c r="G12" s="420">
        <f>C12+E12</f>
        <v>1431997</v>
      </c>
      <c r="H12" s="95"/>
      <c r="I12" s="420">
        <f>(E12/12*9)+(G12/12*3)</f>
        <v>1165900</v>
      </c>
      <c r="J12" s="393"/>
      <c r="K12" s="420">
        <f>E12/12*3</f>
        <v>269300.25</v>
      </c>
      <c r="L12" s="393"/>
      <c r="M12" s="420">
        <v>333844</v>
      </c>
      <c r="N12" s="393"/>
      <c r="O12" s="398">
        <f aca="true" t="shared" si="0" ref="O12:O20">SUM(C12:N12)</f>
        <v>4633038.25</v>
      </c>
    </row>
    <row r="13" spans="1:15" ht="27" customHeight="1">
      <c r="A13" s="81" t="s">
        <v>436</v>
      </c>
      <c r="B13" s="66"/>
      <c r="C13" s="420"/>
      <c r="D13" s="393"/>
      <c r="E13" s="420"/>
      <c r="F13" s="95"/>
      <c r="G13" s="420"/>
      <c r="H13" s="95"/>
      <c r="I13" s="420"/>
      <c r="J13" s="393"/>
      <c r="K13" s="397">
        <v>751148</v>
      </c>
      <c r="L13" s="393"/>
      <c r="M13" s="420"/>
      <c r="N13" s="393"/>
      <c r="O13" s="398">
        <f t="shared" si="0"/>
        <v>751148</v>
      </c>
    </row>
    <row r="14" spans="1:15" ht="26.25">
      <c r="A14" s="81" t="s">
        <v>396</v>
      </c>
      <c r="B14" s="66" t="s">
        <v>190</v>
      </c>
      <c r="C14" s="397"/>
      <c r="D14" s="393"/>
      <c r="E14" s="397"/>
      <c r="F14" s="95"/>
      <c r="G14" s="397"/>
      <c r="H14" s="95"/>
      <c r="I14" s="397"/>
      <c r="J14" s="393"/>
      <c r="K14" s="397"/>
      <c r="L14" s="393"/>
      <c r="M14" s="397"/>
      <c r="N14" s="393"/>
      <c r="O14" s="398">
        <f t="shared" si="0"/>
        <v>0</v>
      </c>
    </row>
    <row r="15" spans="1:15" ht="27" customHeight="1">
      <c r="A15" s="81" t="s">
        <v>397</v>
      </c>
      <c r="B15" s="66" t="s">
        <v>190</v>
      </c>
      <c r="C15" s="397"/>
      <c r="D15" s="393"/>
      <c r="E15" s="397"/>
      <c r="F15" s="95"/>
      <c r="G15" s="397">
        <v>-68024</v>
      </c>
      <c r="H15" s="95"/>
      <c r="I15" s="397">
        <f>TAXCALC!E132</f>
        <v>-146942.46823643413</v>
      </c>
      <c r="J15" s="393"/>
      <c r="K15" s="397">
        <v>-66352</v>
      </c>
      <c r="L15" s="393"/>
      <c r="M15" s="397"/>
      <c r="N15" s="393"/>
      <c r="O15" s="398">
        <f t="shared" si="0"/>
        <v>-281318.46823643416</v>
      </c>
    </row>
    <row r="16" spans="1:15" ht="27" customHeight="1">
      <c r="A16" s="81" t="s">
        <v>398</v>
      </c>
      <c r="B16" s="66"/>
      <c r="C16" s="397"/>
      <c r="D16" s="393"/>
      <c r="E16" s="397"/>
      <c r="F16" s="95"/>
      <c r="G16" s="397"/>
      <c r="H16" s="95"/>
      <c r="I16" s="397"/>
      <c r="J16" s="393"/>
      <c r="K16" s="397"/>
      <c r="L16" s="393"/>
      <c r="M16" s="397"/>
      <c r="N16" s="393"/>
      <c r="O16" s="398">
        <f t="shared" si="0"/>
        <v>0</v>
      </c>
    </row>
    <row r="17" spans="1:15" ht="27.75" customHeight="1">
      <c r="A17" s="81" t="s">
        <v>399</v>
      </c>
      <c r="B17" s="66" t="s">
        <v>190</v>
      </c>
      <c r="C17" s="397"/>
      <c r="D17" s="393"/>
      <c r="E17" s="397"/>
      <c r="F17" s="95"/>
      <c r="G17" s="397"/>
      <c r="H17" s="95"/>
      <c r="I17" s="397">
        <f>TAXCALC!E181</f>
        <v>-50047.29345446081</v>
      </c>
      <c r="J17" s="393"/>
      <c r="K17" s="397">
        <v>-84311</v>
      </c>
      <c r="L17" s="393"/>
      <c r="M17" s="397"/>
      <c r="N17" s="393"/>
      <c r="O17" s="398">
        <f t="shared" si="0"/>
        <v>-134358.2934544608</v>
      </c>
    </row>
    <row r="18" spans="1:15" ht="26.25">
      <c r="A18" s="81" t="s">
        <v>400</v>
      </c>
      <c r="B18" s="66" t="s">
        <v>190</v>
      </c>
      <c r="C18" s="397"/>
      <c r="D18" s="393"/>
      <c r="E18" s="397"/>
      <c r="F18" s="95"/>
      <c r="G18" s="397"/>
      <c r="H18" s="95"/>
      <c r="I18" s="397"/>
      <c r="J18" s="393"/>
      <c r="K18" s="397"/>
      <c r="L18" s="393"/>
      <c r="M18" s="397"/>
      <c r="N18" s="393"/>
      <c r="O18" s="398">
        <f t="shared" si="0"/>
        <v>0</v>
      </c>
    </row>
    <row r="19" spans="1:15" ht="24" customHeight="1">
      <c r="A19" s="429" t="s">
        <v>401</v>
      </c>
      <c r="B19" s="66" t="s">
        <v>190</v>
      </c>
      <c r="C19" s="397"/>
      <c r="D19" s="393"/>
      <c r="E19" s="397"/>
      <c r="F19" s="95"/>
      <c r="G19" s="397"/>
      <c r="H19" s="95"/>
      <c r="I19" s="397"/>
      <c r="J19" s="393"/>
      <c r="K19" s="397"/>
      <c r="L19" s="393"/>
      <c r="M19" s="397"/>
      <c r="N19" s="393"/>
      <c r="O19" s="398">
        <f t="shared" si="0"/>
        <v>0</v>
      </c>
    </row>
    <row r="20" spans="1:15" ht="24.75" customHeight="1">
      <c r="A20" s="81" t="s">
        <v>464</v>
      </c>
      <c r="B20" s="66" t="s">
        <v>188</v>
      </c>
      <c r="C20" s="420">
        <v>0</v>
      </c>
      <c r="D20" s="393"/>
      <c r="E20" s="397">
        <v>-967519.181293704</v>
      </c>
      <c r="F20" s="95"/>
      <c r="G20" s="397">
        <v>-1466604.79206949</v>
      </c>
      <c r="H20" s="95"/>
      <c r="I20" s="397">
        <v>-1197108.62713482</v>
      </c>
      <c r="J20" s="393"/>
      <c r="K20" s="397">
        <v>-1076648.5374032</v>
      </c>
      <c r="L20" s="393"/>
      <c r="M20" s="525">
        <v>-474526.7827321</v>
      </c>
      <c r="N20" s="393"/>
      <c r="O20" s="398">
        <f t="shared" si="0"/>
        <v>-5182407.920633314</v>
      </c>
    </row>
    <row r="21" spans="1:15" ht="12.75">
      <c r="A21" s="65"/>
      <c r="C21" s="393"/>
      <c r="D21" s="95"/>
      <c r="E21" s="393"/>
      <c r="F21" s="95"/>
      <c r="G21" s="393"/>
      <c r="H21" s="95"/>
      <c r="I21" s="393"/>
      <c r="J21" s="393"/>
      <c r="K21" s="393"/>
      <c r="L21" s="393"/>
      <c r="M21" s="393"/>
      <c r="N21" s="393"/>
      <c r="O21" s="421"/>
    </row>
    <row r="22" spans="1:15" ht="13.5" thickBot="1">
      <c r="A22" s="81" t="s">
        <v>371</v>
      </c>
      <c r="B22" s="34"/>
      <c r="C22" s="399">
        <f>SUM(C11:C20)</f>
        <v>354796</v>
      </c>
      <c r="D22" s="421"/>
      <c r="E22" s="399">
        <f>SUM(E11:E20)</f>
        <v>464477.81870629604</v>
      </c>
      <c r="F22" s="421"/>
      <c r="G22" s="399">
        <f>SUM(G11:G20)</f>
        <v>361846.02663680585</v>
      </c>
      <c r="H22" s="421"/>
      <c r="I22" s="399">
        <f>SUM(I11:I20)</f>
        <v>133647.63781109103</v>
      </c>
      <c r="J22" s="392"/>
      <c r="K22" s="399">
        <f>SUM(K11:K20)</f>
        <v>-73215.64959210902</v>
      </c>
      <c r="L22" s="392"/>
      <c r="M22" s="399">
        <f>SUM(M11:M21)</f>
        <v>-213898.43232420902</v>
      </c>
      <c r="N22" s="392"/>
      <c r="O22" s="447">
        <f>SUM(O11:O20)</f>
        <v>-213898.43232420925</v>
      </c>
    </row>
    <row r="23" spans="1:15" ht="13.5" thickTop="1">
      <c r="A23" s="430"/>
      <c r="B23" s="431"/>
      <c r="C23" s="437"/>
      <c r="D23" s="438"/>
      <c r="E23" s="437"/>
      <c r="F23" s="438"/>
      <c r="G23" s="437"/>
      <c r="H23" s="438"/>
      <c r="I23" s="437"/>
      <c r="J23" s="431"/>
      <c r="K23" s="437"/>
      <c r="L23" s="188"/>
      <c r="M23" s="439"/>
      <c r="N23" s="188"/>
      <c r="O23" s="439"/>
    </row>
    <row r="24" spans="1:15" ht="12.75">
      <c r="A24" s="453"/>
      <c r="B24" s="454"/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6"/>
    </row>
    <row r="25" spans="1:15" ht="12.75">
      <c r="A25" s="430"/>
      <c r="B25" s="431"/>
      <c r="C25" s="457"/>
      <c r="D25" s="457"/>
      <c r="E25" s="457"/>
      <c r="F25" s="457"/>
      <c r="G25" s="457"/>
      <c r="H25" s="457"/>
      <c r="I25" s="457"/>
      <c r="J25" s="458"/>
      <c r="K25" s="457"/>
      <c r="L25" s="459"/>
      <c r="M25" s="460"/>
      <c r="N25" s="459"/>
      <c r="O25" s="460"/>
    </row>
    <row r="26" spans="1:15" ht="12.75">
      <c r="A26" s="430" t="s">
        <v>402</v>
      </c>
      <c r="B26" s="431"/>
      <c r="C26" s="457"/>
      <c r="D26" s="457"/>
      <c r="E26" s="457"/>
      <c r="F26" s="457"/>
      <c r="G26" s="457"/>
      <c r="H26" s="457"/>
      <c r="I26" s="457"/>
      <c r="J26" s="458"/>
      <c r="K26" s="457"/>
      <c r="L26" s="459"/>
      <c r="M26" s="460"/>
      <c r="N26" s="459"/>
      <c r="O26" s="460"/>
    </row>
    <row r="27" spans="1:15" ht="9" customHeight="1">
      <c r="A27" s="430"/>
      <c r="B27" s="431"/>
      <c r="C27" s="431"/>
      <c r="D27" s="431"/>
      <c r="E27" s="431"/>
      <c r="F27" s="431"/>
      <c r="G27" s="431"/>
      <c r="H27" s="431"/>
      <c r="I27" s="431"/>
      <c r="J27" s="431"/>
      <c r="K27" s="432"/>
      <c r="L27" s="188"/>
      <c r="M27" s="188"/>
      <c r="N27" s="188"/>
      <c r="O27" s="188"/>
    </row>
    <row r="28" spans="1:15" ht="12.75">
      <c r="A28" s="430" t="s">
        <v>403</v>
      </c>
      <c r="B28" s="431"/>
      <c r="C28" s="431"/>
      <c r="D28" s="431"/>
      <c r="E28" s="431"/>
      <c r="F28" s="431"/>
      <c r="G28" s="431"/>
      <c r="H28" s="431"/>
      <c r="I28" s="431"/>
      <c r="J28" s="431"/>
      <c r="K28" s="431"/>
      <c r="L28" s="188"/>
      <c r="M28" s="188"/>
      <c r="N28" s="188"/>
      <c r="O28" s="188"/>
    </row>
    <row r="29" spans="1:15" ht="12.75">
      <c r="A29" s="433" t="s">
        <v>404</v>
      </c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188"/>
      <c r="M29" s="188"/>
      <c r="N29" s="188"/>
      <c r="O29" s="188"/>
    </row>
    <row r="30" spans="1:15" ht="9" customHeight="1">
      <c r="A30" s="188"/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188"/>
      <c r="M30" s="188"/>
      <c r="N30" s="188"/>
      <c r="O30" s="188"/>
    </row>
    <row r="31" spans="1:15" ht="12.75">
      <c r="A31" s="448" t="s">
        <v>506</v>
      </c>
      <c r="B31" s="80"/>
      <c r="C31" s="80"/>
      <c r="D31" s="80"/>
      <c r="E31" s="80"/>
      <c r="F31" s="80"/>
      <c r="G31" s="80"/>
      <c r="H31" s="80"/>
      <c r="I31" s="444"/>
      <c r="J31" s="444"/>
      <c r="K31" s="444"/>
      <c r="L31" s="444"/>
      <c r="M31" s="444"/>
      <c r="N31" s="444"/>
      <c r="O31" s="444"/>
    </row>
    <row r="32" spans="1:15" ht="9" customHeight="1">
      <c r="A32" s="449"/>
      <c r="B32" s="449"/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</row>
    <row r="33" spans="1:19" ht="12.75">
      <c r="A33" s="522" t="s">
        <v>405</v>
      </c>
      <c r="B33" s="523"/>
      <c r="C33" s="523"/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422"/>
      <c r="Q33" s="422"/>
      <c r="R33" s="422"/>
      <c r="S33" s="422"/>
    </row>
    <row r="34" spans="1:19" ht="12.75">
      <c r="A34" s="521" t="s">
        <v>406</v>
      </c>
      <c r="B34" s="524"/>
      <c r="C34" s="524"/>
      <c r="D34" s="524"/>
      <c r="E34" s="524"/>
      <c r="F34" s="524"/>
      <c r="G34" s="524"/>
      <c r="H34" s="524"/>
      <c r="I34" s="524"/>
      <c r="J34" s="524"/>
      <c r="K34" s="524"/>
      <c r="L34" s="524"/>
      <c r="M34" s="524"/>
      <c r="N34" s="524"/>
      <c r="O34" s="524"/>
      <c r="P34" s="422"/>
      <c r="Q34" s="422"/>
      <c r="R34" s="422"/>
      <c r="S34" s="422"/>
    </row>
    <row r="35" spans="1:19" ht="12.75">
      <c r="A35" s="521" t="s">
        <v>427</v>
      </c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422"/>
      <c r="Q35" s="422"/>
      <c r="R35" s="422"/>
      <c r="S35" s="422"/>
    </row>
    <row r="36" spans="1:19" ht="12.75">
      <c r="A36" s="521" t="s">
        <v>407</v>
      </c>
      <c r="B36" s="523"/>
      <c r="C36" s="523"/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422"/>
      <c r="Q36" s="422"/>
      <c r="R36" s="422"/>
      <c r="S36" s="422"/>
    </row>
    <row r="37" spans="1:19" ht="12.75">
      <c r="A37" s="434" t="s">
        <v>368</v>
      </c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22"/>
      <c r="Q37" s="422"/>
      <c r="R37" s="422"/>
      <c r="S37" s="422"/>
    </row>
    <row r="38" spans="1:19" ht="12.75">
      <c r="A38" s="434" t="s">
        <v>369</v>
      </c>
      <c r="B38" s="435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22"/>
      <c r="Q38" s="422"/>
      <c r="R38" s="422"/>
      <c r="S38" s="422"/>
    </row>
    <row r="39" spans="1:19" ht="12.75">
      <c r="A39" s="434" t="s">
        <v>408</v>
      </c>
      <c r="B39" s="435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22"/>
      <c r="Q39" s="422"/>
      <c r="R39" s="422"/>
      <c r="S39" s="422"/>
    </row>
    <row r="40" spans="1:19" ht="12.75">
      <c r="A40" s="434" t="s">
        <v>409</v>
      </c>
      <c r="B40" s="435"/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22"/>
      <c r="Q40" s="422"/>
      <c r="R40" s="422"/>
      <c r="S40" s="422"/>
    </row>
    <row r="41" spans="2:19" ht="9" customHeight="1">
      <c r="B41" s="435"/>
      <c r="C41" s="435"/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22"/>
      <c r="Q41" s="422"/>
      <c r="R41" s="422"/>
      <c r="S41" s="422"/>
    </row>
    <row r="42" spans="1:15" ht="12.75">
      <c r="A42" s="436" t="s">
        <v>410</v>
      </c>
      <c r="B42" s="431"/>
      <c r="C42" s="431"/>
      <c r="D42" s="431"/>
      <c r="E42" s="431"/>
      <c r="F42" s="431"/>
      <c r="G42" s="431"/>
      <c r="H42" s="431"/>
      <c r="I42" s="431"/>
      <c r="J42" s="431"/>
      <c r="K42" s="431"/>
      <c r="L42" s="188"/>
      <c r="M42" s="188"/>
      <c r="N42" s="188"/>
      <c r="O42" s="188"/>
    </row>
    <row r="43" spans="1:15" ht="12.75">
      <c r="A43" s="431" t="s">
        <v>411</v>
      </c>
      <c r="B43" s="431"/>
      <c r="C43" s="431"/>
      <c r="D43" s="431"/>
      <c r="E43" s="431"/>
      <c r="F43" s="431"/>
      <c r="G43" s="431"/>
      <c r="H43" s="431"/>
      <c r="I43" s="431"/>
      <c r="J43" s="431"/>
      <c r="K43" s="431"/>
      <c r="L43" s="188"/>
      <c r="M43" s="188"/>
      <c r="N43" s="188"/>
      <c r="O43" s="188"/>
    </row>
    <row r="44" spans="1:15" ht="9" customHeight="1">
      <c r="A44" s="431"/>
      <c r="B44" s="431"/>
      <c r="C44" s="431"/>
      <c r="D44" s="431"/>
      <c r="E44" s="431"/>
      <c r="F44" s="431"/>
      <c r="G44" s="431"/>
      <c r="H44" s="431"/>
      <c r="I44" s="431"/>
      <c r="J44" s="431"/>
      <c r="K44" s="431"/>
      <c r="L44" s="188"/>
      <c r="M44" s="188"/>
      <c r="N44" s="188"/>
      <c r="O44" s="188"/>
    </row>
    <row r="45" spans="1:15" ht="12.75">
      <c r="A45" s="436" t="s">
        <v>412</v>
      </c>
      <c r="B45" s="431"/>
      <c r="C45" s="431"/>
      <c r="D45" s="431"/>
      <c r="E45" s="431"/>
      <c r="F45" s="431"/>
      <c r="G45" s="431"/>
      <c r="H45" s="431"/>
      <c r="I45" s="431"/>
      <c r="J45" s="431"/>
      <c r="K45" s="431"/>
      <c r="L45" s="188"/>
      <c r="M45" s="188"/>
      <c r="N45" s="188"/>
      <c r="O45" s="188"/>
    </row>
    <row r="46" spans="1:15" ht="12.75">
      <c r="A46" s="431" t="s">
        <v>413</v>
      </c>
      <c r="B46" s="431"/>
      <c r="C46" s="431"/>
      <c r="D46" s="431"/>
      <c r="E46" s="431"/>
      <c r="F46" s="431"/>
      <c r="G46" s="431"/>
      <c r="H46" s="431"/>
      <c r="I46" s="431"/>
      <c r="J46" s="431"/>
      <c r="K46" s="431"/>
      <c r="L46" s="188"/>
      <c r="M46" s="188"/>
      <c r="N46" s="188"/>
      <c r="O46" s="188"/>
    </row>
    <row r="47" spans="1:15" ht="9" customHeight="1">
      <c r="A47" s="431"/>
      <c r="B47" s="431"/>
      <c r="C47" s="431"/>
      <c r="D47" s="431"/>
      <c r="E47" s="431"/>
      <c r="F47" s="431"/>
      <c r="G47" s="431"/>
      <c r="H47" s="431"/>
      <c r="I47" s="431"/>
      <c r="J47" s="431"/>
      <c r="K47" s="431"/>
      <c r="L47" s="188"/>
      <c r="M47" s="188"/>
      <c r="N47" s="188"/>
      <c r="O47" s="188"/>
    </row>
    <row r="48" spans="1:15" ht="12.75">
      <c r="A48" s="436" t="s">
        <v>414</v>
      </c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188"/>
      <c r="M48" s="188"/>
      <c r="N48" s="188"/>
      <c r="O48" s="188"/>
    </row>
    <row r="49" spans="1:15" ht="12.75">
      <c r="A49" s="431" t="s">
        <v>415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188"/>
      <c r="M49" s="188"/>
      <c r="N49" s="188"/>
      <c r="O49" s="188"/>
    </row>
    <row r="50" spans="1:15" ht="9" customHeight="1">
      <c r="A50" s="431"/>
      <c r="B50" s="431"/>
      <c r="C50" s="431"/>
      <c r="D50" s="431"/>
      <c r="E50" s="431"/>
      <c r="F50" s="431"/>
      <c r="G50" s="431"/>
      <c r="H50" s="431"/>
      <c r="I50" s="431"/>
      <c r="J50" s="431"/>
      <c r="K50" s="431"/>
      <c r="L50" s="188"/>
      <c r="M50" s="188"/>
      <c r="N50" s="188"/>
      <c r="O50" s="188"/>
    </row>
    <row r="51" spans="1:15" ht="12.75">
      <c r="A51" s="436" t="s">
        <v>416</v>
      </c>
      <c r="B51" s="431"/>
      <c r="C51" s="431"/>
      <c r="D51" s="431"/>
      <c r="E51" s="431"/>
      <c r="F51" s="431"/>
      <c r="G51" s="431"/>
      <c r="H51" s="431"/>
      <c r="I51" s="431"/>
      <c r="J51" s="431"/>
      <c r="K51" s="431"/>
      <c r="L51" s="188"/>
      <c r="M51" s="188"/>
      <c r="N51" s="188"/>
      <c r="O51" s="188"/>
    </row>
    <row r="52" spans="1:15" ht="12.75">
      <c r="A52" s="431" t="s">
        <v>413</v>
      </c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188"/>
      <c r="M52" s="188"/>
      <c r="N52" s="188"/>
      <c r="O52" s="188"/>
    </row>
    <row r="53" spans="1:15" ht="9" customHeight="1">
      <c r="A53" s="436"/>
      <c r="B53" s="431"/>
      <c r="C53" s="431"/>
      <c r="D53" s="431"/>
      <c r="E53" s="431"/>
      <c r="F53" s="431"/>
      <c r="G53" s="431"/>
      <c r="H53" s="431"/>
      <c r="I53" s="431"/>
      <c r="J53" s="431"/>
      <c r="K53" s="431"/>
      <c r="L53" s="188"/>
      <c r="M53" s="188"/>
      <c r="N53" s="188"/>
      <c r="O53" s="188"/>
    </row>
    <row r="54" spans="1:15" ht="12.75">
      <c r="A54" s="431" t="s">
        <v>417</v>
      </c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188"/>
      <c r="M54" s="188"/>
      <c r="N54" s="188"/>
      <c r="O54" s="188"/>
    </row>
    <row r="55" spans="1:15" ht="9" customHeight="1">
      <c r="A55" s="431"/>
      <c r="B55" s="431"/>
      <c r="C55" s="431"/>
      <c r="D55" s="431"/>
      <c r="E55" s="431"/>
      <c r="F55" s="431"/>
      <c r="G55" s="431"/>
      <c r="H55" s="431"/>
      <c r="I55" s="431"/>
      <c r="J55" s="431"/>
      <c r="K55" s="431"/>
      <c r="L55" s="188"/>
      <c r="M55" s="188"/>
      <c r="N55" s="188"/>
      <c r="O55" s="188"/>
    </row>
    <row r="56" spans="1:15" ht="12.75" customHeight="1">
      <c r="A56" s="436" t="s">
        <v>418</v>
      </c>
      <c r="B56" s="431"/>
      <c r="C56" s="431"/>
      <c r="D56" s="431"/>
      <c r="E56" s="431"/>
      <c r="F56" s="431"/>
      <c r="G56" s="431"/>
      <c r="H56" s="431"/>
      <c r="I56" s="431"/>
      <c r="J56" s="431"/>
      <c r="K56" s="431"/>
      <c r="L56" s="188"/>
      <c r="M56" s="188"/>
      <c r="N56" s="188"/>
      <c r="O56" s="188"/>
    </row>
    <row r="57" spans="1:15" ht="9" customHeight="1">
      <c r="A57" s="431"/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188"/>
      <c r="M57" s="188"/>
      <c r="N57" s="188"/>
      <c r="O57" s="188"/>
    </row>
    <row r="58" spans="1:15" ht="12.75">
      <c r="A58" s="431" t="s">
        <v>419</v>
      </c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188"/>
      <c r="M58" s="188"/>
      <c r="N58" s="188"/>
      <c r="O58" s="188"/>
    </row>
    <row r="59" spans="1:15" ht="12.75">
      <c r="A59" s="431" t="s">
        <v>420</v>
      </c>
      <c r="B59" s="431"/>
      <c r="C59" s="431"/>
      <c r="D59" s="431"/>
      <c r="E59" s="431"/>
      <c r="F59" s="431"/>
      <c r="G59" s="431"/>
      <c r="H59" s="431"/>
      <c r="I59" s="431"/>
      <c r="J59" s="431"/>
      <c r="K59" s="431"/>
      <c r="L59" s="188"/>
      <c r="M59" s="188"/>
      <c r="N59" s="188"/>
      <c r="O59" s="188"/>
    </row>
    <row r="60" spans="1:15" ht="12.75">
      <c r="A60" s="431" t="s">
        <v>421</v>
      </c>
      <c r="B60" s="431"/>
      <c r="C60" s="431"/>
      <c r="D60" s="431"/>
      <c r="E60" s="431"/>
      <c r="F60" s="431"/>
      <c r="G60" s="431"/>
      <c r="H60" s="431"/>
      <c r="I60" s="431"/>
      <c r="J60" s="431"/>
      <c r="K60" s="431"/>
      <c r="L60" s="188"/>
      <c r="M60" s="188"/>
      <c r="N60" s="188"/>
      <c r="O60" s="188"/>
    </row>
    <row r="61" spans="1:15" ht="12.75">
      <c r="A61" s="431" t="s">
        <v>378</v>
      </c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188"/>
      <c r="M61" s="188"/>
      <c r="N61" s="188"/>
      <c r="O61" s="188"/>
    </row>
    <row r="62" spans="1:15" ht="9" customHeight="1">
      <c r="A62" s="431"/>
      <c r="B62" s="431"/>
      <c r="C62" s="431"/>
      <c r="D62" s="431"/>
      <c r="E62" s="431"/>
      <c r="F62" s="431"/>
      <c r="G62" s="431"/>
      <c r="H62" s="431"/>
      <c r="I62" s="431"/>
      <c r="J62" s="431"/>
      <c r="K62" s="431"/>
      <c r="L62" s="188"/>
      <c r="M62" s="188"/>
      <c r="N62" s="188"/>
      <c r="O62" s="188"/>
    </row>
    <row r="63" spans="1:15" ht="12.75">
      <c r="A63" s="431" t="s">
        <v>422</v>
      </c>
      <c r="B63" s="431"/>
      <c r="C63" s="431"/>
      <c r="D63" s="431"/>
      <c r="E63" s="431"/>
      <c r="F63" s="431"/>
      <c r="G63" s="431"/>
      <c r="H63" s="431"/>
      <c r="I63" s="431"/>
      <c r="J63" s="431"/>
      <c r="K63" s="431"/>
      <c r="L63" s="188"/>
      <c r="M63" s="188"/>
      <c r="N63" s="188"/>
      <c r="O63" s="188"/>
    </row>
    <row r="64" spans="1:15" ht="12.75">
      <c r="A64" s="431" t="s">
        <v>423</v>
      </c>
      <c r="B64" s="431"/>
      <c r="C64" s="431"/>
      <c r="D64" s="431"/>
      <c r="E64" s="431"/>
      <c r="F64" s="431"/>
      <c r="G64" s="431"/>
      <c r="H64" s="431"/>
      <c r="I64" s="431"/>
      <c r="J64" s="431"/>
      <c r="K64" s="431"/>
      <c r="L64" s="188"/>
      <c r="M64" s="188"/>
      <c r="N64" s="188"/>
      <c r="O64" s="188"/>
    </row>
    <row r="65" spans="1:15" ht="12.75">
      <c r="A65" s="431" t="s">
        <v>380</v>
      </c>
      <c r="B65" s="431"/>
      <c r="C65" s="431"/>
      <c r="D65" s="431"/>
      <c r="E65" s="431"/>
      <c r="F65" s="431"/>
      <c r="G65" s="431"/>
      <c r="H65" s="431"/>
      <c r="I65" s="431"/>
      <c r="J65" s="431"/>
      <c r="K65" s="431"/>
      <c r="L65" s="188"/>
      <c r="M65" s="188"/>
      <c r="N65" s="188"/>
      <c r="O65" s="188"/>
    </row>
    <row r="66" spans="1:15" ht="3.75" customHeight="1">
      <c r="A66" s="431"/>
      <c r="B66" s="431"/>
      <c r="C66" s="431"/>
      <c r="D66" s="431"/>
      <c r="E66" s="431"/>
      <c r="F66" s="431"/>
      <c r="G66" s="431"/>
      <c r="H66" s="431"/>
      <c r="I66" s="431"/>
      <c r="J66" s="431"/>
      <c r="K66" s="431"/>
      <c r="L66" s="188"/>
      <c r="M66" s="188"/>
      <c r="N66" s="188"/>
      <c r="O66" s="188"/>
    </row>
    <row r="67" spans="1:15" ht="12.75">
      <c r="A67" s="431" t="s">
        <v>379</v>
      </c>
      <c r="B67" s="431"/>
      <c r="C67" s="431"/>
      <c r="D67" s="431"/>
      <c r="E67" s="431"/>
      <c r="F67" s="431"/>
      <c r="G67" s="431"/>
      <c r="H67" s="431"/>
      <c r="I67" s="431"/>
      <c r="J67" s="431"/>
      <c r="K67" s="431"/>
      <c r="L67" s="188"/>
      <c r="M67" s="188"/>
      <c r="N67" s="188"/>
      <c r="O67" s="188"/>
    </row>
    <row r="68" spans="1:15" ht="12.75">
      <c r="A68" s="431" t="s">
        <v>381</v>
      </c>
      <c r="B68" s="431"/>
      <c r="C68" s="431"/>
      <c r="D68" s="431"/>
      <c r="E68" s="431"/>
      <c r="F68" s="431"/>
      <c r="G68" s="431"/>
      <c r="H68" s="431"/>
      <c r="I68" s="431"/>
      <c r="J68" s="431"/>
      <c r="K68" s="431"/>
      <c r="L68" s="188"/>
      <c r="M68" s="188"/>
      <c r="N68" s="188"/>
      <c r="O68" s="188"/>
    </row>
    <row r="69" spans="1:15" ht="3.75" customHeight="1">
      <c r="A69" s="431"/>
      <c r="B69" s="431"/>
      <c r="C69" s="431"/>
      <c r="D69" s="431"/>
      <c r="E69" s="431"/>
      <c r="F69" s="431"/>
      <c r="G69" s="431"/>
      <c r="H69" s="431"/>
      <c r="I69" s="431"/>
      <c r="J69" s="431"/>
      <c r="K69" s="431"/>
      <c r="L69" s="188"/>
      <c r="M69" s="188"/>
      <c r="N69" s="188"/>
      <c r="O69" s="188"/>
    </row>
    <row r="70" spans="1:15" ht="12.75">
      <c r="A70" s="431" t="s">
        <v>424</v>
      </c>
      <c r="B70" s="431"/>
      <c r="C70" s="431"/>
      <c r="D70" s="431"/>
      <c r="E70" s="431"/>
      <c r="F70" s="431"/>
      <c r="G70" s="431"/>
      <c r="H70" s="431"/>
      <c r="I70" s="431"/>
      <c r="J70" s="431"/>
      <c r="K70" s="431"/>
      <c r="L70" s="188"/>
      <c r="M70" s="188"/>
      <c r="N70" s="188"/>
      <c r="O70" s="188"/>
    </row>
    <row r="71" spans="1:15" ht="12.75">
      <c r="A71" s="431" t="s">
        <v>425</v>
      </c>
      <c r="B71" s="431"/>
      <c r="C71" s="431"/>
      <c r="D71" s="431"/>
      <c r="E71" s="431"/>
      <c r="F71" s="431"/>
      <c r="G71" s="431"/>
      <c r="H71" s="431"/>
      <c r="I71" s="431"/>
      <c r="J71" s="431"/>
      <c r="K71" s="431"/>
      <c r="L71" s="188"/>
      <c r="M71" s="188"/>
      <c r="N71" s="188"/>
      <c r="O71" s="188"/>
    </row>
    <row r="72" spans="1:15" ht="12.75">
      <c r="A72" s="431" t="s">
        <v>426</v>
      </c>
      <c r="B72" s="431"/>
      <c r="C72" s="431"/>
      <c r="D72" s="431"/>
      <c r="E72" s="431"/>
      <c r="F72" s="431"/>
      <c r="G72" s="431"/>
      <c r="H72" s="431"/>
      <c r="I72" s="431"/>
      <c r="J72" s="431"/>
      <c r="K72" s="431"/>
      <c r="L72" s="188"/>
      <c r="M72" s="188"/>
      <c r="N72" s="188"/>
      <c r="O72" s="188"/>
    </row>
    <row r="73" spans="1:15" ht="9" customHeight="1">
      <c r="A73" s="431"/>
      <c r="B73" s="431"/>
      <c r="C73" s="431"/>
      <c r="D73" s="431"/>
      <c r="E73" s="431"/>
      <c r="F73" s="431"/>
      <c r="G73" s="431"/>
      <c r="H73" s="431"/>
      <c r="I73" s="431"/>
      <c r="J73" s="431"/>
      <c r="K73" s="431"/>
      <c r="L73" s="188"/>
      <c r="M73" s="188"/>
      <c r="N73" s="188"/>
      <c r="O73" s="188"/>
    </row>
    <row r="74" spans="1:15" ht="12.75" customHeight="1">
      <c r="A74" s="521" t="s">
        <v>455</v>
      </c>
      <c r="B74" s="521"/>
      <c r="C74" s="521"/>
      <c r="D74" s="521"/>
      <c r="E74" s="521"/>
      <c r="F74" s="521"/>
      <c r="G74" s="521"/>
      <c r="H74" s="521"/>
      <c r="I74" s="521"/>
      <c r="J74" s="521"/>
      <c r="K74" s="521"/>
      <c r="L74" s="521"/>
      <c r="M74" s="521"/>
      <c r="N74" s="521"/>
      <c r="O74" s="521"/>
    </row>
    <row r="75" spans="1:15" ht="12.75">
      <c r="A75" s="431" t="s">
        <v>370</v>
      </c>
      <c r="B75" s="431"/>
      <c r="C75" s="431"/>
      <c r="D75" s="431"/>
      <c r="E75" s="431"/>
      <c r="F75" s="431"/>
      <c r="G75" s="431"/>
      <c r="H75" s="431"/>
      <c r="I75" s="431"/>
      <c r="J75" s="431"/>
      <c r="K75" s="431"/>
      <c r="L75" s="188"/>
      <c r="M75" s="188"/>
      <c r="N75" s="188"/>
      <c r="O75" s="188"/>
    </row>
    <row r="76" spans="1:15" ht="12.75">
      <c r="A76" s="188"/>
      <c r="B76" s="431"/>
      <c r="C76" s="431"/>
      <c r="D76" s="431"/>
      <c r="E76" s="431"/>
      <c r="F76" s="431"/>
      <c r="G76" s="431"/>
      <c r="H76" s="431"/>
      <c r="I76" s="431"/>
      <c r="J76" s="431"/>
      <c r="K76" s="431"/>
      <c r="L76" s="188"/>
      <c r="M76" s="188"/>
      <c r="N76" s="188"/>
      <c r="O76" s="188"/>
    </row>
    <row r="77" spans="1:15" ht="12.75">
      <c r="A77" s="188"/>
      <c r="B77" s="431"/>
      <c r="C77" s="431"/>
      <c r="D77" s="431"/>
      <c r="E77" s="431"/>
      <c r="F77" s="431"/>
      <c r="G77" s="431"/>
      <c r="H77" s="431"/>
      <c r="I77" s="431"/>
      <c r="J77" s="431"/>
      <c r="K77" s="431"/>
      <c r="L77" s="188"/>
      <c r="M77" s="188"/>
      <c r="N77" s="188"/>
      <c r="O77" s="188"/>
    </row>
    <row r="78" spans="1:17" ht="12.75">
      <c r="A78" s="188"/>
      <c r="B78" s="431"/>
      <c r="C78" s="431"/>
      <c r="D78" s="431"/>
      <c r="E78" s="431"/>
      <c r="F78" s="431"/>
      <c r="G78" s="431"/>
      <c r="H78" s="431"/>
      <c r="I78" s="431"/>
      <c r="J78" s="431"/>
      <c r="K78" s="431"/>
      <c r="L78" s="431"/>
      <c r="M78" s="431"/>
      <c r="N78" s="188"/>
      <c r="O78" s="188"/>
      <c r="P78" s="188"/>
      <c r="Q78" s="188"/>
    </row>
    <row r="79" spans="1:17" ht="12.75">
      <c r="A79" s="188"/>
      <c r="B79" s="431"/>
      <c r="C79" s="431"/>
      <c r="D79" s="431"/>
      <c r="E79" s="431"/>
      <c r="F79" s="431"/>
      <c r="G79" s="431"/>
      <c r="H79" s="431"/>
      <c r="I79" s="431"/>
      <c r="J79" s="431"/>
      <c r="K79" s="431"/>
      <c r="L79" s="431"/>
      <c r="M79" s="431"/>
      <c r="N79" s="188"/>
      <c r="O79" s="188"/>
      <c r="P79" s="188"/>
      <c r="Q79" s="188"/>
    </row>
    <row r="80" spans="1:17" ht="12.75">
      <c r="A80" s="188"/>
      <c r="B80" s="431"/>
      <c r="C80" s="431"/>
      <c r="D80" s="431"/>
      <c r="E80" s="431"/>
      <c r="F80" s="431"/>
      <c r="G80" s="431"/>
      <c r="H80" s="431"/>
      <c r="I80" s="431"/>
      <c r="J80" s="431"/>
      <c r="K80" s="431"/>
      <c r="L80" s="431"/>
      <c r="M80" s="431"/>
      <c r="N80" s="188"/>
      <c r="O80" s="188"/>
      <c r="P80" s="188"/>
      <c r="Q80" s="188"/>
    </row>
    <row r="81" spans="1:17" ht="12.75">
      <c r="A81" s="431"/>
      <c r="B81" s="431"/>
      <c r="C81" s="431"/>
      <c r="D81" s="431"/>
      <c r="E81" s="431"/>
      <c r="F81" s="431"/>
      <c r="G81" s="431"/>
      <c r="H81" s="431"/>
      <c r="I81" s="431"/>
      <c r="J81" s="431"/>
      <c r="K81" s="431"/>
      <c r="L81" s="431"/>
      <c r="M81" s="431"/>
      <c r="N81" s="188"/>
      <c r="O81" s="188"/>
      <c r="P81" s="188"/>
      <c r="Q81" s="188"/>
    </row>
    <row r="82" spans="1:17" ht="12.75">
      <c r="A82" s="188"/>
      <c r="B82" s="188"/>
      <c r="C82" s="431"/>
      <c r="D82" s="431"/>
      <c r="E82" s="431"/>
      <c r="F82" s="431"/>
      <c r="G82" s="431"/>
      <c r="H82" s="431"/>
      <c r="I82" s="431"/>
      <c r="J82" s="431"/>
      <c r="K82" s="431"/>
      <c r="L82" s="431"/>
      <c r="M82" s="431"/>
      <c r="N82" s="188"/>
      <c r="O82" s="188"/>
      <c r="P82" s="188"/>
      <c r="Q82" s="188"/>
    </row>
    <row r="83" spans="1:17" ht="12.75">
      <c r="A83" s="188"/>
      <c r="B83" s="188"/>
      <c r="C83" s="431"/>
      <c r="D83" s="431"/>
      <c r="E83" s="431"/>
      <c r="F83" s="431"/>
      <c r="G83" s="431"/>
      <c r="H83" s="431"/>
      <c r="I83" s="431"/>
      <c r="J83" s="431"/>
      <c r="K83" s="431"/>
      <c r="L83" s="431"/>
      <c r="M83" s="431"/>
      <c r="N83" s="188"/>
      <c r="O83" s="188"/>
      <c r="P83" s="188"/>
      <c r="Q83" s="188"/>
    </row>
    <row r="84" spans="1:17" ht="12.75">
      <c r="A84" s="431"/>
      <c r="B84" s="431"/>
      <c r="C84" s="431"/>
      <c r="D84" s="431"/>
      <c r="E84" s="431"/>
      <c r="F84" s="431"/>
      <c r="G84" s="431"/>
      <c r="H84" s="431"/>
      <c r="I84" s="431"/>
      <c r="J84" s="431"/>
      <c r="K84" s="431"/>
      <c r="L84" s="431"/>
      <c r="M84" s="431"/>
      <c r="N84" s="188"/>
      <c r="O84" s="188"/>
      <c r="P84" s="188"/>
      <c r="Q84" s="188"/>
    </row>
    <row r="85" spans="1:17" ht="12.75">
      <c r="A85" s="188"/>
      <c r="B85" s="431"/>
      <c r="C85" s="431"/>
      <c r="D85" s="431"/>
      <c r="E85" s="431"/>
      <c r="F85" s="431"/>
      <c r="G85" s="431"/>
      <c r="H85" s="431"/>
      <c r="I85" s="431"/>
      <c r="J85" s="431"/>
      <c r="K85" s="431"/>
      <c r="L85" s="431"/>
      <c r="M85" s="431"/>
      <c r="N85" s="188"/>
      <c r="O85" s="188"/>
      <c r="P85" s="188"/>
      <c r="Q85" s="188"/>
    </row>
    <row r="86" spans="1:17" ht="12.75">
      <c r="A86" s="188"/>
      <c r="B86" s="431"/>
      <c r="C86" s="431"/>
      <c r="D86" s="431"/>
      <c r="E86" s="431"/>
      <c r="F86" s="431"/>
      <c r="G86" s="431"/>
      <c r="H86" s="431"/>
      <c r="I86" s="431"/>
      <c r="J86" s="431"/>
      <c r="K86" s="431"/>
      <c r="L86" s="431"/>
      <c r="M86" s="431"/>
      <c r="N86" s="188"/>
      <c r="O86" s="188"/>
      <c r="P86" s="188"/>
      <c r="Q86" s="188"/>
    </row>
    <row r="87" spans="1:17" ht="12.75">
      <c r="A87" s="188"/>
      <c r="B87" s="188"/>
      <c r="C87" s="431"/>
      <c r="D87" s="431"/>
      <c r="E87" s="431"/>
      <c r="F87" s="431"/>
      <c r="G87" s="431"/>
      <c r="H87" s="431"/>
      <c r="I87" s="431"/>
      <c r="J87" s="431"/>
      <c r="K87" s="431"/>
      <c r="L87" s="431"/>
      <c r="M87" s="431"/>
      <c r="N87" s="188"/>
      <c r="O87" s="188"/>
      <c r="P87" s="188"/>
      <c r="Q87" s="188"/>
    </row>
    <row r="88" spans="1:17" ht="12.75">
      <c r="A88" s="188"/>
      <c r="B88" s="188"/>
      <c r="C88" s="431"/>
      <c r="D88" s="431"/>
      <c r="E88" s="431"/>
      <c r="F88" s="431"/>
      <c r="G88" s="431"/>
      <c r="H88" s="431"/>
      <c r="I88" s="431"/>
      <c r="J88" s="431"/>
      <c r="K88" s="431"/>
      <c r="L88" s="431"/>
      <c r="M88" s="431"/>
      <c r="N88" s="188"/>
      <c r="O88" s="188"/>
      <c r="P88" s="188"/>
      <c r="Q88" s="188"/>
    </row>
    <row r="89" spans="1:17" ht="12.75">
      <c r="A89" s="188"/>
      <c r="B89" s="188"/>
      <c r="C89" s="431"/>
      <c r="D89" s="431"/>
      <c r="E89" s="431"/>
      <c r="F89" s="431"/>
      <c r="G89" s="431"/>
      <c r="H89" s="431"/>
      <c r="I89" s="431"/>
      <c r="J89" s="431"/>
      <c r="K89" s="431"/>
      <c r="L89" s="431"/>
      <c r="M89" s="431"/>
      <c r="N89" s="188"/>
      <c r="O89" s="188"/>
      <c r="P89" s="188"/>
      <c r="Q89" s="188"/>
    </row>
    <row r="90" spans="1:17" ht="12.75">
      <c r="A90" s="188"/>
      <c r="B90" s="188"/>
      <c r="C90" s="431"/>
      <c r="D90" s="431"/>
      <c r="E90" s="431"/>
      <c r="F90" s="431"/>
      <c r="G90" s="431"/>
      <c r="H90" s="431"/>
      <c r="I90" s="431"/>
      <c r="J90" s="431"/>
      <c r="K90" s="431"/>
      <c r="L90" s="431"/>
      <c r="M90" s="431"/>
      <c r="N90" s="188"/>
      <c r="O90" s="188"/>
      <c r="P90" s="188"/>
      <c r="Q90" s="188"/>
    </row>
    <row r="91" spans="1:17" ht="12.75">
      <c r="A91" s="188"/>
      <c r="B91" s="188"/>
      <c r="D91" s="431"/>
      <c r="E91" s="431"/>
      <c r="F91" s="431"/>
      <c r="G91" s="431"/>
      <c r="H91" s="431"/>
      <c r="I91" s="431"/>
      <c r="J91" s="431"/>
      <c r="K91" s="431"/>
      <c r="L91" s="431"/>
      <c r="M91" s="431"/>
      <c r="N91" s="188"/>
      <c r="O91" s="188"/>
      <c r="P91" s="188"/>
      <c r="Q91" s="188"/>
    </row>
    <row r="92" spans="1:17" ht="12.75">
      <c r="A92" s="188"/>
      <c r="B92" s="188"/>
      <c r="C92" s="521"/>
      <c r="D92" s="521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</row>
    <row r="93" spans="1:17" ht="12.75">
      <c r="A93" s="188"/>
      <c r="B93" s="188"/>
      <c r="C93" s="431"/>
      <c r="D93" s="431"/>
      <c r="E93" s="431"/>
      <c r="F93" s="431"/>
      <c r="G93" s="431"/>
      <c r="H93" s="431"/>
      <c r="I93" s="431"/>
      <c r="J93" s="431"/>
      <c r="K93" s="431"/>
      <c r="L93" s="431"/>
      <c r="M93" s="431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rmurphy</cp:lastModifiedBy>
  <cp:lastPrinted>2011-11-21T21:23:48Z</cp:lastPrinted>
  <dcterms:created xsi:type="dcterms:W3CDTF">2001-11-07T16:15:53Z</dcterms:created>
  <dcterms:modified xsi:type="dcterms:W3CDTF">2011-11-29T20:59:17Z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