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28" yWindow="65524" windowWidth="8676" windowHeight="9660" activeTab="4"/>
  </bookViews>
  <sheets>
    <sheet name="2002" sheetId="1" r:id="rId1"/>
    <sheet name="2003" sheetId="2" r:id="rId2"/>
    <sheet name="2004" sheetId="3" r:id="rId3"/>
    <sheet name="2005" sheetId="4" r:id="rId4"/>
    <sheet name="2006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'2002'!$A$1:$AF$26</definedName>
    <definedName name="_xlnm.Print_Area" localSheetId="1">'2003'!$A$1:$AF$26</definedName>
    <definedName name="_xlnm.Print_Area" localSheetId="2">'2004'!$A$1:$AF$26</definedName>
    <definedName name="_xlnm.Print_Area" localSheetId="3">'2005'!$A$1:$S$50</definedName>
    <definedName name="_xlnm.Print_Area" localSheetId="4">'2006'!$A$1:$S$26</definedName>
  </definedNames>
  <calcPr fullCalcOnLoad="1"/>
</workbook>
</file>

<file path=xl/sharedStrings.xml><?xml version="1.0" encoding="utf-8"?>
<sst xmlns="http://schemas.openxmlformats.org/spreadsheetml/2006/main" count="655" uniqueCount="47">
  <si>
    <t>(per month)</t>
  </si>
  <si>
    <t>(per kWh)</t>
  </si>
  <si>
    <t>Oakville Hydro Electricity Distribution Inc.</t>
  </si>
  <si>
    <t>Dec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</si>
  <si>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</si>
  <si>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</si>
  <si>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</si>
  <si>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</si>
  <si>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</si>
  <si>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</si>
  <si>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</si>
  <si>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</si>
  <si>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</si>
  <si>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</si>
  <si>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Recovery of PIL's</t>
  </si>
  <si>
    <t>Jan</t>
  </si>
  <si>
    <t xml:space="preserve"> </t>
  </si>
  <si>
    <t>RESID.</t>
  </si>
  <si>
    <t>KWh</t>
  </si>
  <si>
    <t>Monthly</t>
  </si>
  <si>
    <t>Charge</t>
  </si>
  <si>
    <t>Service Charge</t>
  </si>
  <si>
    <t>#</t>
  </si>
  <si>
    <t>$</t>
  </si>
  <si>
    <t>Volume</t>
  </si>
  <si>
    <t>GS &lt; 50 KW</t>
  </si>
  <si>
    <t>GS &gt; 50 KW</t>
  </si>
  <si>
    <t>PILs</t>
  </si>
  <si>
    <t>GS &gt; 1000 KW</t>
  </si>
  <si>
    <t>KW</t>
  </si>
  <si>
    <t>Large User</t>
  </si>
  <si>
    <t>Sentinel</t>
  </si>
  <si>
    <t>Street Lighting</t>
  </si>
  <si>
    <t>(per kW)</t>
  </si>
  <si>
    <t>March 02-Oct 02</t>
  </si>
  <si>
    <t>Nov 02-Mar 04</t>
  </si>
  <si>
    <t>2002 PIL's</t>
  </si>
  <si>
    <t>2003 PIL's</t>
  </si>
  <si>
    <t>Recovery</t>
  </si>
  <si>
    <t>Total</t>
  </si>
  <si>
    <t>2004 PIL's</t>
  </si>
  <si>
    <t xml:space="preserve">Jan </t>
  </si>
  <si>
    <t>April 04 -Dec 04</t>
  </si>
  <si>
    <t>2005 PIL's</t>
  </si>
  <si>
    <t>Old</t>
  </si>
  <si>
    <t>New</t>
  </si>
  <si>
    <t>2006 PIL's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</si>
</sst>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.0000_);_(&quot;$&quot;* \(#,##0.0000\);_(&quot;$&quot;* &quot;-&quot;??_);_(@_)"/>
    <numFmt numFmtId="173" formatCode="_(* #,##0.0000_);_(* \(#,##0.0000\);_(* &quot;-&quot;????_);_(@_)"/>
    <numFmt numFmtId="174" formatCode="_(&quot;$&quot;* #,##0.000_);_(&quot;$&quot;* \(#,##0.000\);_(&quot;$&quot;* &quot;-&quot;??_);_(@_)"/>
    <numFmt numFmtId="175" formatCode="_(* #,##0.00000_);_(* \(#,##0.00000\);_(* &quot;-&quot;????_);_(@_)"/>
    <numFmt numFmtId="176" formatCode="_(* #,##0.000_);_(* \(#,##0.000\);_(* &quot;-&quot;????_);_(@_)"/>
    <numFmt numFmtId="177" formatCode="_(* #,##0.00_);_(* \(#,##0.00\);_(* &quot;-&quot;????_);_(@_)"/>
    <numFmt numFmtId="178" formatCode="_(* #,##0.0_);_(* \(#,##0.0\);_(* &quot;-&quot;??_);_(@_)"/>
    <numFmt numFmtId="179" formatCode="_(* #,##0_);_(* \(#,##0\);_(* &quot;-&quot;??_);_(@_)"/>
    <numFmt numFmtId="180" formatCode="_(&quot;$&quot;* #,##0.0_);_(&quot;$&quot;* \(#,##0.0\);_(&quot;$&quot;* &quot;-&quot;??_);_(@_)"/>
    <numFmt numFmtId="181" formatCode="_(&quot;$&quot;* #,##0.00000_);_(&quot;$&quot;* \(#,##0.00000\);_(&quot;$&quot;* &quot;-&quot;??_);_(@_)"/>
    <numFmt numFmtId="182" formatCode="_(&quot;$&quot;* #,##0.000000_);_(&quot;$&quot;* \(#,##0.000000\);_(&quot;$&quot;* &quot;-&quot;??_);_(@_)"/>
    <numFmt numFmtId="183" formatCode="_(&quot;$&quot;* #,##0.0000000_);_(&quot;$&quot;* \(#,##0.0000000\);_(&quot;$&quot;* &quot;-&quot;??_);_(@_)"/>
    <numFmt numFmtId="184" formatCode="_(* #,##0.000_);_(* \(#,##0.000\);_(* &quot;-&quot;??_);_(@_)"/>
    <numFmt numFmtId="185" formatCode="_(* #,##0.0000_);_(* \(#,##0.0000\);_(* &quot;-&quot;??_);_(@_)"/>
    <numFmt numFmtId="186" formatCode="_-&quot;$&quot;* #,##0.000000_-;\-&quot;$&quot;* #,##0.000000_-;_-&quot;$&quot;* &quot;-&quot;??????_-;_-@_-"/>
    <numFmt numFmtId="187" formatCode="_(* #,##0.00000_);_(* \(#,##0.00000\);_(* &quot;-&quot;??_);_(@_)"/>
    <numFmt numFmtId="188" formatCode="_-* #,##0.00000_-;\-* #,##0.00000_-;_-* &quot;-&quot;?????_-;_-@_-"/>
    <numFmt numFmtId="189" formatCode="_-* #,##0.000000_-;\-* #,##0.000000_-;_-* &quot;-&quot;??????_-;_-@_-"/>
    <numFmt numFmtId="190" formatCode="0.0%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72" fontId="0" fillId="0" borderId="0" xfId="44" applyNumberFormat="1" applyFont="1" applyAlignment="1">
      <alignment/>
    </xf>
    <xf numFmtId="0" fontId="0" fillId="0" borderId="0" xfId="0" applyAlignment="1" quotePrefix="1">
      <alignment/>
    </xf>
    <xf numFmtId="43" fontId="0" fillId="0" borderId="0" xfId="42" applyFont="1" applyAlignment="1">
      <alignment/>
    </xf>
    <xf numFmtId="0" fontId="0" fillId="0" borderId="0" xfId="0" applyAlignment="1" quotePrefix="1">
      <alignment horizontal="center"/>
    </xf>
    <xf numFmtId="44" fontId="1" fillId="0" borderId="0" xfId="0" applyNumberFormat="1" applyFont="1" applyAlignment="1">
      <alignment/>
    </xf>
    <xf numFmtId="16" fontId="0" fillId="0" borderId="0" xfId="0" applyNumberFormat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2" fontId="0" fillId="0" borderId="0" xfId="44" applyNumberFormat="1" applyFont="1" applyAlignment="1">
      <alignment/>
    </xf>
    <xf numFmtId="0" fontId="3" fillId="0" borderId="0" xfId="0" applyFont="1" applyAlignment="1">
      <alignment horizontal="center"/>
    </xf>
    <xf numFmtId="43" fontId="0" fillId="0" borderId="11" xfId="42" applyFont="1" applyBorder="1" applyAlignment="1">
      <alignment/>
    </xf>
    <xf numFmtId="171" fontId="0" fillId="0" borderId="0" xfId="0" applyNumberFormat="1" applyAlignment="1">
      <alignment/>
    </xf>
    <xf numFmtId="179" fontId="0" fillId="0" borderId="0" xfId="42" applyNumberFormat="1" applyFont="1" applyAlignment="1">
      <alignment/>
    </xf>
    <xf numFmtId="179" fontId="0" fillId="0" borderId="11" xfId="42" applyNumberFormat="1" applyFont="1" applyBorder="1" applyAlignment="1">
      <alignment/>
    </xf>
    <xf numFmtId="179" fontId="0" fillId="0" borderId="0" xfId="0" applyNumberFormat="1" applyAlignment="1">
      <alignment/>
    </xf>
    <xf numFmtId="181" fontId="0" fillId="0" borderId="0" xfId="44" applyNumberFormat="1" applyFont="1" applyAlignment="1">
      <alignment/>
    </xf>
    <xf numFmtId="0" fontId="3" fillId="0" borderId="0" xfId="0" applyFont="1" applyAlignment="1">
      <alignment horizontal="center"/>
    </xf>
    <xf numFmtId="169" fontId="0" fillId="0" borderId="0" xfId="0" applyNumberFormat="1" applyAlignment="1">
      <alignment/>
    </xf>
    <xf numFmtId="185" fontId="0" fillId="0" borderId="0" xfId="42" applyNumberFormat="1" applyFont="1" applyAlignment="1">
      <alignment/>
    </xf>
    <xf numFmtId="0" fontId="0" fillId="0" borderId="0" xfId="0" applyFont="1" applyAlignment="1">
      <alignment/>
    </xf>
    <xf numFmtId="187" fontId="0" fillId="0" borderId="0" xfId="42" applyNumberFormat="1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171" fontId="0" fillId="0" borderId="11" xfId="0" applyNumberForma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 quotePrefix="1">
      <alignment horizontal="left"/>
    </xf>
    <xf numFmtId="43" fontId="0" fillId="0" borderId="0" xfId="42" applyFont="1" applyFill="1" applyAlignment="1">
      <alignment/>
    </xf>
    <xf numFmtId="0" fontId="0" fillId="0" borderId="0" xfId="0" applyFill="1" applyAlignment="1">
      <alignment/>
    </xf>
    <xf numFmtId="171" fontId="0" fillId="0" borderId="0" xfId="0" applyNumberFormat="1" applyFill="1" applyAlignment="1">
      <alignment/>
    </xf>
    <xf numFmtId="0" fontId="0" fillId="0" borderId="0" xfId="0" applyFill="1" applyAlignment="1" quotePrefix="1">
      <alignment horizontal="left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 quotePrefix="1">
      <alignment/>
    </xf>
    <xf numFmtId="43" fontId="0" fillId="0" borderId="11" xfId="42" applyFont="1" applyFill="1" applyBorder="1" applyAlignment="1">
      <alignment/>
    </xf>
    <xf numFmtId="44" fontId="1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14" fontId="0" fillId="0" borderId="0" xfId="0" applyNumberFormat="1" applyFill="1" applyAlignment="1">
      <alignment/>
    </xf>
    <xf numFmtId="0" fontId="0" fillId="0" borderId="0" xfId="0" applyFont="1" applyAlignment="1">
      <alignment/>
    </xf>
    <xf numFmtId="10" fontId="0" fillId="0" borderId="0" xfId="57" applyNumberFormat="1" applyFont="1" applyAlignment="1">
      <alignment/>
    </xf>
    <xf numFmtId="43" fontId="0" fillId="0" borderId="0" xfId="42" applyFont="1" applyFill="1" applyAlignment="1">
      <alignment/>
    </xf>
    <xf numFmtId="170" fontId="0" fillId="0" borderId="0" xfId="0" applyNumberFormat="1" applyAlignment="1">
      <alignment/>
    </xf>
    <xf numFmtId="43" fontId="0" fillId="0" borderId="0" xfId="42" applyFont="1" applyFill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tes%20&amp;%20OEB%20matters\RATE%20SUBMISSION\2012%20Rate%20Submission\PILS\Backup\PILS%20Recovery\2002%202003%20PILS%20Recove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tes%20&amp;%20OEB%20matters\RATE%20SUBMISSION\2012%20Rate%20Submission\PILS\Backup\PILS%20Recovery\2004%20Recovery%20of%20PIL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ates%20&amp;%20OEB%20matters\RATE%20SUBMISSION\2012%20Rate%20Submission\PILS\Backup\PILS%20Recovery\2005%20Recovery%20of%20PILs%20with%20New%20Rat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ates%20&amp;%20OEB%20matters\RATE%20SUBMISSION\2012%20Rate%20Submission\PILS\Backup\PILS%20Recovery\2006%20Recovery%20of%20PILs%20with%20New%20Rat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ource1\Shared%20Data\FINANCE\Statistics\2005%20EDI%20KWH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ource1\Shared%20Data\FINANCE\Statistics\2004%20EDI%20KW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ource1\Shared%20Data\FINANCE\Statistics\2003%20Statistic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source1\Shared%20Data\FINANCE\Statistics\2002%20EDI%20KW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YE Balances"/>
      <sheetName val="Summary of PIls"/>
      <sheetName val="Summary"/>
      <sheetName val="detai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PIls (2)"/>
      <sheetName val="Summary of PIls"/>
      <sheetName val="Summary-for new rates"/>
      <sheetName val="Summary-for old rates"/>
      <sheetName val="details-input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6JE"/>
      <sheetName val="GL vs OEB1562"/>
      <sheetName val="PILS Billed"/>
      <sheetName val="Year Summary"/>
      <sheetName val="PILS Int Adj"/>
      <sheetName val="PILS Int Adj (2)"/>
      <sheetName val="GL PILS Int"/>
      <sheetName val="details-input "/>
      <sheetName val="Revised Summary"/>
      <sheetName val="Summary of PIls"/>
      <sheetName val="Summary- rates"/>
      <sheetName val="YE Analysis"/>
      <sheetName val="Summary of PIls (2)"/>
      <sheetName val="Summary of PIls (3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06 Rates New Calc"/>
      <sheetName val="2006 Rates New Calc (2)"/>
      <sheetName val="Analysis"/>
      <sheetName val="Old PILs New Open Bal "/>
      <sheetName val="Summary of PILs New Open Bal"/>
      <sheetName val="JE 7-4"/>
      <sheetName val="August"/>
      <sheetName val="Rev Int Jan to Oct"/>
      <sheetName val="Summary of PIls"/>
      <sheetName val="Summary of PILS re SIMPIL"/>
      <sheetName val="Notes"/>
      <sheetName val="Summary of PIls (3)"/>
      <sheetName val="Adj re new rates"/>
      <sheetName val="Summary- rates"/>
      <sheetName val="details-input "/>
      <sheetName val="Summary of MARR"/>
      <sheetName val="Marr Rates"/>
      <sheetName val="2005 Marr GL"/>
      <sheetName val="Summary of PIls (2)"/>
      <sheetName val="Year Summar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Data Input"/>
      <sheetName val="2005 New Rates Only"/>
      <sheetName val="Data Inp for New Rates"/>
      <sheetName val="Petro"/>
      <sheetName val="2004"/>
      <sheetName val="Sheet1"/>
      <sheetName val="Sheet2"/>
      <sheetName val="Budget"/>
      <sheetName val="2005 Accrual vs. Actual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2004 DATA"/>
      <sheetName val="RSVA"/>
      <sheetName val="dat entry error"/>
      <sheetName val="Sheet1"/>
      <sheetName val="Sheet2"/>
      <sheetName val="Budge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wh kw"/>
      <sheetName val="Revenue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 1"/>
      <sheetName val="Summary"/>
      <sheetName val="Mod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"/>
  <sheetViews>
    <sheetView view="pageLayout" workbookViewId="0" topLeftCell="A6">
      <selection activeCell="C32" sqref="C32"/>
    </sheetView>
  </sheetViews>
  <sheetFormatPr defaultColWidth="9.140625" defaultRowHeight="12.75"/>
  <cols>
    <col min="1" max="1" width="2.421875" style="0" customWidth="1"/>
    <col min="2" max="2" width="12.421875" style="0" bestFit="1" customWidth="1"/>
    <col min="3" max="3" width="15.00390625" style="0" bestFit="1" customWidth="1"/>
    <col min="4" max="4" width="13.57421875" style="0" bestFit="1" customWidth="1"/>
    <col min="5" max="5" width="11.28125" style="0" bestFit="1" customWidth="1"/>
    <col min="6" max="6" width="13.57421875" style="0" bestFit="1" customWidth="1"/>
    <col min="7" max="7" width="15.00390625" style="0" bestFit="1" customWidth="1"/>
    <col min="8" max="8" width="13.57421875" style="0" bestFit="1" customWidth="1"/>
    <col min="9" max="9" width="11.7109375" style="0" bestFit="1" customWidth="1"/>
    <col min="10" max="10" width="16.140625" style="0" bestFit="1" customWidth="1"/>
    <col min="11" max="11" width="12.8515625" style="0" bestFit="1" customWidth="1"/>
    <col min="12" max="12" width="13.57421875" style="0" bestFit="1" customWidth="1"/>
    <col min="13" max="13" width="11.7109375" style="0" bestFit="1" customWidth="1"/>
    <col min="14" max="14" width="13.57421875" style="0" bestFit="1" customWidth="1"/>
    <col min="15" max="18" width="13.8515625" style="0" bestFit="1" customWidth="1"/>
    <col min="19" max="19" width="11.28125" style="0" bestFit="1" customWidth="1"/>
    <col min="20" max="20" width="13.57421875" style="0" bestFit="1" customWidth="1"/>
    <col min="21" max="21" width="11.28125" style="0" bestFit="1" customWidth="1"/>
    <col min="22" max="22" width="13.57421875" style="0" bestFit="1" customWidth="1"/>
    <col min="23" max="23" width="10.28125" style="0" bestFit="1" customWidth="1"/>
    <col min="24" max="24" width="13.57421875" style="0" bestFit="1" customWidth="1"/>
    <col min="25" max="25" width="10.7109375" style="0" bestFit="1" customWidth="1"/>
    <col min="26" max="26" width="13.57421875" style="0" bestFit="1" customWidth="1"/>
    <col min="27" max="27" width="13.7109375" style="0" customWidth="1"/>
    <col min="28" max="28" width="13.8515625" style="0" customWidth="1"/>
    <col min="29" max="29" width="13.140625" style="0" bestFit="1" customWidth="1"/>
    <col min="30" max="30" width="13.57421875" style="0" bestFit="1" customWidth="1"/>
    <col min="31" max="31" width="16.140625" style="0" hidden="1" customWidth="1"/>
    <col min="32" max="32" width="13.140625" style="0" bestFit="1" customWidth="1"/>
  </cols>
  <sheetData>
    <row r="1" spans="1:2" ht="15">
      <c r="A1" s="2" t="s">
        <v>2</v>
      </c>
      <c r="B1" s="30"/>
    </row>
    <row r="2" spans="1:18" ht="15">
      <c r="A2" s="2" t="s">
        <v>14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22" ht="15">
      <c r="A3" s="1"/>
      <c r="B3" s="2" t="s">
        <v>36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3"/>
      <c r="R3" s="3"/>
      <c r="U3" s="3"/>
      <c r="V3" s="3"/>
    </row>
    <row r="4" spans="5:30" ht="12.75">
      <c r="E4" s="10" t="s">
        <v>27</v>
      </c>
      <c r="F4" s="10" t="s">
        <v>27</v>
      </c>
      <c r="G4" s="3"/>
      <c r="H4" s="3"/>
      <c r="I4" s="10" t="s">
        <v>27</v>
      </c>
      <c r="J4" s="10" t="s">
        <v>27</v>
      </c>
      <c r="K4" s="3"/>
      <c r="L4" s="3"/>
      <c r="M4" s="10" t="s">
        <v>27</v>
      </c>
      <c r="N4" s="10" t="s">
        <v>27</v>
      </c>
      <c r="O4" s="3"/>
      <c r="P4" s="3"/>
      <c r="Q4" s="10" t="s">
        <v>27</v>
      </c>
      <c r="R4" s="10" t="s">
        <v>27</v>
      </c>
      <c r="U4" s="10" t="s">
        <v>27</v>
      </c>
      <c r="V4" s="10" t="s">
        <v>27</v>
      </c>
      <c r="Y4" s="10" t="s">
        <v>27</v>
      </c>
      <c r="Z4" s="10" t="s">
        <v>27</v>
      </c>
      <c r="AC4" s="10" t="s">
        <v>27</v>
      </c>
      <c r="AD4" s="10" t="s">
        <v>27</v>
      </c>
    </row>
    <row r="5" spans="5:30" ht="12.75">
      <c r="E5" s="18" t="s">
        <v>1</v>
      </c>
      <c r="F5" s="18" t="s">
        <v>0</v>
      </c>
      <c r="H5" s="3"/>
      <c r="I5" s="18" t="s">
        <v>1</v>
      </c>
      <c r="J5" s="18" t="s">
        <v>0</v>
      </c>
      <c r="K5" s="3"/>
      <c r="L5" s="3"/>
      <c r="M5" s="25" t="s">
        <v>33</v>
      </c>
      <c r="N5" s="18" t="s">
        <v>0</v>
      </c>
      <c r="O5" s="3"/>
      <c r="P5" s="3"/>
      <c r="Q5" s="25" t="s">
        <v>33</v>
      </c>
      <c r="R5" s="18" t="s">
        <v>0</v>
      </c>
      <c r="S5" s="3"/>
      <c r="U5" s="25" t="s">
        <v>33</v>
      </c>
      <c r="V5" s="18" t="s">
        <v>0</v>
      </c>
      <c r="Y5" s="25" t="s">
        <v>33</v>
      </c>
      <c r="Z5" s="18" t="s">
        <v>0</v>
      </c>
      <c r="AC5" s="25" t="s">
        <v>33</v>
      </c>
      <c r="AD5" s="18" t="s">
        <v>0</v>
      </c>
    </row>
    <row r="6" spans="4:31" ht="12.75">
      <c r="D6" s="33" t="s">
        <v>34</v>
      </c>
      <c r="E6" s="17">
        <v>0.002261</v>
      </c>
      <c r="F6" s="4">
        <v>2.99809</v>
      </c>
      <c r="H6" s="3"/>
      <c r="I6" s="17">
        <v>0.001951</v>
      </c>
      <c r="J6" s="4">
        <v>7.0374</v>
      </c>
      <c r="K6" s="3"/>
      <c r="L6" s="3"/>
      <c r="M6" s="17">
        <v>0.37409400000000004</v>
      </c>
      <c r="N6" s="4">
        <v>46.48</v>
      </c>
      <c r="O6" s="3"/>
      <c r="P6" s="3"/>
      <c r="Q6" s="17">
        <v>0.22386299999999998</v>
      </c>
      <c r="R6" s="4">
        <v>539.6226</v>
      </c>
      <c r="S6" s="3"/>
      <c r="U6" s="17">
        <v>0.48341100000000004</v>
      </c>
      <c r="V6" s="4">
        <v>2479.8941</v>
      </c>
      <c r="Y6" s="17">
        <v>0.017759</v>
      </c>
      <c r="Z6" s="24">
        <v>0.009000000000000001</v>
      </c>
      <c r="AC6" s="17">
        <v>0.32316</v>
      </c>
      <c r="AD6" s="24">
        <v>0.0758</v>
      </c>
      <c r="AE6" s="26">
        <v>0</v>
      </c>
    </row>
    <row r="7" spans="4:31" ht="12.75">
      <c r="D7" s="33" t="s">
        <v>35</v>
      </c>
      <c r="E7" s="17">
        <v>0.00236</v>
      </c>
      <c r="F7" s="4">
        <v>3.1301</v>
      </c>
      <c r="H7" s="3"/>
      <c r="I7" s="17">
        <v>0.002037</v>
      </c>
      <c r="J7" s="4">
        <v>7.3475</v>
      </c>
      <c r="K7" s="3"/>
      <c r="L7" s="3"/>
      <c r="M7" s="17">
        <v>0.39058000000000004</v>
      </c>
      <c r="N7" s="4">
        <v>48.528400000000005</v>
      </c>
      <c r="O7" s="3"/>
      <c r="P7" s="3"/>
      <c r="Q7" s="17">
        <v>0.233728</v>
      </c>
      <c r="R7" s="4">
        <v>563.4035</v>
      </c>
      <c r="S7" s="3"/>
      <c r="U7" s="17">
        <v>0.983721</v>
      </c>
      <c r="V7" s="4">
        <v>2958.5604000000003</v>
      </c>
      <c r="Y7" s="17">
        <v>0.018541000000000002</v>
      </c>
      <c r="Z7" s="24">
        <v>0.0094</v>
      </c>
      <c r="AC7" s="17">
        <v>0.33740099999999995</v>
      </c>
      <c r="AD7" s="24">
        <v>0.07919999999999999</v>
      </c>
      <c r="AE7" s="26">
        <v>0</v>
      </c>
    </row>
    <row r="8" spans="3:32" s="16" customFormat="1" ht="12.75">
      <c r="C8" s="16" t="s">
        <v>17</v>
      </c>
      <c r="D8" s="16" t="s">
        <v>17</v>
      </c>
      <c r="E8" s="16" t="s">
        <v>17</v>
      </c>
      <c r="F8" s="16" t="s">
        <v>17</v>
      </c>
      <c r="G8" s="16" t="s">
        <v>25</v>
      </c>
      <c r="H8" s="16" t="s">
        <v>25</v>
      </c>
      <c r="I8" s="16" t="s">
        <v>25</v>
      </c>
      <c r="J8" s="16" t="s">
        <v>25</v>
      </c>
      <c r="K8" s="16" t="s">
        <v>26</v>
      </c>
      <c r="L8" s="16" t="s">
        <v>26</v>
      </c>
      <c r="M8" s="16" t="s">
        <v>26</v>
      </c>
      <c r="N8" s="16" t="s">
        <v>26</v>
      </c>
      <c r="O8" s="16" t="s">
        <v>28</v>
      </c>
      <c r="P8" s="16" t="s">
        <v>28</v>
      </c>
      <c r="Q8" s="16" t="s">
        <v>28</v>
      </c>
      <c r="R8" s="16" t="s">
        <v>28</v>
      </c>
      <c r="S8" s="16" t="s">
        <v>30</v>
      </c>
      <c r="T8" s="16" t="s">
        <v>30</v>
      </c>
      <c r="U8" s="16" t="s">
        <v>30</v>
      </c>
      <c r="V8" s="16" t="s">
        <v>30</v>
      </c>
      <c r="W8" s="16" t="s">
        <v>31</v>
      </c>
      <c r="X8" s="16" t="s">
        <v>31</v>
      </c>
      <c r="Y8" s="16" t="s">
        <v>31</v>
      </c>
      <c r="Z8" s="16" t="s">
        <v>31</v>
      </c>
      <c r="AA8" s="16" t="s">
        <v>32</v>
      </c>
      <c r="AB8" s="16" t="s">
        <v>32</v>
      </c>
      <c r="AC8" s="16" t="s">
        <v>32</v>
      </c>
      <c r="AD8" s="16" t="s">
        <v>32</v>
      </c>
      <c r="AF8" s="16" t="s">
        <v>39</v>
      </c>
    </row>
    <row r="9" spans="1:32" s="11" customFormat="1" ht="12.75">
      <c r="A9" s="16"/>
      <c r="D9" s="15" t="s">
        <v>19</v>
      </c>
      <c r="E9" s="15" t="s">
        <v>24</v>
      </c>
      <c r="F9" s="15" t="s">
        <v>19</v>
      </c>
      <c r="H9" s="15" t="s">
        <v>19</v>
      </c>
      <c r="I9" s="15" t="s">
        <v>24</v>
      </c>
      <c r="J9" s="15" t="s">
        <v>19</v>
      </c>
      <c r="L9" s="15" t="s">
        <v>19</v>
      </c>
      <c r="M9" s="15" t="s">
        <v>24</v>
      </c>
      <c r="N9" s="15" t="s">
        <v>19</v>
      </c>
      <c r="P9" s="15" t="s">
        <v>19</v>
      </c>
      <c r="Q9" s="15" t="s">
        <v>24</v>
      </c>
      <c r="R9" s="15" t="s">
        <v>19</v>
      </c>
      <c r="T9" s="15" t="s">
        <v>19</v>
      </c>
      <c r="U9" s="15" t="s">
        <v>24</v>
      </c>
      <c r="V9" s="15" t="s">
        <v>19</v>
      </c>
      <c r="X9" s="15" t="s">
        <v>19</v>
      </c>
      <c r="Y9" s="15" t="s">
        <v>24</v>
      </c>
      <c r="Z9" s="15" t="s">
        <v>19</v>
      </c>
      <c r="AB9" s="15" t="s">
        <v>19</v>
      </c>
      <c r="AC9" s="15" t="s">
        <v>24</v>
      </c>
      <c r="AD9" s="15" t="s">
        <v>19</v>
      </c>
      <c r="AF9" s="10" t="s">
        <v>27</v>
      </c>
    </row>
    <row r="10" spans="3:32" s="11" customFormat="1" ht="12.75">
      <c r="C10" s="15" t="s">
        <v>20</v>
      </c>
      <c r="D10" s="15" t="s">
        <v>21</v>
      </c>
      <c r="E10" s="15" t="s">
        <v>20</v>
      </c>
      <c r="F10" s="15" t="s">
        <v>21</v>
      </c>
      <c r="G10" s="15" t="s">
        <v>20</v>
      </c>
      <c r="H10" s="15" t="s">
        <v>21</v>
      </c>
      <c r="I10" s="15" t="s">
        <v>20</v>
      </c>
      <c r="J10" s="15" t="s">
        <v>21</v>
      </c>
      <c r="K10" s="15" t="s">
        <v>20</v>
      </c>
      <c r="L10" s="15" t="s">
        <v>21</v>
      </c>
      <c r="M10" s="15" t="s">
        <v>20</v>
      </c>
      <c r="N10" s="15" t="s">
        <v>21</v>
      </c>
      <c r="O10" s="15" t="s">
        <v>20</v>
      </c>
      <c r="P10" s="15" t="s">
        <v>21</v>
      </c>
      <c r="Q10" s="15" t="s">
        <v>20</v>
      </c>
      <c r="R10" s="15" t="s">
        <v>21</v>
      </c>
      <c r="S10" s="15" t="s">
        <v>20</v>
      </c>
      <c r="T10" s="15" t="s">
        <v>21</v>
      </c>
      <c r="U10" s="15" t="s">
        <v>20</v>
      </c>
      <c r="V10" s="15" t="s">
        <v>21</v>
      </c>
      <c r="W10" s="15" t="s">
        <v>20</v>
      </c>
      <c r="X10" s="15" t="s">
        <v>21</v>
      </c>
      <c r="Y10" s="15" t="s">
        <v>20</v>
      </c>
      <c r="Z10" s="15" t="s">
        <v>21</v>
      </c>
      <c r="AA10" s="15" t="s">
        <v>20</v>
      </c>
      <c r="AB10" s="15" t="s">
        <v>21</v>
      </c>
      <c r="AC10" s="15" t="s">
        <v>20</v>
      </c>
      <c r="AD10" s="15" t="s">
        <v>21</v>
      </c>
      <c r="AF10" s="16" t="s">
        <v>38</v>
      </c>
    </row>
    <row r="11" spans="1:32" s="13" customFormat="1" ht="15">
      <c r="A11" s="12"/>
      <c r="B11" s="1" t="s">
        <v>36</v>
      </c>
      <c r="C11" s="14" t="s">
        <v>18</v>
      </c>
      <c r="D11" s="14" t="s">
        <v>22</v>
      </c>
      <c r="E11" s="14" t="s">
        <v>23</v>
      </c>
      <c r="F11" s="14" t="s">
        <v>23</v>
      </c>
      <c r="G11" s="14" t="s">
        <v>18</v>
      </c>
      <c r="H11" s="14" t="s">
        <v>22</v>
      </c>
      <c r="I11" s="14" t="s">
        <v>23</v>
      </c>
      <c r="J11" s="14" t="s">
        <v>23</v>
      </c>
      <c r="K11" s="14" t="s">
        <v>29</v>
      </c>
      <c r="L11" s="14" t="s">
        <v>22</v>
      </c>
      <c r="M11" s="14" t="s">
        <v>23</v>
      </c>
      <c r="N11" s="14" t="s">
        <v>23</v>
      </c>
      <c r="O11" s="14" t="s">
        <v>29</v>
      </c>
      <c r="P11" s="14" t="s">
        <v>22</v>
      </c>
      <c r="Q11" s="14" t="s">
        <v>23</v>
      </c>
      <c r="R11" s="14" t="s">
        <v>23</v>
      </c>
      <c r="S11" s="14" t="s">
        <v>29</v>
      </c>
      <c r="T11" s="14" t="s">
        <v>22</v>
      </c>
      <c r="U11" s="14" t="s">
        <v>23</v>
      </c>
      <c r="V11" s="14" t="s">
        <v>23</v>
      </c>
      <c r="W11" s="14" t="s">
        <v>29</v>
      </c>
      <c r="X11" s="14" t="s">
        <v>22</v>
      </c>
      <c r="Y11" s="14" t="s">
        <v>23</v>
      </c>
      <c r="Z11" s="14" t="s">
        <v>23</v>
      </c>
      <c r="AA11" s="14" t="s">
        <v>29</v>
      </c>
      <c r="AB11" s="14" t="s">
        <v>22</v>
      </c>
      <c r="AC11" s="14" t="s">
        <v>23</v>
      </c>
      <c r="AD11" s="14" t="s">
        <v>23</v>
      </c>
      <c r="AF11" s="31"/>
    </row>
    <row r="12" spans="1:28" ht="15">
      <c r="A12" s="12"/>
      <c r="B12" s="13"/>
      <c r="E12" s="10"/>
      <c r="F12" s="10"/>
      <c r="H12" s="9"/>
      <c r="I12" s="9"/>
      <c r="J12" s="7"/>
      <c r="K12" s="9"/>
      <c r="L12" s="7"/>
      <c r="M12" s="7"/>
      <c r="N12" s="7"/>
      <c r="O12" s="9"/>
      <c r="P12" s="9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32" ht="15">
      <c r="A13" s="12"/>
      <c r="B13" s="13" t="s">
        <v>15</v>
      </c>
      <c r="C13" s="6">
        <v>0</v>
      </c>
      <c r="D13" s="21">
        <v>0</v>
      </c>
      <c r="E13" s="6">
        <f>C13*$E$6</f>
        <v>0</v>
      </c>
      <c r="F13" s="6">
        <f>D13*$F$6</f>
        <v>0</v>
      </c>
      <c r="G13" s="6">
        <v>0</v>
      </c>
      <c r="H13" s="21">
        <v>0</v>
      </c>
      <c r="I13" s="6">
        <f>G13*$I$6</f>
        <v>0</v>
      </c>
      <c r="J13" s="6">
        <f>H13*$J$6</f>
        <v>0</v>
      </c>
      <c r="K13" s="6">
        <v>0</v>
      </c>
      <c r="L13" s="21">
        <v>0</v>
      </c>
      <c r="M13" s="6">
        <f>K13*$M$6</f>
        <v>0</v>
      </c>
      <c r="N13" s="21">
        <f>L13*$N$6</f>
        <v>0</v>
      </c>
      <c r="O13" s="6">
        <v>0</v>
      </c>
      <c r="P13" s="21">
        <v>0</v>
      </c>
      <c r="Q13" s="6">
        <f>O13*$Q$6</f>
        <v>0</v>
      </c>
      <c r="R13" s="21">
        <f>P13*$R$6</f>
        <v>0</v>
      </c>
      <c r="S13" s="6">
        <v>0</v>
      </c>
      <c r="T13" s="21">
        <v>0</v>
      </c>
      <c r="U13" s="6">
        <f>S13*$U$6</f>
        <v>0</v>
      </c>
      <c r="V13" s="21">
        <f>T13*$V$6</f>
        <v>0</v>
      </c>
      <c r="W13" s="6">
        <v>0</v>
      </c>
      <c r="X13" s="21">
        <v>0</v>
      </c>
      <c r="Y13" s="6">
        <f>W13*$Y$6</f>
        <v>0</v>
      </c>
      <c r="Z13" s="21">
        <f>X13*$Z$6</f>
        <v>0</v>
      </c>
      <c r="AA13" s="6">
        <v>0</v>
      </c>
      <c r="AB13" s="21">
        <v>0</v>
      </c>
      <c r="AC13" s="6">
        <f>AA13*$AC$6</f>
        <v>0</v>
      </c>
      <c r="AD13" s="21">
        <f>AB13*$AD$6</f>
        <v>0</v>
      </c>
      <c r="AF13" s="20">
        <f>E13+F13+I13+J13+M13+N13+Q13+R13+U13+V13+Y13+Z13+AC13+AD13</f>
        <v>0</v>
      </c>
    </row>
    <row r="14" spans="1:32" ht="15">
      <c r="A14" s="12"/>
      <c r="B14" s="13" t="s">
        <v>4</v>
      </c>
      <c r="C14" s="6">
        <v>0</v>
      </c>
      <c r="D14" s="21">
        <v>0</v>
      </c>
      <c r="E14" s="6">
        <f aca="true" t="shared" si="0" ref="E14:E22">C14*$E$6</f>
        <v>0</v>
      </c>
      <c r="F14" s="6">
        <f aca="true" t="shared" si="1" ref="F14:F22">D14*$F$6</f>
        <v>0</v>
      </c>
      <c r="G14" s="6">
        <v>0</v>
      </c>
      <c r="H14" s="21">
        <v>0</v>
      </c>
      <c r="I14" s="6">
        <f aca="true" t="shared" si="2" ref="I14:I22">G14*$I$6</f>
        <v>0</v>
      </c>
      <c r="J14" s="6">
        <f aca="true" t="shared" si="3" ref="J14:J22">H14*$J$6</f>
        <v>0</v>
      </c>
      <c r="K14" s="6">
        <v>0</v>
      </c>
      <c r="L14" s="21">
        <v>0</v>
      </c>
      <c r="M14" s="6">
        <f aca="true" t="shared" si="4" ref="M14:M22">K14*$M$6</f>
        <v>0</v>
      </c>
      <c r="N14" s="21">
        <f aca="true" t="shared" si="5" ref="N14:N22">L14*$N$6</f>
        <v>0</v>
      </c>
      <c r="O14" s="6">
        <v>0</v>
      </c>
      <c r="P14" s="21">
        <v>0</v>
      </c>
      <c r="Q14" s="6">
        <f aca="true" t="shared" si="6" ref="Q14:Q22">O14*$Q$6</f>
        <v>0</v>
      </c>
      <c r="R14" s="21">
        <f aca="true" t="shared" si="7" ref="R14:R22">P14*$R$6</f>
        <v>0</v>
      </c>
      <c r="S14" s="6">
        <v>0</v>
      </c>
      <c r="T14" s="21">
        <v>0</v>
      </c>
      <c r="U14" s="6">
        <f aca="true" t="shared" si="8" ref="U14:U22">S14*$U$6</f>
        <v>0</v>
      </c>
      <c r="V14" s="21">
        <f aca="true" t="shared" si="9" ref="V14:V22">T14*$V$6</f>
        <v>0</v>
      </c>
      <c r="W14" s="6">
        <v>0</v>
      </c>
      <c r="X14" s="21">
        <v>0</v>
      </c>
      <c r="Y14" s="6">
        <f aca="true" t="shared" si="10" ref="Y14:Y22">W14*$Y$6</f>
        <v>0</v>
      </c>
      <c r="Z14" s="21">
        <f aca="true" t="shared" si="11" ref="Z14:Z22">X14*$Z$6</f>
        <v>0</v>
      </c>
      <c r="AA14" s="6">
        <v>0</v>
      </c>
      <c r="AB14" s="21">
        <v>0</v>
      </c>
      <c r="AC14" s="6">
        <f aca="true" t="shared" si="12" ref="AC14:AC20">AA14*$AC$6</f>
        <v>0</v>
      </c>
      <c r="AD14" s="21">
        <f aca="true" t="shared" si="13" ref="AD14:AD24">AB14*$AD$6</f>
        <v>0</v>
      </c>
      <c r="AF14" s="20">
        <f aca="true" t="shared" si="14" ref="AF14:AF26">E14+F14+I14+J14+M14+N14+Q14+R14+U14+V14+Y14+Z14+AC14+AD14</f>
        <v>0</v>
      </c>
    </row>
    <row r="15" spans="1:32" ht="15">
      <c r="A15" s="12"/>
      <c r="B15" s="13" t="s">
        <v>5</v>
      </c>
      <c r="C15" s="6">
        <v>42149994</v>
      </c>
      <c r="D15" s="21">
        <v>31626</v>
      </c>
      <c r="E15" s="6">
        <f t="shared" si="0"/>
        <v>95301.136434</v>
      </c>
      <c r="F15" s="6">
        <f t="shared" si="1"/>
        <v>94817.59434</v>
      </c>
      <c r="G15" s="6">
        <v>9866778</v>
      </c>
      <c r="H15" s="21">
        <v>2532</v>
      </c>
      <c r="I15" s="6">
        <f t="shared" si="2"/>
        <v>19250.083878</v>
      </c>
      <c r="J15" s="6">
        <f t="shared" si="3"/>
        <v>17818.696799999998</v>
      </c>
      <c r="K15" s="6">
        <v>62142</v>
      </c>
      <c r="L15" s="21">
        <v>787</v>
      </c>
      <c r="M15" s="6">
        <f t="shared" si="4"/>
        <v>23246.949348000002</v>
      </c>
      <c r="N15" s="21">
        <f t="shared" si="5"/>
        <v>36579.759999999995</v>
      </c>
      <c r="O15" s="6">
        <v>79370</v>
      </c>
      <c r="P15" s="21">
        <v>16</v>
      </c>
      <c r="Q15" s="6">
        <f t="shared" si="6"/>
        <v>17768.006309999997</v>
      </c>
      <c r="R15" s="21">
        <f t="shared" si="7"/>
        <v>8633.9616</v>
      </c>
      <c r="S15" s="6">
        <v>86778.40000000001</v>
      </c>
      <c r="T15" s="21">
        <v>3</v>
      </c>
      <c r="U15" s="6">
        <f t="shared" si="8"/>
        <v>41949.63312240001</v>
      </c>
      <c r="V15" s="21">
        <f t="shared" si="9"/>
        <v>7439.6823</v>
      </c>
      <c r="W15" s="6">
        <v>0</v>
      </c>
      <c r="X15" s="21">
        <v>27</v>
      </c>
      <c r="Y15" s="6">
        <f t="shared" si="10"/>
        <v>0</v>
      </c>
      <c r="Z15" s="27">
        <f t="shared" si="11"/>
        <v>0.24300000000000002</v>
      </c>
      <c r="AA15">
        <f>32.8+98.7+2152.8</f>
        <v>2284.3</v>
      </c>
      <c r="AB15" s="21">
        <v>3</v>
      </c>
      <c r="AC15" s="6">
        <f>AA15*$AC$6</f>
        <v>738.1943880000001</v>
      </c>
      <c r="AD15" s="27">
        <f t="shared" si="13"/>
        <v>0.22740000000000002</v>
      </c>
      <c r="AF15" s="20">
        <f t="shared" si="14"/>
        <v>363544.16892039997</v>
      </c>
    </row>
    <row r="16" spans="1:32" ht="15">
      <c r="A16" s="12"/>
      <c r="B16" s="13" t="s">
        <v>6</v>
      </c>
      <c r="C16" s="6">
        <v>35885482</v>
      </c>
      <c r="D16" s="21">
        <v>49796</v>
      </c>
      <c r="E16" s="6">
        <f t="shared" si="0"/>
        <v>81137.074802</v>
      </c>
      <c r="F16" s="6">
        <f t="shared" si="1"/>
        <v>149292.88964</v>
      </c>
      <c r="G16" s="6">
        <v>9324874</v>
      </c>
      <c r="H16" s="21">
        <v>4936</v>
      </c>
      <c r="I16" s="6">
        <f t="shared" si="2"/>
        <v>18192.829174</v>
      </c>
      <c r="J16" s="6">
        <f t="shared" si="3"/>
        <v>34736.6064</v>
      </c>
      <c r="K16" s="6">
        <v>120110.19</v>
      </c>
      <c r="L16" s="21">
        <v>781</v>
      </c>
      <c r="M16" s="6">
        <f t="shared" si="4"/>
        <v>44932.50141786</v>
      </c>
      <c r="N16" s="21">
        <f t="shared" si="5"/>
        <v>36300.88</v>
      </c>
      <c r="O16" s="6">
        <v>31467.11</v>
      </c>
      <c r="P16" s="21">
        <v>16</v>
      </c>
      <c r="Q16" s="6">
        <f t="shared" si="6"/>
        <v>7044.321645929999</v>
      </c>
      <c r="R16" s="21">
        <f t="shared" si="7"/>
        <v>8633.9616</v>
      </c>
      <c r="S16" s="6">
        <v>86528.32</v>
      </c>
      <c r="T16" s="21">
        <v>3</v>
      </c>
      <c r="U16" s="6">
        <f t="shared" si="8"/>
        <v>41828.741699520004</v>
      </c>
      <c r="V16" s="21">
        <f t="shared" si="9"/>
        <v>7439.6823</v>
      </c>
      <c r="W16" s="6">
        <v>0</v>
      </c>
      <c r="X16" s="21">
        <v>27</v>
      </c>
      <c r="Y16" s="6">
        <f t="shared" si="10"/>
        <v>0</v>
      </c>
      <c r="Z16" s="27">
        <f t="shared" si="11"/>
        <v>0.24300000000000002</v>
      </c>
      <c r="AA16">
        <f>32.8+98.7+2150.3</f>
        <v>2281.8</v>
      </c>
      <c r="AB16" s="21">
        <v>3</v>
      </c>
      <c r="AC16" s="6">
        <f>AA16*$AC$6</f>
        <v>737.3864880000001</v>
      </c>
      <c r="AD16" s="27">
        <f t="shared" si="13"/>
        <v>0.22740000000000002</v>
      </c>
      <c r="AF16" s="20">
        <f t="shared" si="14"/>
        <v>430277.34556730994</v>
      </c>
    </row>
    <row r="17" spans="1:32" ht="15">
      <c r="A17" s="12"/>
      <c r="B17" s="13" t="s">
        <v>7</v>
      </c>
      <c r="C17" s="6">
        <v>37484302</v>
      </c>
      <c r="D17" s="21">
        <v>53419</v>
      </c>
      <c r="E17" s="6">
        <f t="shared" si="0"/>
        <v>84752.006822</v>
      </c>
      <c r="F17" s="6">
        <f t="shared" si="1"/>
        <v>160154.96971</v>
      </c>
      <c r="G17" s="6">
        <v>14195626</v>
      </c>
      <c r="H17" s="21">
        <v>5236</v>
      </c>
      <c r="I17" s="6">
        <f t="shared" si="2"/>
        <v>27695.666326000002</v>
      </c>
      <c r="J17" s="6">
        <f t="shared" si="3"/>
        <v>36847.8264</v>
      </c>
      <c r="K17" s="6">
        <v>41761</v>
      </c>
      <c r="L17" s="21">
        <v>779</v>
      </c>
      <c r="M17" s="6">
        <f t="shared" si="4"/>
        <v>15622.539534000001</v>
      </c>
      <c r="N17" s="21">
        <f t="shared" si="5"/>
        <v>36207.92</v>
      </c>
      <c r="O17" s="6">
        <v>36148.13</v>
      </c>
      <c r="P17" s="21">
        <v>16</v>
      </c>
      <c r="Q17" s="6">
        <f t="shared" si="6"/>
        <v>8092.2288261899985</v>
      </c>
      <c r="R17" s="21">
        <f t="shared" si="7"/>
        <v>8633.9616</v>
      </c>
      <c r="S17" s="6">
        <v>39489</v>
      </c>
      <c r="T17" s="21">
        <v>2</v>
      </c>
      <c r="U17" s="6">
        <f t="shared" si="8"/>
        <v>19089.416979</v>
      </c>
      <c r="V17" s="21">
        <f t="shared" si="9"/>
        <v>4959.7882</v>
      </c>
      <c r="W17" s="6">
        <v>0</v>
      </c>
      <c r="X17" s="21">
        <v>27</v>
      </c>
      <c r="Y17" s="6">
        <f t="shared" si="10"/>
        <v>0</v>
      </c>
      <c r="Z17" s="27">
        <f t="shared" si="11"/>
        <v>0.24300000000000002</v>
      </c>
      <c r="AA17" s="6">
        <v>0</v>
      </c>
      <c r="AB17" s="21">
        <v>3</v>
      </c>
      <c r="AC17" s="6">
        <f t="shared" si="12"/>
        <v>0</v>
      </c>
      <c r="AD17" s="27">
        <f t="shared" si="13"/>
        <v>0.22740000000000002</v>
      </c>
      <c r="AE17" s="28"/>
      <c r="AF17" s="20">
        <f t="shared" si="14"/>
        <v>402056.79479718994</v>
      </c>
    </row>
    <row r="18" spans="1:32" ht="15">
      <c r="A18" s="12"/>
      <c r="B18" s="13" t="s">
        <v>8</v>
      </c>
      <c r="C18" s="6">
        <v>51372467</v>
      </c>
      <c r="D18" s="21">
        <v>35774</v>
      </c>
      <c r="E18" s="6">
        <f t="shared" si="0"/>
        <v>116153.147887</v>
      </c>
      <c r="F18" s="6">
        <f t="shared" si="1"/>
        <v>107253.67165999999</v>
      </c>
      <c r="G18" s="6">
        <v>17279425</v>
      </c>
      <c r="H18" s="21">
        <v>4941</v>
      </c>
      <c r="I18" s="6">
        <f t="shared" si="2"/>
        <v>33712.158175000004</v>
      </c>
      <c r="J18" s="6">
        <f t="shared" si="3"/>
        <v>34771.7934</v>
      </c>
      <c r="K18" s="53">
        <v>64155.759999999995</v>
      </c>
      <c r="L18" s="21">
        <v>310</v>
      </c>
      <c r="M18" s="6">
        <f t="shared" si="4"/>
        <v>24000.284881440002</v>
      </c>
      <c r="N18" s="21">
        <f t="shared" si="5"/>
        <v>14408.8</v>
      </c>
      <c r="O18" s="6">
        <v>37287.11</v>
      </c>
      <c r="P18" s="21">
        <v>16</v>
      </c>
      <c r="Q18" s="6">
        <f t="shared" si="6"/>
        <v>8347.20430593</v>
      </c>
      <c r="R18" s="21">
        <f t="shared" si="7"/>
        <v>8633.9616</v>
      </c>
      <c r="S18" s="6">
        <v>39489</v>
      </c>
      <c r="T18" s="21">
        <v>2</v>
      </c>
      <c r="U18" s="6">
        <f t="shared" si="8"/>
        <v>19089.416979</v>
      </c>
      <c r="V18" s="21">
        <f t="shared" si="9"/>
        <v>4959.7882</v>
      </c>
      <c r="W18" s="6">
        <v>20.35</v>
      </c>
      <c r="X18" s="21">
        <v>27</v>
      </c>
      <c r="Y18" s="6">
        <f t="shared" si="10"/>
        <v>0.36139565</v>
      </c>
      <c r="Z18" s="27">
        <f t="shared" si="11"/>
        <v>0.24300000000000002</v>
      </c>
      <c r="AA18" s="6">
        <v>0</v>
      </c>
      <c r="AB18" s="21">
        <v>3</v>
      </c>
      <c r="AC18" s="6">
        <f t="shared" si="12"/>
        <v>0</v>
      </c>
      <c r="AD18" s="27">
        <f t="shared" si="13"/>
        <v>0.22740000000000002</v>
      </c>
      <c r="AF18" s="20">
        <f t="shared" si="14"/>
        <v>371331.05888401996</v>
      </c>
    </row>
    <row r="19" spans="1:32" ht="15">
      <c r="A19" s="12"/>
      <c r="B19" s="13" t="s">
        <v>9</v>
      </c>
      <c r="C19" s="6">
        <v>54256391</v>
      </c>
      <c r="D19" s="21">
        <v>29523</v>
      </c>
      <c r="E19" s="6">
        <f t="shared" si="0"/>
        <v>122673.70005099999</v>
      </c>
      <c r="F19" s="6">
        <f t="shared" si="1"/>
        <v>88512.61107</v>
      </c>
      <c r="G19" s="6">
        <v>13511280</v>
      </c>
      <c r="H19" s="21">
        <v>2828</v>
      </c>
      <c r="I19" s="6">
        <f t="shared" si="2"/>
        <v>26360.50728</v>
      </c>
      <c r="J19" s="6">
        <f t="shared" si="3"/>
        <v>19901.7672</v>
      </c>
      <c r="K19" s="53">
        <v>121033.34</v>
      </c>
      <c r="L19" s="21">
        <v>871</v>
      </c>
      <c r="M19" s="6">
        <f t="shared" si="4"/>
        <v>45277.84629396001</v>
      </c>
      <c r="N19" s="21">
        <f t="shared" si="5"/>
        <v>40484.079999999994</v>
      </c>
      <c r="O19" s="6">
        <v>34539.81</v>
      </c>
      <c r="P19" s="21">
        <v>16</v>
      </c>
      <c r="Q19" s="6">
        <f t="shared" si="6"/>
        <v>7732.185486029999</v>
      </c>
      <c r="R19" s="21">
        <f t="shared" si="7"/>
        <v>8633.9616</v>
      </c>
      <c r="S19" s="6">
        <v>40531</v>
      </c>
      <c r="T19" s="21">
        <v>2</v>
      </c>
      <c r="U19" s="6">
        <f t="shared" si="8"/>
        <v>19593.131241000003</v>
      </c>
      <c r="V19" s="21">
        <f t="shared" si="9"/>
        <v>4959.7882</v>
      </c>
      <c r="W19" s="6">
        <v>31.755555555555556</v>
      </c>
      <c r="X19" s="21">
        <v>27</v>
      </c>
      <c r="Y19" s="6">
        <f t="shared" si="10"/>
        <v>0.5639469111111112</v>
      </c>
      <c r="Z19" s="27">
        <f t="shared" si="11"/>
        <v>0.24300000000000002</v>
      </c>
      <c r="AA19" s="6">
        <v>0</v>
      </c>
      <c r="AB19" s="21">
        <v>3</v>
      </c>
      <c r="AC19" s="6">
        <f t="shared" si="12"/>
        <v>0</v>
      </c>
      <c r="AD19" s="27">
        <f t="shared" si="13"/>
        <v>0.22740000000000002</v>
      </c>
      <c r="AF19" s="20">
        <f t="shared" si="14"/>
        <v>384130.61276890116</v>
      </c>
    </row>
    <row r="20" spans="1:32" ht="15">
      <c r="A20" s="12"/>
      <c r="B20" s="13" t="s">
        <v>10</v>
      </c>
      <c r="C20" s="6">
        <v>52937971</v>
      </c>
      <c r="D20" s="21">
        <v>39032</v>
      </c>
      <c r="E20" s="6">
        <f t="shared" si="0"/>
        <v>119692.752431</v>
      </c>
      <c r="F20" s="6">
        <f t="shared" si="1"/>
        <v>117021.44888</v>
      </c>
      <c r="G20" s="6">
        <v>13723842</v>
      </c>
      <c r="H20" s="21">
        <v>4638</v>
      </c>
      <c r="I20" s="6">
        <f t="shared" si="2"/>
        <v>26775.215742</v>
      </c>
      <c r="J20" s="6">
        <f t="shared" si="3"/>
        <v>32639.461199999998</v>
      </c>
      <c r="K20" s="6">
        <v>145338.96000000002</v>
      </c>
      <c r="L20" s="21">
        <v>910</v>
      </c>
      <c r="M20" s="6">
        <f t="shared" si="4"/>
        <v>54370.43290224001</v>
      </c>
      <c r="N20" s="21">
        <f t="shared" si="5"/>
        <v>42296.799999999996</v>
      </c>
      <c r="O20" s="6">
        <v>40997.03</v>
      </c>
      <c r="P20" s="21">
        <v>16</v>
      </c>
      <c r="Q20" s="6">
        <f t="shared" si="6"/>
        <v>9177.718126889999</v>
      </c>
      <c r="R20" s="21">
        <f t="shared" si="7"/>
        <v>8633.9616</v>
      </c>
      <c r="S20" s="6">
        <v>38566.369999999995</v>
      </c>
      <c r="T20" s="21">
        <v>1</v>
      </c>
      <c r="U20" s="6">
        <f t="shared" si="8"/>
        <v>18643.40748807</v>
      </c>
      <c r="V20" s="21">
        <f t="shared" si="9"/>
        <v>2479.8941</v>
      </c>
      <c r="W20" s="6">
        <v>33.760416666666664</v>
      </c>
      <c r="X20" s="21">
        <v>28</v>
      </c>
      <c r="Y20" s="6">
        <f t="shared" si="10"/>
        <v>0.5995512395833333</v>
      </c>
      <c r="Z20" s="27">
        <f t="shared" si="11"/>
        <v>0.252</v>
      </c>
      <c r="AA20" s="6">
        <v>0</v>
      </c>
      <c r="AB20" s="21">
        <v>3</v>
      </c>
      <c r="AC20" s="6">
        <f t="shared" si="12"/>
        <v>0</v>
      </c>
      <c r="AD20" s="27">
        <f t="shared" si="13"/>
        <v>0.22740000000000002</v>
      </c>
      <c r="AF20" s="20">
        <f t="shared" si="14"/>
        <v>431732.1714214395</v>
      </c>
    </row>
    <row r="21" spans="1:32" ht="15">
      <c r="A21" s="12"/>
      <c r="B21" s="13" t="s">
        <v>11</v>
      </c>
      <c r="C21" s="6">
        <v>37138851</v>
      </c>
      <c r="D21" s="21">
        <v>44309</v>
      </c>
      <c r="E21" s="6">
        <f t="shared" si="0"/>
        <v>83970.942111</v>
      </c>
      <c r="F21" s="6">
        <f t="shared" si="1"/>
        <v>132842.36981</v>
      </c>
      <c r="G21" s="6">
        <v>7834427</v>
      </c>
      <c r="H21" s="21">
        <v>4446</v>
      </c>
      <c r="I21" s="6">
        <f t="shared" si="2"/>
        <v>15284.967077000001</v>
      </c>
      <c r="J21" s="6">
        <f t="shared" si="3"/>
        <v>31288.2804</v>
      </c>
      <c r="K21" s="6">
        <v>162179.47999999998</v>
      </c>
      <c r="L21" s="21">
        <v>983</v>
      </c>
      <c r="M21" s="6">
        <f t="shared" si="4"/>
        <v>60670.37039112</v>
      </c>
      <c r="N21" s="21">
        <f t="shared" si="5"/>
        <v>45689.84</v>
      </c>
      <c r="O21" s="6">
        <v>40905.13</v>
      </c>
      <c r="P21" s="21">
        <v>16</v>
      </c>
      <c r="Q21" s="6">
        <f t="shared" si="6"/>
        <v>9157.145117189999</v>
      </c>
      <c r="R21" s="21">
        <f t="shared" si="7"/>
        <v>8633.9616</v>
      </c>
      <c r="S21" s="6">
        <v>39003</v>
      </c>
      <c r="T21" s="21">
        <v>2</v>
      </c>
      <c r="U21" s="6">
        <f t="shared" si="8"/>
        <v>18854.479233000002</v>
      </c>
      <c r="V21" s="21">
        <f t="shared" si="9"/>
        <v>4959.7882</v>
      </c>
      <c r="W21" s="6">
        <v>45.74699999999999</v>
      </c>
      <c r="X21" s="21">
        <v>28</v>
      </c>
      <c r="Y21" s="6">
        <f t="shared" si="10"/>
        <v>0.8124209729999999</v>
      </c>
      <c r="Z21" s="27">
        <f t="shared" si="11"/>
        <v>0.252</v>
      </c>
      <c r="AA21">
        <f>32.8+2161.3+96.3</f>
        <v>2290.4000000000005</v>
      </c>
      <c r="AB21" s="21">
        <v>3</v>
      </c>
      <c r="AC21" s="6">
        <f>AA21*$AC$6</f>
        <v>740.1656640000002</v>
      </c>
      <c r="AD21" s="27">
        <f t="shared" si="13"/>
        <v>0.22740000000000002</v>
      </c>
      <c r="AF21" s="20">
        <f t="shared" si="14"/>
        <v>412093.60142428294</v>
      </c>
    </row>
    <row r="22" spans="1:32" ht="15">
      <c r="A22" s="12"/>
      <c r="B22" s="13" t="s">
        <v>12</v>
      </c>
      <c r="C22" s="6">
        <v>43727874</v>
      </c>
      <c r="D22" s="21">
        <v>48161</v>
      </c>
      <c r="E22" s="6">
        <f t="shared" si="0"/>
        <v>98868.723114</v>
      </c>
      <c r="F22" s="6">
        <f t="shared" si="1"/>
        <v>144391.01249</v>
      </c>
      <c r="G22" s="6">
        <v>9478310</v>
      </c>
      <c r="H22" s="21">
        <v>5056</v>
      </c>
      <c r="I22" s="6">
        <f t="shared" si="2"/>
        <v>18492.182810000002</v>
      </c>
      <c r="J22" s="6">
        <f t="shared" si="3"/>
        <v>35581.0944</v>
      </c>
      <c r="K22" s="6">
        <v>134996.74000000002</v>
      </c>
      <c r="L22" s="21">
        <v>857</v>
      </c>
      <c r="M22" s="6">
        <f t="shared" si="4"/>
        <v>50501.47045356001</v>
      </c>
      <c r="N22" s="21">
        <f t="shared" si="5"/>
        <v>39833.36</v>
      </c>
      <c r="O22" s="6">
        <v>41008.18</v>
      </c>
      <c r="P22" s="21">
        <v>19</v>
      </c>
      <c r="Q22" s="6">
        <f t="shared" si="6"/>
        <v>9180.21419934</v>
      </c>
      <c r="R22" s="21">
        <f t="shared" si="7"/>
        <v>10252.8294</v>
      </c>
      <c r="S22" s="6">
        <v>38675.66</v>
      </c>
      <c r="T22" s="21">
        <v>2</v>
      </c>
      <c r="U22" s="6">
        <f t="shared" si="8"/>
        <v>18696.23947626</v>
      </c>
      <c r="V22" s="21">
        <f t="shared" si="9"/>
        <v>4959.7882</v>
      </c>
      <c r="W22" s="6">
        <v>32.37222222222222</v>
      </c>
      <c r="X22" s="21">
        <v>28</v>
      </c>
      <c r="Y22" s="6">
        <f t="shared" si="10"/>
        <v>0.5748982944444444</v>
      </c>
      <c r="Z22" s="27">
        <f t="shared" si="11"/>
        <v>0.252</v>
      </c>
      <c r="AA22">
        <f>32.8+2160.1+101.2</f>
        <v>2294.1</v>
      </c>
      <c r="AB22" s="21">
        <v>3</v>
      </c>
      <c r="AC22" s="6">
        <f>AA22*$AC$6</f>
        <v>741.361356</v>
      </c>
      <c r="AD22" s="27">
        <f t="shared" si="13"/>
        <v>0.22740000000000002</v>
      </c>
      <c r="AF22" s="20">
        <f t="shared" si="14"/>
        <v>431499.3301974544</v>
      </c>
    </row>
    <row r="23" spans="1:32" ht="15">
      <c r="A23" s="12"/>
      <c r="B23" s="13" t="s">
        <v>13</v>
      </c>
      <c r="C23" s="6">
        <v>34262207</v>
      </c>
      <c r="D23" s="21">
        <v>47260</v>
      </c>
      <c r="E23" s="6">
        <f>C23*$E$7</f>
        <v>80858.80852</v>
      </c>
      <c r="F23" s="6">
        <f>D23*$F$7</f>
        <v>147928.526</v>
      </c>
      <c r="G23" s="6">
        <v>8463309.899999999</v>
      </c>
      <c r="H23" s="21">
        <v>4057</v>
      </c>
      <c r="I23" s="6">
        <f>G23*$I$7</f>
        <v>17239.7622663</v>
      </c>
      <c r="J23" s="6">
        <f>H23*$J$7</f>
        <v>29808.8075</v>
      </c>
      <c r="K23" s="6">
        <v>118213.86</v>
      </c>
      <c r="L23" s="21">
        <v>860</v>
      </c>
      <c r="M23" s="6">
        <f>K23*$M$7</f>
        <v>46171.969438800006</v>
      </c>
      <c r="N23" s="21">
        <f>L23*$N$7</f>
        <v>41734.424000000006</v>
      </c>
      <c r="O23" s="6">
        <v>38103</v>
      </c>
      <c r="P23" s="21">
        <v>19</v>
      </c>
      <c r="Q23" s="6">
        <f>O23*$Q$7</f>
        <v>8905.737984</v>
      </c>
      <c r="R23" s="21">
        <f>P23*$R$7</f>
        <v>10704.6665</v>
      </c>
      <c r="S23" s="6">
        <v>40764.1</v>
      </c>
      <c r="T23" s="21">
        <v>2</v>
      </c>
      <c r="U23" s="6">
        <f>S23*$U$7</f>
        <v>40100.5012161</v>
      </c>
      <c r="V23" s="21">
        <f>T23*$V$7</f>
        <v>5917.120800000001</v>
      </c>
      <c r="W23" s="6">
        <v>40.8</v>
      </c>
      <c r="X23" s="21">
        <v>29</v>
      </c>
      <c r="Y23" s="6">
        <f>W23*$Y$7</f>
        <v>0.7564728000000001</v>
      </c>
      <c r="Z23" s="27">
        <f>X23*$Z$7</f>
        <v>0.2726</v>
      </c>
      <c r="AA23">
        <f>32.8+2164.8+101.2</f>
        <v>2298.8</v>
      </c>
      <c r="AB23" s="21">
        <v>3</v>
      </c>
      <c r="AC23" s="6">
        <f>AA23*$AC$7</f>
        <v>775.6174188</v>
      </c>
      <c r="AD23" s="27">
        <f t="shared" si="13"/>
        <v>0.22740000000000002</v>
      </c>
      <c r="AF23" s="20">
        <f t="shared" si="14"/>
        <v>430147.19811680005</v>
      </c>
    </row>
    <row r="24" spans="1:32" ht="15">
      <c r="A24" s="12"/>
      <c r="B24" s="13" t="s">
        <v>3</v>
      </c>
      <c r="C24" s="6">
        <v>47255462.510000005</v>
      </c>
      <c r="D24" s="21">
        <v>39356</v>
      </c>
      <c r="E24" s="6">
        <f>C24*$E$7</f>
        <v>111522.89152360002</v>
      </c>
      <c r="F24" s="6">
        <f>D24*$F$7</f>
        <v>123188.21560000001</v>
      </c>
      <c r="G24" s="6">
        <v>15730401</v>
      </c>
      <c r="H24" s="21">
        <v>5263</v>
      </c>
      <c r="I24" s="6">
        <f>G24*$I$7</f>
        <v>32042.826837000004</v>
      </c>
      <c r="J24" s="6">
        <f>H24*$J$7</f>
        <v>38669.8925</v>
      </c>
      <c r="K24" s="6">
        <v>110349.83</v>
      </c>
      <c r="L24" s="21">
        <v>790</v>
      </c>
      <c r="M24" s="6">
        <f>K24*$M$7</f>
        <v>43100.436601400004</v>
      </c>
      <c r="N24" s="21">
        <f>L24*$N$7</f>
        <v>38337.436</v>
      </c>
      <c r="O24" s="6">
        <v>40587</v>
      </c>
      <c r="P24" s="21">
        <v>19</v>
      </c>
      <c r="Q24" s="6">
        <f>O24*$Q$7</f>
        <v>9486.318336</v>
      </c>
      <c r="R24" s="21">
        <f>P24*$R$7</f>
        <v>10704.6665</v>
      </c>
      <c r="S24" s="6">
        <v>38322</v>
      </c>
      <c r="T24" s="21">
        <v>2</v>
      </c>
      <c r="U24" s="6">
        <f>S24*$U$7</f>
        <v>37698.156162</v>
      </c>
      <c r="V24" s="21">
        <f>T24*$V$7</f>
        <v>5917.120800000001</v>
      </c>
      <c r="W24" s="6">
        <v>43.266666666666666</v>
      </c>
      <c r="X24" s="21">
        <v>30</v>
      </c>
      <c r="Y24" s="6">
        <f>W24*$Y$7</f>
        <v>0.8022072666666668</v>
      </c>
      <c r="Z24" s="27">
        <f>X24*$Z$7</f>
        <v>0.28200000000000003</v>
      </c>
      <c r="AA24">
        <f>32.8+101.2+2168.5</f>
        <v>2302.5</v>
      </c>
      <c r="AB24" s="21">
        <v>3</v>
      </c>
      <c r="AC24" s="6">
        <f>AA24*$AC$7</f>
        <v>776.8658024999999</v>
      </c>
      <c r="AD24" s="27">
        <f t="shared" si="13"/>
        <v>0.22740000000000002</v>
      </c>
      <c r="AF24" s="20">
        <f t="shared" si="14"/>
        <v>451446.1382697667</v>
      </c>
    </row>
    <row r="25" spans="1:32" ht="15">
      <c r="A25" s="12"/>
      <c r="B25" s="13"/>
      <c r="C25" s="6"/>
      <c r="D25" s="21"/>
      <c r="E25" s="6"/>
      <c r="F25" s="6"/>
      <c r="G25" s="6"/>
      <c r="H25" s="21"/>
      <c r="I25" s="6"/>
      <c r="J25" s="6"/>
      <c r="K25" s="6"/>
      <c r="L25" s="21"/>
      <c r="M25" s="6"/>
      <c r="N25" s="21"/>
      <c r="O25" s="6"/>
      <c r="P25" s="21"/>
      <c r="Q25" s="5"/>
      <c r="R25" s="5"/>
      <c r="S25" s="6"/>
      <c r="T25" s="21"/>
      <c r="U25" s="5"/>
      <c r="V25" s="5"/>
      <c r="W25" s="6"/>
      <c r="X25" s="5"/>
      <c r="Y25" s="5"/>
      <c r="Z25" s="5"/>
      <c r="AA25" s="5"/>
      <c r="AB25" s="5"/>
      <c r="AF25" s="20"/>
    </row>
    <row r="26" spans="1:32" ht="15.75" thickBot="1">
      <c r="A26" s="12"/>
      <c r="B26" s="19"/>
      <c r="C26" s="19">
        <f aca="true" t="shared" si="15" ref="C26:AD26">SUM(C13:C24)</f>
        <v>436471001.51</v>
      </c>
      <c r="D26" s="22">
        <f t="shared" si="15"/>
        <v>418256</v>
      </c>
      <c r="E26" s="19">
        <f t="shared" si="15"/>
        <v>994931.1836955998</v>
      </c>
      <c r="F26" s="19">
        <f t="shared" si="15"/>
        <v>1265403.3092</v>
      </c>
      <c r="G26" s="19">
        <f t="shared" si="15"/>
        <v>119408272.9</v>
      </c>
      <c r="H26" s="22">
        <f t="shared" si="15"/>
        <v>43933</v>
      </c>
      <c r="I26" s="19">
        <f t="shared" si="15"/>
        <v>235046.19956530005</v>
      </c>
      <c r="J26" s="19">
        <f t="shared" si="15"/>
        <v>312064.2262</v>
      </c>
      <c r="K26" s="19">
        <f t="shared" si="15"/>
        <v>1080281.16</v>
      </c>
      <c r="L26" s="22">
        <f t="shared" si="15"/>
        <v>7928</v>
      </c>
      <c r="M26" s="19">
        <f t="shared" si="15"/>
        <v>407894.8012623801</v>
      </c>
      <c r="N26" s="19">
        <f t="shared" si="15"/>
        <v>371873.29999999993</v>
      </c>
      <c r="O26" s="19">
        <f t="shared" si="15"/>
        <v>420412.49999999994</v>
      </c>
      <c r="P26" s="22">
        <f t="shared" si="15"/>
        <v>169</v>
      </c>
      <c r="Q26" s="19">
        <f t="shared" si="15"/>
        <v>94891.0803375</v>
      </c>
      <c r="R26" s="19">
        <f t="shared" si="15"/>
        <v>92099.89360000001</v>
      </c>
      <c r="S26" s="19">
        <f t="shared" si="15"/>
        <v>488146.85</v>
      </c>
      <c r="T26" s="22">
        <f t="shared" si="15"/>
        <v>21</v>
      </c>
      <c r="U26" s="19">
        <f t="shared" si="15"/>
        <v>275543.12359634996</v>
      </c>
      <c r="V26" s="19">
        <f t="shared" si="15"/>
        <v>53992.441300000006</v>
      </c>
      <c r="W26" s="19">
        <f t="shared" si="15"/>
        <v>248.05186111111107</v>
      </c>
      <c r="X26" s="22">
        <f t="shared" si="15"/>
        <v>278</v>
      </c>
      <c r="Y26" s="19">
        <f t="shared" si="15"/>
        <v>4.470893134805556</v>
      </c>
      <c r="Z26" s="19">
        <f t="shared" si="15"/>
        <v>2.5256000000000003</v>
      </c>
      <c r="AA26" s="19">
        <f>SUM(AA13:AA24)</f>
        <v>13751.900000000001</v>
      </c>
      <c r="AB26" s="22">
        <f t="shared" si="15"/>
        <v>30</v>
      </c>
      <c r="AC26" s="19">
        <f>SUM(AC13:AC24)</f>
        <v>4509.5911173</v>
      </c>
      <c r="AD26" s="19">
        <f t="shared" si="15"/>
        <v>2.274</v>
      </c>
      <c r="AF26" s="32">
        <f t="shared" si="14"/>
        <v>4108258.420367565</v>
      </c>
    </row>
    <row r="27" spans="1:32" ht="15.75" thickTop="1">
      <c r="A27" s="12"/>
      <c r="B27" s="13"/>
      <c r="C27" s="20"/>
      <c r="D27" s="23"/>
      <c r="E27" s="20"/>
      <c r="F27" s="20"/>
      <c r="G27" s="20"/>
      <c r="H27" s="23"/>
      <c r="I27" s="20"/>
      <c r="J27" s="20"/>
      <c r="K27" s="20"/>
      <c r="L27" s="23"/>
      <c r="M27" s="20"/>
      <c r="N27" s="20"/>
      <c r="O27" s="20"/>
      <c r="P27" s="23"/>
      <c r="Q27" s="23"/>
      <c r="R27" s="20"/>
      <c r="S27" s="20"/>
      <c r="T27" s="23"/>
      <c r="U27" s="23"/>
      <c r="V27" s="20"/>
      <c r="W27" s="20"/>
      <c r="X27" s="23"/>
      <c r="Y27" s="23"/>
      <c r="Z27" s="20"/>
      <c r="AA27" s="20"/>
      <c r="AB27" s="23"/>
      <c r="AC27" s="26"/>
      <c r="AD27" s="26"/>
      <c r="AF27" s="20"/>
    </row>
    <row r="28" spans="15:29" ht="12.75"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52"/>
    </row>
    <row r="29" ht="12.75">
      <c r="O29" s="6"/>
    </row>
    <row r="30" spans="10:23" ht="12.75" hidden="1">
      <c r="J30" s="49"/>
      <c r="K30" s="50"/>
      <c r="O30" s="50"/>
      <c r="P30" s="50"/>
      <c r="S30" s="50"/>
      <c r="T30" s="50"/>
      <c r="W30" s="50"/>
    </row>
    <row r="31" spans="14:15" ht="12.75">
      <c r="N31" s="49"/>
      <c r="O31" s="6"/>
    </row>
    <row r="32" ht="12.75">
      <c r="O32" s="6"/>
    </row>
    <row r="33" ht="12.75">
      <c r="O33" s="6"/>
    </row>
  </sheetData>
  <sheetProtection/>
  <mergeCells count="2">
    <mergeCell ref="F3:P3"/>
    <mergeCell ref="F2:R2"/>
  </mergeCells>
  <printOptions/>
  <pageMargins left="0" right="0" top="0.196850393700787" bottom="0.196850393700787" header="0.118110236220472" footer="0.118110236220472"/>
  <pageSetup fitToHeight="1" fitToWidth="1" horizontalDpi="600" verticalDpi="600" orientation="landscape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"/>
  <sheetViews>
    <sheetView zoomScalePageLayoutView="0" workbookViewId="0" topLeftCell="A4">
      <pane xSplit="2" ySplit="8" topLeftCell="C12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C27" sqref="C27"/>
    </sheetView>
  </sheetViews>
  <sheetFormatPr defaultColWidth="9.140625" defaultRowHeight="12.75"/>
  <cols>
    <col min="1" max="1" width="2.421875" style="0" customWidth="1"/>
    <col min="2" max="2" width="10.7109375" style="0" customWidth="1"/>
    <col min="3" max="3" width="15.00390625" style="0" bestFit="1" customWidth="1"/>
    <col min="4" max="4" width="13.00390625" style="0" customWidth="1"/>
    <col min="5" max="5" width="14.57421875" style="0" customWidth="1"/>
    <col min="6" max="6" width="13.7109375" style="0" bestFit="1" customWidth="1"/>
    <col min="7" max="7" width="15.00390625" style="0" bestFit="1" customWidth="1"/>
    <col min="8" max="8" width="16.140625" style="0" customWidth="1"/>
    <col min="9" max="9" width="15.57421875" style="0" customWidth="1"/>
    <col min="10" max="10" width="15.00390625" style="0" customWidth="1"/>
    <col min="11" max="11" width="15.7109375" style="0" customWidth="1"/>
    <col min="12" max="12" width="12.7109375" style="0" customWidth="1"/>
    <col min="13" max="13" width="14.7109375" style="0" customWidth="1"/>
    <col min="14" max="14" width="13.7109375" style="0" customWidth="1"/>
    <col min="15" max="15" width="15.57421875" style="0" customWidth="1"/>
    <col min="16" max="16" width="14.421875" style="0" bestFit="1" customWidth="1"/>
    <col min="17" max="17" width="14.8515625" style="0" customWidth="1"/>
    <col min="18" max="18" width="13.8515625" style="0" customWidth="1"/>
    <col min="19" max="20" width="13.421875" style="0" customWidth="1"/>
    <col min="21" max="21" width="12.28125" style="0" customWidth="1"/>
    <col min="22" max="22" width="14.8515625" style="0" customWidth="1"/>
    <col min="23" max="23" width="12.7109375" style="0" customWidth="1"/>
    <col min="24" max="24" width="13.57421875" style="0" customWidth="1"/>
    <col min="25" max="25" width="14.8515625" style="0" customWidth="1"/>
    <col min="26" max="26" width="14.00390625" style="0" customWidth="1"/>
    <col min="27" max="27" width="13.7109375" style="0" customWidth="1"/>
    <col min="28" max="28" width="13.8515625" style="0" customWidth="1"/>
    <col min="29" max="29" width="13.28125" style="0" bestFit="1" customWidth="1"/>
    <col min="30" max="30" width="13.7109375" style="0" bestFit="1" customWidth="1"/>
    <col min="31" max="31" width="12.140625" style="0" hidden="1" customWidth="1"/>
    <col min="32" max="32" width="14.8515625" style="0" bestFit="1" customWidth="1"/>
  </cols>
  <sheetData>
    <row r="1" spans="1:2" ht="15">
      <c r="A1" s="2" t="s">
        <v>2</v>
      </c>
      <c r="B1" s="30"/>
    </row>
    <row r="2" spans="1:18" ht="15">
      <c r="A2" s="2" t="s">
        <v>14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22" ht="15">
      <c r="A3" s="1"/>
      <c r="B3" s="2" t="s">
        <v>37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3"/>
      <c r="R3" s="3"/>
      <c r="U3" s="3"/>
      <c r="V3" s="3"/>
    </row>
    <row r="4" spans="5:30" ht="12.75">
      <c r="E4" s="10" t="s">
        <v>27</v>
      </c>
      <c r="F4" s="10" t="s">
        <v>27</v>
      </c>
      <c r="G4" s="3"/>
      <c r="H4" s="3"/>
      <c r="I4" s="10" t="s">
        <v>27</v>
      </c>
      <c r="J4" s="10" t="s">
        <v>27</v>
      </c>
      <c r="K4" s="3"/>
      <c r="L4" s="3"/>
      <c r="M4" s="10" t="s">
        <v>27</v>
      </c>
      <c r="N4" s="10" t="s">
        <v>27</v>
      </c>
      <c r="O4" s="3"/>
      <c r="P4" s="3"/>
      <c r="Q4" s="10" t="s">
        <v>27</v>
      </c>
      <c r="R4" s="10" t="s">
        <v>27</v>
      </c>
      <c r="U4" s="10" t="s">
        <v>27</v>
      </c>
      <c r="V4" s="10" t="s">
        <v>27</v>
      </c>
      <c r="Y4" s="10" t="s">
        <v>27</v>
      </c>
      <c r="Z4" s="10" t="s">
        <v>27</v>
      </c>
      <c r="AC4" s="10" t="s">
        <v>27</v>
      </c>
      <c r="AD4" s="10" t="s">
        <v>27</v>
      </c>
    </row>
    <row r="5" spans="5:30" ht="12.75">
      <c r="E5" s="18" t="s">
        <v>1</v>
      </c>
      <c r="F5" s="18" t="s">
        <v>0</v>
      </c>
      <c r="H5" s="3"/>
      <c r="I5" s="18" t="s">
        <v>1</v>
      </c>
      <c r="J5" s="18" t="s">
        <v>0</v>
      </c>
      <c r="K5" s="3"/>
      <c r="L5" s="3"/>
      <c r="M5" s="25" t="s">
        <v>33</v>
      </c>
      <c r="N5" s="18" t="s">
        <v>0</v>
      </c>
      <c r="O5" s="3"/>
      <c r="P5" s="3"/>
      <c r="Q5" s="25" t="s">
        <v>33</v>
      </c>
      <c r="R5" s="18" t="s">
        <v>0</v>
      </c>
      <c r="S5" s="3"/>
      <c r="U5" s="25" t="s">
        <v>33</v>
      </c>
      <c r="V5" s="18" t="s">
        <v>0</v>
      </c>
      <c r="Y5" s="25" t="s">
        <v>33</v>
      </c>
      <c r="Z5" s="18" t="s">
        <v>0</v>
      </c>
      <c r="AC5" s="25" t="s">
        <v>33</v>
      </c>
      <c r="AD5" s="18" t="s">
        <v>0</v>
      </c>
    </row>
    <row r="6" spans="4:31" ht="12.75">
      <c r="D6" s="33" t="s">
        <v>34</v>
      </c>
      <c r="E6" s="17">
        <f>'2002'!E6</f>
        <v>0.002261</v>
      </c>
      <c r="F6" s="17">
        <f>'2002'!F6</f>
        <v>2.99809</v>
      </c>
      <c r="H6" s="3"/>
      <c r="I6" s="17">
        <f>'2002'!I6</f>
        <v>0.001951</v>
      </c>
      <c r="J6" s="17">
        <f>'2002'!J6</f>
        <v>7.0374</v>
      </c>
      <c r="K6" s="3"/>
      <c r="L6" s="3"/>
      <c r="M6" s="17">
        <f>'2002'!M6</f>
        <v>0.37409400000000004</v>
      </c>
      <c r="N6" s="17">
        <f>'2002'!N6</f>
        <v>46.48</v>
      </c>
      <c r="O6" s="3"/>
      <c r="P6" s="3"/>
      <c r="Q6" s="17">
        <f>'2002'!Q6</f>
        <v>0.22386299999999998</v>
      </c>
      <c r="R6" s="17">
        <f>'2002'!R6</f>
        <v>539.6226</v>
      </c>
      <c r="S6" s="3"/>
      <c r="U6" s="17">
        <f>'2002'!U6</f>
        <v>0.48341100000000004</v>
      </c>
      <c r="V6" s="4">
        <f>'2002'!V6</f>
        <v>2479.8941</v>
      </c>
      <c r="Y6" s="17">
        <f>'2002'!Y6</f>
        <v>0.017759</v>
      </c>
      <c r="Z6" s="17">
        <f>'2002'!Z6</f>
        <v>0.009000000000000001</v>
      </c>
      <c r="AC6" s="17">
        <f>'2002'!AC6</f>
        <v>0.32316</v>
      </c>
      <c r="AD6" s="17">
        <f>'2002'!AD6</f>
        <v>0.0758</v>
      </c>
      <c r="AE6" s="26">
        <f>SUM(E6:AD6)-SUM('2002'!E6:AD6)</f>
        <v>0</v>
      </c>
    </row>
    <row r="7" spans="4:31" ht="12.75">
      <c r="D7" s="33" t="s">
        <v>35</v>
      </c>
      <c r="E7" s="17">
        <f>'2002'!E7</f>
        <v>0.00236</v>
      </c>
      <c r="F7" s="17">
        <f>'2002'!F7</f>
        <v>3.1301</v>
      </c>
      <c r="H7" s="3"/>
      <c r="I7" s="17">
        <f>'2002'!I7</f>
        <v>0.002037</v>
      </c>
      <c r="J7" s="17">
        <f>'2002'!J7</f>
        <v>7.3475</v>
      </c>
      <c r="K7" s="3"/>
      <c r="L7" s="3"/>
      <c r="M7" s="17">
        <f>'2002'!M7</f>
        <v>0.39058000000000004</v>
      </c>
      <c r="N7" s="17">
        <f>'2002'!N7</f>
        <v>48.528400000000005</v>
      </c>
      <c r="O7" s="3"/>
      <c r="P7" s="3"/>
      <c r="Q7" s="17">
        <f>'2002'!Q7</f>
        <v>0.233728</v>
      </c>
      <c r="R7" s="17">
        <f>'2002'!R7</f>
        <v>563.4035</v>
      </c>
      <c r="S7" s="3"/>
      <c r="U7" s="17">
        <f>'2002'!U7</f>
        <v>0.983721</v>
      </c>
      <c r="V7" s="4">
        <f>'2002'!V7</f>
        <v>2958.5604000000003</v>
      </c>
      <c r="Y7" s="17">
        <f>'2002'!Y7</f>
        <v>0.018541000000000002</v>
      </c>
      <c r="Z7" s="17">
        <f>'2002'!Z7</f>
        <v>0.0094</v>
      </c>
      <c r="AC7" s="17">
        <f>'2002'!AC7</f>
        <v>0.33740099999999995</v>
      </c>
      <c r="AD7" s="17">
        <f>'2002'!AD7</f>
        <v>0.07919999999999999</v>
      </c>
      <c r="AE7" s="26">
        <f>SUM(E7:AD7)-SUM('2002'!E7:AD7)</f>
        <v>0</v>
      </c>
    </row>
    <row r="8" spans="3:32" s="16" customFormat="1" ht="12.75">
      <c r="C8" s="16" t="s">
        <v>17</v>
      </c>
      <c r="D8" s="16" t="s">
        <v>17</v>
      </c>
      <c r="E8" s="16" t="s">
        <v>17</v>
      </c>
      <c r="F8" s="16" t="s">
        <v>17</v>
      </c>
      <c r="G8" s="16" t="s">
        <v>25</v>
      </c>
      <c r="H8" s="16" t="s">
        <v>25</v>
      </c>
      <c r="I8" s="16" t="s">
        <v>25</v>
      </c>
      <c r="J8" s="16" t="s">
        <v>25</v>
      </c>
      <c r="K8" s="16" t="s">
        <v>26</v>
      </c>
      <c r="L8" s="16" t="s">
        <v>26</v>
      </c>
      <c r="M8" s="16" t="s">
        <v>26</v>
      </c>
      <c r="N8" s="16" t="s">
        <v>26</v>
      </c>
      <c r="O8" s="16" t="s">
        <v>28</v>
      </c>
      <c r="P8" s="16" t="s">
        <v>28</v>
      </c>
      <c r="Q8" s="16" t="s">
        <v>28</v>
      </c>
      <c r="R8" s="16" t="s">
        <v>28</v>
      </c>
      <c r="S8" s="16" t="s">
        <v>30</v>
      </c>
      <c r="T8" s="16" t="s">
        <v>30</v>
      </c>
      <c r="U8" s="16" t="s">
        <v>30</v>
      </c>
      <c r="V8" s="16" t="s">
        <v>30</v>
      </c>
      <c r="W8" s="16" t="s">
        <v>31</v>
      </c>
      <c r="X8" s="16" t="s">
        <v>31</v>
      </c>
      <c r="Y8" s="16" t="s">
        <v>31</v>
      </c>
      <c r="Z8" s="16" t="s">
        <v>31</v>
      </c>
      <c r="AA8" s="16" t="s">
        <v>32</v>
      </c>
      <c r="AB8" s="16" t="s">
        <v>32</v>
      </c>
      <c r="AC8" s="16" t="s">
        <v>32</v>
      </c>
      <c r="AD8" s="16" t="s">
        <v>32</v>
      </c>
      <c r="AF8" s="16" t="s">
        <v>39</v>
      </c>
    </row>
    <row r="9" spans="1:32" s="11" customFormat="1" ht="12.75">
      <c r="A9" s="16"/>
      <c r="D9" s="15" t="s">
        <v>19</v>
      </c>
      <c r="E9" s="15" t="s">
        <v>24</v>
      </c>
      <c r="F9" s="15" t="s">
        <v>19</v>
      </c>
      <c r="H9" s="15" t="s">
        <v>19</v>
      </c>
      <c r="I9" s="15" t="s">
        <v>24</v>
      </c>
      <c r="J9" s="15" t="s">
        <v>19</v>
      </c>
      <c r="L9" s="15" t="s">
        <v>19</v>
      </c>
      <c r="M9" s="15" t="s">
        <v>24</v>
      </c>
      <c r="N9" s="15" t="s">
        <v>19</v>
      </c>
      <c r="P9" s="15" t="s">
        <v>19</v>
      </c>
      <c r="Q9" s="15" t="s">
        <v>24</v>
      </c>
      <c r="R9" s="15" t="s">
        <v>19</v>
      </c>
      <c r="T9" s="15" t="s">
        <v>19</v>
      </c>
      <c r="U9" s="15" t="s">
        <v>24</v>
      </c>
      <c r="V9" s="15" t="s">
        <v>19</v>
      </c>
      <c r="X9" s="15" t="s">
        <v>19</v>
      </c>
      <c r="Y9" s="15" t="s">
        <v>24</v>
      </c>
      <c r="Z9" s="15" t="s">
        <v>19</v>
      </c>
      <c r="AB9" s="15" t="s">
        <v>19</v>
      </c>
      <c r="AC9" s="15" t="s">
        <v>24</v>
      </c>
      <c r="AD9" s="15" t="s">
        <v>19</v>
      </c>
      <c r="AF9" s="10" t="s">
        <v>27</v>
      </c>
    </row>
    <row r="10" spans="3:32" s="11" customFormat="1" ht="12.75">
      <c r="C10" s="15" t="s">
        <v>20</v>
      </c>
      <c r="D10" s="15" t="s">
        <v>21</v>
      </c>
      <c r="E10" s="15" t="s">
        <v>20</v>
      </c>
      <c r="F10" s="15" t="s">
        <v>21</v>
      </c>
      <c r="G10" s="15" t="s">
        <v>20</v>
      </c>
      <c r="H10" s="15" t="s">
        <v>21</v>
      </c>
      <c r="I10" s="15" t="s">
        <v>20</v>
      </c>
      <c r="J10" s="15" t="s">
        <v>21</v>
      </c>
      <c r="K10" s="15" t="s">
        <v>20</v>
      </c>
      <c r="L10" s="15" t="s">
        <v>21</v>
      </c>
      <c r="M10" s="15" t="s">
        <v>20</v>
      </c>
      <c r="N10" s="15" t="s">
        <v>21</v>
      </c>
      <c r="O10" s="15" t="s">
        <v>20</v>
      </c>
      <c r="P10" s="15" t="s">
        <v>21</v>
      </c>
      <c r="Q10" s="15" t="s">
        <v>20</v>
      </c>
      <c r="R10" s="15" t="s">
        <v>21</v>
      </c>
      <c r="S10" s="15" t="s">
        <v>20</v>
      </c>
      <c r="T10" s="15" t="s">
        <v>21</v>
      </c>
      <c r="U10" s="15" t="s">
        <v>20</v>
      </c>
      <c r="V10" s="15" t="s">
        <v>21</v>
      </c>
      <c r="W10" s="15" t="s">
        <v>20</v>
      </c>
      <c r="X10" s="15" t="s">
        <v>21</v>
      </c>
      <c r="Y10" s="15" t="s">
        <v>20</v>
      </c>
      <c r="Z10" s="15" t="s">
        <v>21</v>
      </c>
      <c r="AA10" s="15" t="s">
        <v>20</v>
      </c>
      <c r="AB10" s="15" t="s">
        <v>21</v>
      </c>
      <c r="AC10" s="15" t="s">
        <v>20</v>
      </c>
      <c r="AD10" s="15" t="s">
        <v>21</v>
      </c>
      <c r="AF10" s="16" t="s">
        <v>38</v>
      </c>
    </row>
    <row r="11" spans="1:32" s="13" customFormat="1" ht="15">
      <c r="A11" s="12"/>
      <c r="B11" s="1" t="s">
        <v>37</v>
      </c>
      <c r="C11" s="14" t="s">
        <v>18</v>
      </c>
      <c r="D11" s="14" t="s">
        <v>22</v>
      </c>
      <c r="E11" s="14" t="s">
        <v>23</v>
      </c>
      <c r="F11" s="14" t="s">
        <v>23</v>
      </c>
      <c r="G11" s="14" t="s">
        <v>18</v>
      </c>
      <c r="H11" s="14" t="s">
        <v>22</v>
      </c>
      <c r="I11" s="14" t="s">
        <v>23</v>
      </c>
      <c r="J11" s="14" t="s">
        <v>23</v>
      </c>
      <c r="K11" s="14" t="s">
        <v>29</v>
      </c>
      <c r="L11" s="14" t="s">
        <v>22</v>
      </c>
      <c r="M11" s="14" t="s">
        <v>23</v>
      </c>
      <c r="N11" s="14" t="s">
        <v>23</v>
      </c>
      <c r="O11" s="14" t="s">
        <v>29</v>
      </c>
      <c r="P11" s="14" t="s">
        <v>22</v>
      </c>
      <c r="Q11" s="14" t="s">
        <v>23</v>
      </c>
      <c r="R11" s="14" t="s">
        <v>23</v>
      </c>
      <c r="S11" s="14" t="s">
        <v>29</v>
      </c>
      <c r="T11" s="14" t="s">
        <v>22</v>
      </c>
      <c r="U11" s="14" t="s">
        <v>23</v>
      </c>
      <c r="V11" s="14" t="s">
        <v>23</v>
      </c>
      <c r="W11" s="14" t="s">
        <v>29</v>
      </c>
      <c r="X11" s="14" t="s">
        <v>22</v>
      </c>
      <c r="Y11" s="14" t="s">
        <v>23</v>
      </c>
      <c r="Z11" s="14" t="s">
        <v>23</v>
      </c>
      <c r="AA11" s="14" t="s">
        <v>29</v>
      </c>
      <c r="AB11" s="14" t="s">
        <v>22</v>
      </c>
      <c r="AC11" s="14" t="s">
        <v>23</v>
      </c>
      <c r="AD11" s="14" t="s">
        <v>23</v>
      </c>
      <c r="AF11" s="31"/>
    </row>
    <row r="12" spans="1:28" ht="15">
      <c r="A12" s="12"/>
      <c r="B12" s="13"/>
      <c r="E12" s="10"/>
      <c r="F12" s="10"/>
      <c r="H12" s="9"/>
      <c r="I12" s="9"/>
      <c r="J12" s="7"/>
      <c r="K12" s="9"/>
      <c r="L12" s="7"/>
      <c r="M12" s="7"/>
      <c r="N12" s="7"/>
      <c r="O12" s="9"/>
      <c r="P12" s="9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32" ht="15">
      <c r="A13" s="12"/>
      <c r="B13" s="34" t="s">
        <v>41</v>
      </c>
      <c r="C13" s="6">
        <v>59267357.71999999</v>
      </c>
      <c r="D13" s="21">
        <v>55261</v>
      </c>
      <c r="E13" s="6">
        <f>C13*$E$7</f>
        <v>139870.9642192</v>
      </c>
      <c r="F13" s="6">
        <f>D13*$F$7</f>
        <v>172972.4561</v>
      </c>
      <c r="G13" s="6">
        <v>16038567.899999999</v>
      </c>
      <c r="H13" s="21">
        <v>4659</v>
      </c>
      <c r="I13" s="6">
        <f>G13*$I$7</f>
        <v>32670.5628123</v>
      </c>
      <c r="J13" s="6">
        <f>H13*$J$7</f>
        <v>34232.0025</v>
      </c>
      <c r="K13" s="6">
        <v>121556.4</v>
      </c>
      <c r="L13" s="21">
        <v>786</v>
      </c>
      <c r="M13" s="6">
        <f>K13*$M$7</f>
        <v>47477.498712</v>
      </c>
      <c r="N13" s="21">
        <f>L13*$N$7</f>
        <v>38143.322400000005</v>
      </c>
      <c r="O13" s="6">
        <v>34642.67</v>
      </c>
      <c r="P13" s="21">
        <v>19</v>
      </c>
      <c r="Q13" s="6">
        <f>O13*$Q$7</f>
        <v>8096.96197376</v>
      </c>
      <c r="R13" s="21">
        <f>P13*$R$7</f>
        <v>10704.6665</v>
      </c>
      <c r="S13" s="6">
        <v>38505.31</v>
      </c>
      <c r="T13" s="21">
        <v>2</v>
      </c>
      <c r="U13" s="6">
        <f>S13*$U$7</f>
        <v>37878.482058509995</v>
      </c>
      <c r="V13" s="21">
        <f>T13*$V$7</f>
        <v>5917.120800000001</v>
      </c>
      <c r="W13" s="6">
        <v>40.18333333333333</v>
      </c>
      <c r="X13" s="21">
        <v>30</v>
      </c>
      <c r="Y13" s="6">
        <f>W13*$Y$7</f>
        <v>0.7450391833333333</v>
      </c>
      <c r="Z13" s="29">
        <f>X13*$Z$7</f>
        <v>0.28200000000000003</v>
      </c>
      <c r="AA13" s="6">
        <f>99.96+33.42+2169.75</f>
        <v>2303.13</v>
      </c>
      <c r="AB13" s="21">
        <v>3</v>
      </c>
      <c r="AC13" s="6">
        <f>AA13*$AC$7</f>
        <v>777.07836513</v>
      </c>
      <c r="AD13" s="29">
        <f>AB13*$AD$7</f>
        <v>0.23759999999999998</v>
      </c>
      <c r="AF13" s="20">
        <f>E13+F13+I13+J13+M13+N13+Q13+R13+U13+V13+Y13+Z13+AC13+AD13</f>
        <v>528742.3810800833</v>
      </c>
    </row>
    <row r="14" spans="1:32" ht="15">
      <c r="A14" s="12"/>
      <c r="B14" s="35" t="s">
        <v>4</v>
      </c>
      <c r="C14" s="6">
        <v>35862044.77</v>
      </c>
      <c r="D14" s="21">
        <v>44401</v>
      </c>
      <c r="E14" s="6">
        <f aca="true" t="shared" si="0" ref="E14:E24">C14*$E$7</f>
        <v>84634.42565720002</v>
      </c>
      <c r="F14" s="6">
        <f aca="true" t="shared" si="1" ref="F14:F24">D14*$F$7</f>
        <v>138979.5701</v>
      </c>
      <c r="G14" s="6">
        <v>10467447.100000001</v>
      </c>
      <c r="H14" s="21">
        <v>5057</v>
      </c>
      <c r="I14" s="6">
        <f aca="true" t="shared" si="2" ref="I14:I24">G14*$I$7</f>
        <v>21322.189742700004</v>
      </c>
      <c r="J14" s="6">
        <f aca="true" t="shared" si="3" ref="J14:J24">H14*$J$7</f>
        <v>37156.3075</v>
      </c>
      <c r="K14" s="6">
        <v>146328.91</v>
      </c>
      <c r="L14" s="21">
        <v>1006</v>
      </c>
      <c r="M14" s="6">
        <f aca="true" t="shared" si="4" ref="M14:M24">K14*$M$7</f>
        <v>57153.14566780001</v>
      </c>
      <c r="N14" s="21">
        <f aca="true" t="shared" si="5" ref="N14:N24">L14*$N$7</f>
        <v>48819.570400000004</v>
      </c>
      <c r="O14" s="6">
        <v>36428.45</v>
      </c>
      <c r="P14" s="21">
        <v>19</v>
      </c>
      <c r="Q14" s="6">
        <f aca="true" t="shared" si="6" ref="Q14:Q24">O14*$Q$7</f>
        <v>8514.348761599998</v>
      </c>
      <c r="R14" s="21">
        <f aca="true" t="shared" si="7" ref="R14:R24">P14*$R$7</f>
        <v>10704.6665</v>
      </c>
      <c r="S14" s="6">
        <v>38808.58</v>
      </c>
      <c r="T14" s="21">
        <v>2</v>
      </c>
      <c r="U14" s="6">
        <f aca="true" t="shared" si="8" ref="U14:U24">S14*$U$7</f>
        <v>38176.81512618</v>
      </c>
      <c r="V14" s="21">
        <f aca="true" t="shared" si="9" ref="V14:V24">T14*$V$7</f>
        <v>5917.120800000001</v>
      </c>
      <c r="W14" s="6">
        <v>38.53888888888889</v>
      </c>
      <c r="X14" s="21">
        <v>28</v>
      </c>
      <c r="Y14" s="6">
        <f aca="true" t="shared" si="10" ref="Y14:Y24">W14*$Y$7</f>
        <v>0.7145495388888891</v>
      </c>
      <c r="Z14" s="29">
        <f aca="true" t="shared" si="11" ref="Z14:Z24">X14*$Z$7</f>
        <v>0.2632</v>
      </c>
      <c r="AA14" s="6">
        <f>99.96+33.46+2170.84</f>
        <v>2304.26</v>
      </c>
      <c r="AB14" s="21">
        <v>3</v>
      </c>
      <c r="AC14" s="6">
        <f aca="true" t="shared" si="12" ref="AC14:AC24">AA14*$AC$7</f>
        <v>777.4596282599999</v>
      </c>
      <c r="AD14" s="29">
        <f aca="true" t="shared" si="13" ref="AD14:AD24">AB14*$AD$7</f>
        <v>0.23759999999999998</v>
      </c>
      <c r="AF14" s="20">
        <f aca="true" t="shared" si="14" ref="AF14:AF26">E14+F14+I14+J14+M14+N14+Q14+R14+U14+V14+Y14+Z14+AC14+AD14</f>
        <v>452156.83523327886</v>
      </c>
    </row>
    <row r="15" spans="1:32" ht="15">
      <c r="A15" s="12"/>
      <c r="B15" s="35" t="s">
        <v>5</v>
      </c>
      <c r="C15" s="6">
        <v>42119481</v>
      </c>
      <c r="D15" s="21">
        <v>46078</v>
      </c>
      <c r="E15" s="6">
        <f t="shared" si="0"/>
        <v>99401.97516</v>
      </c>
      <c r="F15" s="6">
        <f t="shared" si="1"/>
        <v>144228.7478</v>
      </c>
      <c r="G15" s="6">
        <v>12743852</v>
      </c>
      <c r="H15" s="21">
        <v>4476</v>
      </c>
      <c r="I15" s="6">
        <f t="shared" si="2"/>
        <v>25959.226524</v>
      </c>
      <c r="J15" s="6">
        <f t="shared" si="3"/>
        <v>32887.41</v>
      </c>
      <c r="K15" s="6">
        <v>128879.08000000002</v>
      </c>
      <c r="L15" s="21">
        <v>870</v>
      </c>
      <c r="M15" s="6">
        <f t="shared" si="4"/>
        <v>50337.59106640001</v>
      </c>
      <c r="N15" s="21">
        <f t="shared" si="5"/>
        <v>42219.708000000006</v>
      </c>
      <c r="O15" s="6">
        <v>34901.18</v>
      </c>
      <c r="P15" s="21">
        <v>19</v>
      </c>
      <c r="Q15" s="6">
        <f t="shared" si="6"/>
        <v>8157.38299904</v>
      </c>
      <c r="R15" s="21">
        <f t="shared" si="7"/>
        <v>10704.6665</v>
      </c>
      <c r="S15" s="6">
        <v>37933.41</v>
      </c>
      <c r="T15" s="21">
        <v>2</v>
      </c>
      <c r="U15" s="6">
        <f t="shared" si="8"/>
        <v>37315.89201861</v>
      </c>
      <c r="V15" s="21">
        <f t="shared" si="9"/>
        <v>5917.120800000001</v>
      </c>
      <c r="W15" s="6">
        <v>35.853</v>
      </c>
      <c r="X15" s="21">
        <v>28</v>
      </c>
      <c r="Y15" s="6">
        <f t="shared" si="10"/>
        <v>0.6647504730000001</v>
      </c>
      <c r="Z15" s="29">
        <f t="shared" si="11"/>
        <v>0.2632</v>
      </c>
      <c r="AA15" s="6">
        <f>99.96+33.46+2170.84</f>
        <v>2304.26</v>
      </c>
      <c r="AB15" s="21">
        <v>3</v>
      </c>
      <c r="AC15" s="6">
        <f t="shared" si="12"/>
        <v>777.4596282599999</v>
      </c>
      <c r="AD15" s="29">
        <f t="shared" si="13"/>
        <v>0.23759999999999998</v>
      </c>
      <c r="AF15" s="20">
        <f t="shared" si="14"/>
        <v>457908.3460467829</v>
      </c>
    </row>
    <row r="16" spans="1:32" ht="15">
      <c r="A16" s="12"/>
      <c r="B16" s="35" t="s">
        <v>6</v>
      </c>
      <c r="C16" s="6">
        <v>37452840</v>
      </c>
      <c r="D16" s="21">
        <v>40238</v>
      </c>
      <c r="E16" s="6">
        <f t="shared" si="0"/>
        <v>88388.70240000001</v>
      </c>
      <c r="F16" s="6">
        <f t="shared" si="1"/>
        <v>125948.9638</v>
      </c>
      <c r="G16" s="6">
        <v>12781032</v>
      </c>
      <c r="H16" s="21">
        <v>4807</v>
      </c>
      <c r="I16" s="6">
        <f t="shared" si="2"/>
        <v>26034.962184000004</v>
      </c>
      <c r="J16" s="6">
        <f t="shared" si="3"/>
        <v>35319.4325</v>
      </c>
      <c r="K16" s="6">
        <v>115739.87999999999</v>
      </c>
      <c r="L16" s="21">
        <v>785</v>
      </c>
      <c r="M16" s="6">
        <f t="shared" si="4"/>
        <v>45205.6823304</v>
      </c>
      <c r="N16" s="21">
        <f t="shared" si="5"/>
        <v>38094.794</v>
      </c>
      <c r="O16" s="6">
        <v>37679.93</v>
      </c>
      <c r="P16" s="21">
        <v>20</v>
      </c>
      <c r="Q16" s="6">
        <f t="shared" si="6"/>
        <v>8806.85467904</v>
      </c>
      <c r="R16" s="21">
        <f t="shared" si="7"/>
        <v>11268.07</v>
      </c>
      <c r="S16" s="6">
        <v>39755.81</v>
      </c>
      <c r="T16" s="21">
        <v>2</v>
      </c>
      <c r="U16" s="6">
        <f t="shared" si="8"/>
        <v>39108.625169009996</v>
      </c>
      <c r="V16" s="21">
        <f t="shared" si="9"/>
        <v>5917.120800000001</v>
      </c>
      <c r="W16" s="6">
        <v>41.21111111111111</v>
      </c>
      <c r="X16" s="21">
        <v>28</v>
      </c>
      <c r="Y16" s="6">
        <f t="shared" si="10"/>
        <v>0.7640952111111111</v>
      </c>
      <c r="Z16" s="29">
        <f t="shared" si="11"/>
        <v>0.2632</v>
      </c>
      <c r="AA16" s="6">
        <f>99.96+33.46+2192.4</f>
        <v>2325.82</v>
      </c>
      <c r="AB16" s="21">
        <v>3</v>
      </c>
      <c r="AC16" s="6">
        <f t="shared" si="12"/>
        <v>784.7339938199999</v>
      </c>
      <c r="AD16" s="29">
        <f t="shared" si="13"/>
        <v>0.23759999999999998</v>
      </c>
      <c r="AF16" s="20">
        <f t="shared" si="14"/>
        <v>424879.2067514811</v>
      </c>
    </row>
    <row r="17" spans="1:32" ht="15">
      <c r="A17" s="12"/>
      <c r="B17" s="35" t="s">
        <v>7</v>
      </c>
      <c r="C17" s="6">
        <v>34812803</v>
      </c>
      <c r="D17" s="21">
        <v>51864</v>
      </c>
      <c r="E17" s="6">
        <f t="shared" si="0"/>
        <v>82158.21508000001</v>
      </c>
      <c r="F17" s="6">
        <f t="shared" si="1"/>
        <v>162339.5064</v>
      </c>
      <c r="G17" s="6">
        <v>10680074</v>
      </c>
      <c r="H17" s="21">
        <v>4409</v>
      </c>
      <c r="I17" s="6">
        <f t="shared" si="2"/>
        <v>21755.310738</v>
      </c>
      <c r="J17" s="6">
        <f t="shared" si="3"/>
        <v>32395.127500000002</v>
      </c>
      <c r="K17" s="6">
        <v>132873.83000000002</v>
      </c>
      <c r="L17" s="21">
        <v>1004</v>
      </c>
      <c r="M17" s="6">
        <f t="shared" si="4"/>
        <v>51897.86052140001</v>
      </c>
      <c r="N17" s="21">
        <f t="shared" si="5"/>
        <v>48722.513600000006</v>
      </c>
      <c r="O17" s="6">
        <v>37787.77</v>
      </c>
      <c r="P17" s="21">
        <v>20</v>
      </c>
      <c r="Q17" s="6">
        <f t="shared" si="6"/>
        <v>8832.059906559998</v>
      </c>
      <c r="R17" s="21">
        <f t="shared" si="7"/>
        <v>11268.07</v>
      </c>
      <c r="S17" s="6">
        <v>38990.74</v>
      </c>
      <c r="T17" s="21">
        <v>2</v>
      </c>
      <c r="U17" s="6">
        <f t="shared" si="8"/>
        <v>38356.009743539995</v>
      </c>
      <c r="V17" s="21">
        <f t="shared" si="9"/>
        <v>5917.120800000001</v>
      </c>
      <c r="W17" s="6">
        <v>41.814055555555555</v>
      </c>
      <c r="X17" s="21">
        <v>28</v>
      </c>
      <c r="Y17" s="6">
        <f t="shared" si="10"/>
        <v>0.7752744040555556</v>
      </c>
      <c r="Z17" s="29">
        <f t="shared" si="11"/>
        <v>0.2632</v>
      </c>
      <c r="AA17" s="6">
        <f>99.96+33.46+2192.94</f>
        <v>2326.36</v>
      </c>
      <c r="AB17" s="21">
        <v>3</v>
      </c>
      <c r="AC17" s="6">
        <f t="shared" si="12"/>
        <v>784.91619036</v>
      </c>
      <c r="AD17" s="29">
        <f t="shared" si="13"/>
        <v>0.23759999999999998</v>
      </c>
      <c r="AE17" s="28"/>
      <c r="AF17" s="20">
        <f t="shared" si="14"/>
        <v>464427.98655426403</v>
      </c>
    </row>
    <row r="18" spans="1:32" ht="15">
      <c r="A18" s="12"/>
      <c r="B18" s="35" t="s">
        <v>8</v>
      </c>
      <c r="C18" s="6">
        <v>39775212</v>
      </c>
      <c r="D18" s="21">
        <v>39013</v>
      </c>
      <c r="E18" s="6">
        <f t="shared" si="0"/>
        <v>93869.50032</v>
      </c>
      <c r="F18" s="6">
        <f t="shared" si="1"/>
        <v>122114.5913</v>
      </c>
      <c r="G18" s="6">
        <v>14136223</v>
      </c>
      <c r="H18" s="21">
        <v>4879</v>
      </c>
      <c r="I18" s="6">
        <f t="shared" si="2"/>
        <v>28795.486251000002</v>
      </c>
      <c r="J18" s="6">
        <f t="shared" si="3"/>
        <v>35848.4525</v>
      </c>
      <c r="K18" s="53">
        <v>125446.85</v>
      </c>
      <c r="L18" s="21">
        <v>744</v>
      </c>
      <c r="M18" s="6">
        <f t="shared" si="4"/>
        <v>48997.03067300001</v>
      </c>
      <c r="N18" s="21">
        <f t="shared" si="5"/>
        <v>36105.1296</v>
      </c>
      <c r="O18" s="51">
        <v>0</v>
      </c>
      <c r="P18" s="21">
        <v>20.5</v>
      </c>
      <c r="Q18" s="6">
        <f t="shared" si="6"/>
        <v>0</v>
      </c>
      <c r="R18" s="21">
        <f t="shared" si="7"/>
        <v>11549.77175</v>
      </c>
      <c r="S18" s="51">
        <v>0</v>
      </c>
      <c r="T18" s="21">
        <v>2</v>
      </c>
      <c r="U18" s="6">
        <f t="shared" si="8"/>
        <v>0</v>
      </c>
      <c r="V18" s="21">
        <f t="shared" si="9"/>
        <v>5917.120800000001</v>
      </c>
      <c r="W18" s="6">
        <v>33.96388888888889</v>
      </c>
      <c r="X18" s="21">
        <v>26</v>
      </c>
      <c r="Y18" s="6">
        <f t="shared" si="10"/>
        <v>0.6297244638888889</v>
      </c>
      <c r="Z18" s="29">
        <f t="shared" si="11"/>
        <v>0.2444</v>
      </c>
      <c r="AA18" s="6">
        <f>33.46+99.96+2195.6</f>
        <v>2329.02</v>
      </c>
      <c r="AB18" s="21">
        <v>3</v>
      </c>
      <c r="AC18" s="6">
        <f t="shared" si="12"/>
        <v>785.8136770199999</v>
      </c>
      <c r="AD18" s="29">
        <f t="shared" si="13"/>
        <v>0.23759999999999998</v>
      </c>
      <c r="AF18" s="20">
        <f t="shared" si="14"/>
        <v>383984.00859548396</v>
      </c>
    </row>
    <row r="19" spans="1:32" ht="15">
      <c r="A19" s="12"/>
      <c r="B19" s="35" t="s">
        <v>9</v>
      </c>
      <c r="C19" s="6">
        <v>43295551</v>
      </c>
      <c r="D19" s="21">
        <v>52170</v>
      </c>
      <c r="E19" s="6">
        <f t="shared" si="0"/>
        <v>102177.50036</v>
      </c>
      <c r="F19" s="6">
        <f t="shared" si="1"/>
        <v>163297.317</v>
      </c>
      <c r="G19" s="6">
        <v>11540218</v>
      </c>
      <c r="H19" s="21">
        <v>4445</v>
      </c>
      <c r="I19" s="6">
        <f t="shared" si="2"/>
        <v>23507.424066000003</v>
      </c>
      <c r="J19" s="6">
        <f t="shared" si="3"/>
        <v>32659.6375</v>
      </c>
      <c r="K19" s="53">
        <f>K18</f>
        <v>125446.85</v>
      </c>
      <c r="L19" s="21">
        <v>1072</v>
      </c>
      <c r="M19" s="6">
        <f t="shared" si="4"/>
        <v>48997.03067300001</v>
      </c>
      <c r="N19" s="21">
        <f t="shared" si="5"/>
        <v>52022.444800000005</v>
      </c>
      <c r="O19" s="51">
        <v>76010.4</v>
      </c>
      <c r="P19" s="21">
        <v>20.5</v>
      </c>
      <c r="Q19" s="6">
        <f t="shared" si="6"/>
        <v>17765.7587712</v>
      </c>
      <c r="R19" s="21">
        <f t="shared" si="7"/>
        <v>11549.77175</v>
      </c>
      <c r="S19" s="51">
        <v>78067.2</v>
      </c>
      <c r="T19" s="21">
        <v>2</v>
      </c>
      <c r="U19" s="6">
        <f t="shared" si="8"/>
        <v>76796.3440512</v>
      </c>
      <c r="V19" s="21">
        <f t="shared" si="9"/>
        <v>5917.120800000001</v>
      </c>
      <c r="W19" s="6">
        <v>33.083333333333336</v>
      </c>
      <c r="X19" s="21">
        <v>26</v>
      </c>
      <c r="Y19" s="6">
        <f t="shared" si="10"/>
        <v>0.6133980833333335</v>
      </c>
      <c r="Z19" s="29">
        <f t="shared" si="11"/>
        <v>0.2444</v>
      </c>
      <c r="AA19" s="6">
        <f>33.46+99.96+2216.32</f>
        <v>2349.7400000000002</v>
      </c>
      <c r="AB19" s="21">
        <v>3</v>
      </c>
      <c r="AC19" s="6">
        <f t="shared" si="12"/>
        <v>792.80462574</v>
      </c>
      <c r="AD19" s="29">
        <f t="shared" si="13"/>
        <v>0.23759999999999998</v>
      </c>
      <c r="AF19" s="20">
        <f t="shared" si="14"/>
        <v>535484.2497952235</v>
      </c>
    </row>
    <row r="20" spans="1:32" ht="15">
      <c r="A20" s="12"/>
      <c r="B20" s="35" t="s">
        <v>10</v>
      </c>
      <c r="C20" s="6">
        <v>48586232</v>
      </c>
      <c r="D20" s="21">
        <v>43456</v>
      </c>
      <c r="E20" s="6">
        <f t="shared" si="0"/>
        <v>114663.50752</v>
      </c>
      <c r="F20" s="6">
        <f t="shared" si="1"/>
        <v>136021.6256</v>
      </c>
      <c r="G20" s="6">
        <v>13599201</v>
      </c>
      <c r="H20" s="21">
        <v>4978</v>
      </c>
      <c r="I20" s="6">
        <f t="shared" si="2"/>
        <v>27701.572437000003</v>
      </c>
      <c r="J20" s="6">
        <f t="shared" si="3"/>
        <v>36575.855</v>
      </c>
      <c r="K20" s="6">
        <v>122265.5</v>
      </c>
      <c r="L20" s="21">
        <v>865</v>
      </c>
      <c r="M20" s="6">
        <f t="shared" si="4"/>
        <v>47754.45899000001</v>
      </c>
      <c r="N20" s="21">
        <f t="shared" si="5"/>
        <v>41977.066000000006</v>
      </c>
      <c r="O20" s="6">
        <v>39524.2</v>
      </c>
      <c r="P20" s="21">
        <v>21</v>
      </c>
      <c r="Q20" s="6">
        <f t="shared" si="6"/>
        <v>9237.912217599998</v>
      </c>
      <c r="R20" s="21">
        <f t="shared" si="7"/>
        <v>11831.4735</v>
      </c>
      <c r="S20" s="6">
        <v>38209.9</v>
      </c>
      <c r="T20" s="21">
        <v>2</v>
      </c>
      <c r="U20" s="6">
        <f t="shared" si="8"/>
        <v>37587.8810379</v>
      </c>
      <c r="V20" s="21">
        <f t="shared" si="9"/>
        <v>5917.120800000001</v>
      </c>
      <c r="W20" s="6">
        <v>37.205555555555556</v>
      </c>
      <c r="X20" s="21">
        <v>26</v>
      </c>
      <c r="Y20" s="6">
        <f t="shared" si="10"/>
        <v>0.6898282055555557</v>
      </c>
      <c r="Z20" s="29">
        <f t="shared" si="11"/>
        <v>0.2444</v>
      </c>
      <c r="AA20" s="6">
        <f>33.46+99.96+2226.32</f>
        <v>2359.7400000000002</v>
      </c>
      <c r="AB20" s="21">
        <v>3</v>
      </c>
      <c r="AC20" s="6">
        <f t="shared" si="12"/>
        <v>796.17863574</v>
      </c>
      <c r="AD20" s="29">
        <f t="shared" si="13"/>
        <v>0.23759999999999998</v>
      </c>
      <c r="AF20" s="20">
        <f t="shared" si="14"/>
        <v>470065.82356644556</v>
      </c>
    </row>
    <row r="21" spans="1:32" ht="15">
      <c r="A21" s="12"/>
      <c r="B21" s="35" t="s">
        <v>11</v>
      </c>
      <c r="C21" s="6">
        <v>47663416</v>
      </c>
      <c r="D21" s="21">
        <v>50827</v>
      </c>
      <c r="E21" s="6">
        <f t="shared" si="0"/>
        <v>112485.66176</v>
      </c>
      <c r="F21" s="6">
        <f t="shared" si="1"/>
        <v>159093.5927</v>
      </c>
      <c r="G21" s="6">
        <v>10291213</v>
      </c>
      <c r="H21" s="21">
        <v>4426</v>
      </c>
      <c r="I21" s="6">
        <f t="shared" si="2"/>
        <v>20963.200881</v>
      </c>
      <c r="J21" s="6">
        <f t="shared" si="3"/>
        <v>32520.035</v>
      </c>
      <c r="K21" s="6">
        <v>121513.5</v>
      </c>
      <c r="L21" s="21">
        <v>843</v>
      </c>
      <c r="M21" s="6">
        <f t="shared" si="4"/>
        <v>47460.74283</v>
      </c>
      <c r="N21" s="21">
        <f t="shared" si="5"/>
        <v>40909.4412</v>
      </c>
      <c r="O21" s="6">
        <v>39527.3</v>
      </c>
      <c r="P21" s="21">
        <v>22</v>
      </c>
      <c r="Q21" s="6">
        <f t="shared" si="6"/>
        <v>9238.6367744</v>
      </c>
      <c r="R21" s="21">
        <f t="shared" si="7"/>
        <v>12394.877</v>
      </c>
      <c r="S21" s="6">
        <v>38760</v>
      </c>
      <c r="T21" s="21">
        <v>2</v>
      </c>
      <c r="U21" s="6">
        <f t="shared" si="8"/>
        <v>38129.02596</v>
      </c>
      <c r="V21" s="21">
        <f t="shared" si="9"/>
        <v>5917.120800000001</v>
      </c>
      <c r="W21" s="6">
        <v>31.477777777777778</v>
      </c>
      <c r="X21" s="21">
        <v>26</v>
      </c>
      <c r="Y21" s="6">
        <f t="shared" si="10"/>
        <v>0.5836294777777778</v>
      </c>
      <c r="Z21" s="29">
        <f t="shared" si="11"/>
        <v>0.2444</v>
      </c>
      <c r="AA21" s="6">
        <f>33.46+100.72+2229.42</f>
        <v>2363.6</v>
      </c>
      <c r="AB21" s="21">
        <v>3</v>
      </c>
      <c r="AC21" s="6">
        <f t="shared" si="12"/>
        <v>797.4810035999999</v>
      </c>
      <c r="AD21" s="29">
        <f t="shared" si="13"/>
        <v>0.23759999999999998</v>
      </c>
      <c r="AF21" s="20">
        <f t="shared" si="14"/>
        <v>479910.8815384778</v>
      </c>
    </row>
    <row r="22" spans="1:32" ht="15">
      <c r="A22" s="12"/>
      <c r="B22" s="35" t="s">
        <v>12</v>
      </c>
      <c r="C22" s="6">
        <v>39475096</v>
      </c>
      <c r="D22" s="21">
        <v>47363</v>
      </c>
      <c r="E22" s="6">
        <f t="shared" si="0"/>
        <v>93161.22656000001</v>
      </c>
      <c r="F22" s="6">
        <f t="shared" si="1"/>
        <v>148250.9263</v>
      </c>
      <c r="G22" s="6">
        <v>11408506</v>
      </c>
      <c r="H22" s="21">
        <v>5379</v>
      </c>
      <c r="I22" s="6">
        <f t="shared" si="2"/>
        <v>23239.126722</v>
      </c>
      <c r="J22" s="6">
        <f t="shared" si="3"/>
        <v>39522.2025</v>
      </c>
      <c r="K22" s="6">
        <v>126446.2</v>
      </c>
      <c r="L22" s="21">
        <v>938</v>
      </c>
      <c r="M22" s="6">
        <f t="shared" si="4"/>
        <v>49387.35679600001</v>
      </c>
      <c r="N22" s="21">
        <f t="shared" si="5"/>
        <v>45519.639200000005</v>
      </c>
      <c r="O22" s="6">
        <v>32848.3</v>
      </c>
      <c r="P22" s="21">
        <v>20</v>
      </c>
      <c r="Q22" s="6">
        <f t="shared" si="6"/>
        <v>7677.5674624</v>
      </c>
      <c r="R22" s="21">
        <f t="shared" si="7"/>
        <v>11268.07</v>
      </c>
      <c r="S22" s="6">
        <v>39536.4</v>
      </c>
      <c r="T22" s="21">
        <v>2</v>
      </c>
      <c r="U22" s="6">
        <f t="shared" si="8"/>
        <v>38892.7869444</v>
      </c>
      <c r="V22" s="21">
        <f t="shared" si="9"/>
        <v>5917.120800000001</v>
      </c>
      <c r="W22" s="6">
        <v>38.43611111111111</v>
      </c>
      <c r="X22" s="21">
        <v>26</v>
      </c>
      <c r="Y22" s="6">
        <f t="shared" si="10"/>
        <v>0.7126439361111112</v>
      </c>
      <c r="Z22" s="29">
        <f t="shared" si="11"/>
        <v>0.2444</v>
      </c>
      <c r="AA22" s="6">
        <f>33.46+102.58+2234.4</f>
        <v>2370.44</v>
      </c>
      <c r="AB22" s="21">
        <v>3</v>
      </c>
      <c r="AC22" s="6">
        <f t="shared" si="12"/>
        <v>799.7888264399999</v>
      </c>
      <c r="AD22" s="29">
        <f t="shared" si="13"/>
        <v>0.23759999999999998</v>
      </c>
      <c r="AF22" s="20">
        <f t="shared" si="14"/>
        <v>463637.0067551761</v>
      </c>
    </row>
    <row r="23" spans="1:32" ht="15">
      <c r="A23" s="12"/>
      <c r="B23" s="35" t="s">
        <v>13</v>
      </c>
      <c r="C23" s="6">
        <v>38541708</v>
      </c>
      <c r="D23" s="21">
        <v>43914</v>
      </c>
      <c r="E23" s="6">
        <f t="shared" si="0"/>
        <v>90958.43088</v>
      </c>
      <c r="F23" s="6">
        <f t="shared" si="1"/>
        <v>137455.2114</v>
      </c>
      <c r="G23" s="6">
        <v>10803148</v>
      </c>
      <c r="H23" s="21">
        <v>4166</v>
      </c>
      <c r="I23" s="6">
        <f t="shared" si="2"/>
        <v>22006.012476000004</v>
      </c>
      <c r="J23" s="6">
        <f t="shared" si="3"/>
        <v>30609.685</v>
      </c>
      <c r="K23" s="6">
        <v>124134.3</v>
      </c>
      <c r="L23" s="21">
        <v>948</v>
      </c>
      <c r="M23" s="6">
        <f t="shared" si="4"/>
        <v>48484.37489400001</v>
      </c>
      <c r="N23" s="21">
        <f t="shared" si="5"/>
        <v>46004.923200000005</v>
      </c>
      <c r="O23" s="6">
        <v>38532.3</v>
      </c>
      <c r="P23" s="21">
        <v>20</v>
      </c>
      <c r="Q23" s="6">
        <f t="shared" si="6"/>
        <v>9006.0774144</v>
      </c>
      <c r="R23" s="21">
        <f t="shared" si="7"/>
        <v>11268.07</v>
      </c>
      <c r="S23" s="6">
        <v>37448.4</v>
      </c>
      <c r="T23" s="21">
        <v>2</v>
      </c>
      <c r="U23" s="6">
        <f t="shared" si="8"/>
        <v>36838.7774964</v>
      </c>
      <c r="V23" s="21">
        <f t="shared" si="9"/>
        <v>5917.120800000001</v>
      </c>
      <c r="W23" s="6">
        <v>34.333333333333336</v>
      </c>
      <c r="X23" s="21">
        <v>26</v>
      </c>
      <c r="Y23" s="6">
        <f t="shared" si="10"/>
        <v>0.6365743333333335</v>
      </c>
      <c r="Z23" s="29">
        <f t="shared" si="11"/>
        <v>0.2444</v>
      </c>
      <c r="AA23" s="6">
        <f>33.42+102.58+2234.4</f>
        <v>2370.4</v>
      </c>
      <c r="AB23" s="21">
        <v>3</v>
      </c>
      <c r="AC23" s="6">
        <f t="shared" si="12"/>
        <v>799.7753303999999</v>
      </c>
      <c r="AD23" s="29">
        <f t="shared" si="13"/>
        <v>0.23759999999999998</v>
      </c>
      <c r="AF23" s="20">
        <f t="shared" si="14"/>
        <v>439349.5774655334</v>
      </c>
    </row>
    <row r="24" spans="1:32" ht="15">
      <c r="A24" s="12"/>
      <c r="B24" s="35" t="s">
        <v>3</v>
      </c>
      <c r="C24" s="6">
        <v>17928419</v>
      </c>
      <c r="D24" s="21">
        <v>43633</v>
      </c>
      <c r="E24" s="6">
        <f t="shared" si="0"/>
        <v>42311.06884</v>
      </c>
      <c r="F24" s="6">
        <f t="shared" si="1"/>
        <v>136575.6533</v>
      </c>
      <c r="G24" s="6">
        <v>9845316</v>
      </c>
      <c r="H24" s="21">
        <v>5208</v>
      </c>
      <c r="I24" s="6">
        <f t="shared" si="2"/>
        <v>20054.908692</v>
      </c>
      <c r="J24" s="6">
        <f t="shared" si="3"/>
        <v>38265.78</v>
      </c>
      <c r="K24" s="6">
        <v>118417</v>
      </c>
      <c r="L24" s="21">
        <v>865</v>
      </c>
      <c r="M24" s="6">
        <f t="shared" si="4"/>
        <v>46251.31186</v>
      </c>
      <c r="N24" s="21">
        <f t="shared" si="5"/>
        <v>41977.066000000006</v>
      </c>
      <c r="O24" s="6">
        <v>46025.8</v>
      </c>
      <c r="P24" s="21">
        <v>20</v>
      </c>
      <c r="Q24" s="6">
        <f t="shared" si="6"/>
        <v>10757.518182400001</v>
      </c>
      <c r="R24" s="21">
        <f t="shared" si="7"/>
        <v>11268.07</v>
      </c>
      <c r="S24" s="6">
        <v>38248.770000000004</v>
      </c>
      <c r="T24" s="21">
        <v>2</v>
      </c>
      <c r="U24" s="6">
        <f t="shared" si="8"/>
        <v>37626.11827317</v>
      </c>
      <c r="V24" s="21">
        <f t="shared" si="9"/>
        <v>5917.120800000001</v>
      </c>
      <c r="W24" s="6">
        <v>42.53333333333333</v>
      </c>
      <c r="X24" s="21">
        <v>26</v>
      </c>
      <c r="Y24" s="6">
        <f t="shared" si="10"/>
        <v>0.7886105333333334</v>
      </c>
      <c r="Z24" s="29">
        <f t="shared" si="11"/>
        <v>0.2444</v>
      </c>
      <c r="AA24" s="6">
        <f>33.42+103.2+2235.22</f>
        <v>2371.8399999999997</v>
      </c>
      <c r="AB24" s="21">
        <v>3</v>
      </c>
      <c r="AC24" s="6">
        <f t="shared" si="12"/>
        <v>800.2611878399998</v>
      </c>
      <c r="AD24" s="29">
        <f t="shared" si="13"/>
        <v>0.23759999999999998</v>
      </c>
      <c r="AF24" s="20">
        <f t="shared" si="14"/>
        <v>391806.14774594334</v>
      </c>
    </row>
    <row r="25" spans="1:32" ht="15">
      <c r="A25" s="12"/>
      <c r="B25" s="13"/>
      <c r="C25" s="6"/>
      <c r="D25" s="21"/>
      <c r="E25" s="6"/>
      <c r="F25" s="6"/>
      <c r="G25" s="6"/>
      <c r="H25" s="21"/>
      <c r="I25" s="6"/>
      <c r="J25" s="6"/>
      <c r="K25" s="6"/>
      <c r="L25" s="21"/>
      <c r="M25" s="6"/>
      <c r="N25" s="21"/>
      <c r="O25" s="6"/>
      <c r="P25" s="21"/>
      <c r="Q25" s="5"/>
      <c r="R25" s="5"/>
      <c r="S25" s="6"/>
      <c r="T25" s="21"/>
      <c r="U25" s="5"/>
      <c r="V25" s="5"/>
      <c r="W25" s="6"/>
      <c r="X25" s="5"/>
      <c r="Y25" s="5"/>
      <c r="Z25" s="5"/>
      <c r="AA25" s="5"/>
      <c r="AB25" s="5"/>
      <c r="AF25" s="20"/>
    </row>
    <row r="26" spans="1:32" ht="15.75" thickBot="1">
      <c r="A26" s="12"/>
      <c r="B26" s="19"/>
      <c r="C26" s="19">
        <f aca="true" t="shared" si="15" ref="C26:AD26">SUM(C13:C24)</f>
        <v>484780160.49</v>
      </c>
      <c r="D26" s="22">
        <f>SUM(D13:D24)</f>
        <v>558218</v>
      </c>
      <c r="E26" s="19">
        <f t="shared" si="15"/>
        <v>1144081.1787564002</v>
      </c>
      <c r="F26" s="19">
        <f t="shared" si="15"/>
        <v>1747278.1618</v>
      </c>
      <c r="G26" s="19">
        <f t="shared" si="15"/>
        <v>144334798</v>
      </c>
      <c r="H26" s="22">
        <f t="shared" si="15"/>
        <v>56889</v>
      </c>
      <c r="I26" s="19">
        <f t="shared" si="15"/>
        <v>294009.98352600005</v>
      </c>
      <c r="J26" s="19">
        <f t="shared" si="15"/>
        <v>417991.9275</v>
      </c>
      <c r="K26" s="19">
        <f t="shared" si="15"/>
        <v>1509048.3</v>
      </c>
      <c r="L26" s="22">
        <f t="shared" si="15"/>
        <v>10726</v>
      </c>
      <c r="M26" s="19">
        <f t="shared" si="15"/>
        <v>589404.0850140001</v>
      </c>
      <c r="N26" s="19">
        <f t="shared" si="15"/>
        <v>520515.6184</v>
      </c>
      <c r="O26" s="19">
        <f t="shared" si="15"/>
        <v>453908.29999999993</v>
      </c>
      <c r="P26" s="22">
        <f t="shared" si="15"/>
        <v>241</v>
      </c>
      <c r="Q26" s="19">
        <f t="shared" si="15"/>
        <v>106091.07914239999</v>
      </c>
      <c r="R26" s="19">
        <f t="shared" si="15"/>
        <v>135780.24350000004</v>
      </c>
      <c r="S26" s="19">
        <f t="shared" si="15"/>
        <v>464264.5200000001</v>
      </c>
      <c r="T26" s="22">
        <f t="shared" si="15"/>
        <v>24</v>
      </c>
      <c r="U26" s="19">
        <f t="shared" si="15"/>
        <v>456706.75787892</v>
      </c>
      <c r="V26" s="19">
        <f t="shared" si="15"/>
        <v>71005.44960000002</v>
      </c>
      <c r="W26" s="19">
        <f t="shared" si="15"/>
        <v>448.6337222222222</v>
      </c>
      <c r="X26" s="22">
        <f t="shared" si="15"/>
        <v>324</v>
      </c>
      <c r="Y26" s="19">
        <f t="shared" si="15"/>
        <v>8.318117843722224</v>
      </c>
      <c r="Z26" s="19">
        <f t="shared" si="15"/>
        <v>3.0456000000000008</v>
      </c>
      <c r="AA26" s="19">
        <f t="shared" si="15"/>
        <v>28078.61</v>
      </c>
      <c r="AB26" s="22">
        <f t="shared" si="15"/>
        <v>36</v>
      </c>
      <c r="AC26" s="19">
        <f t="shared" si="15"/>
        <v>9473.75109261</v>
      </c>
      <c r="AD26" s="19">
        <f t="shared" si="15"/>
        <v>2.8512</v>
      </c>
      <c r="AF26" s="32">
        <f t="shared" si="14"/>
        <v>5492352.451128174</v>
      </c>
    </row>
    <row r="27" spans="1:32" ht="15.75" thickTop="1">
      <c r="A27" s="12"/>
      <c r="B27" s="13"/>
      <c r="C27" s="20"/>
      <c r="D27" s="23"/>
      <c r="E27" s="20"/>
      <c r="F27" s="20"/>
      <c r="G27" s="20"/>
      <c r="H27" s="23"/>
      <c r="I27" s="20"/>
      <c r="J27" s="20"/>
      <c r="K27" s="20"/>
      <c r="L27" s="23"/>
      <c r="M27" s="20"/>
      <c r="N27" s="20"/>
      <c r="O27" s="20"/>
      <c r="P27" s="23"/>
      <c r="Q27" s="20"/>
      <c r="R27" s="20"/>
      <c r="S27" s="20"/>
      <c r="T27" s="23"/>
      <c r="U27" s="20"/>
      <c r="V27" s="20"/>
      <c r="W27" s="20"/>
      <c r="X27" s="23"/>
      <c r="Y27" s="20"/>
      <c r="Z27" s="20"/>
      <c r="AA27" s="20"/>
      <c r="AB27" s="23"/>
      <c r="AC27" s="20"/>
      <c r="AD27" s="20"/>
      <c r="AF27" s="20"/>
    </row>
    <row r="28" spans="15:28" ht="12.75"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ht="12.75">
      <c r="O29" s="6"/>
    </row>
    <row r="30" ht="12.75">
      <c r="O30" s="6"/>
    </row>
    <row r="31" ht="12.75">
      <c r="O31" s="6"/>
    </row>
    <row r="32" ht="12.75">
      <c r="O32" s="6"/>
    </row>
    <row r="33" ht="12.75">
      <c r="O33" s="6"/>
    </row>
  </sheetData>
  <sheetProtection/>
  <mergeCells count="2">
    <mergeCell ref="F2:R2"/>
    <mergeCell ref="F3:P3"/>
  </mergeCells>
  <printOptions/>
  <pageMargins left="0" right="0" top="0.196850393700787" bottom="0.196850393700787" header="0.118110236220472" footer="0.118110236220472"/>
  <pageSetup fitToHeight="1" fitToWidth="1" horizontalDpi="600" verticalDpi="600" orientation="landscape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3"/>
  <sheetViews>
    <sheetView zoomScalePageLayoutView="0" workbookViewId="0" topLeftCell="A1">
      <pane xSplit="2" ySplit="11" topLeftCell="T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B36" sqref="AB36"/>
    </sheetView>
  </sheetViews>
  <sheetFormatPr defaultColWidth="9.140625" defaultRowHeight="12.75"/>
  <cols>
    <col min="1" max="1" width="2.421875" style="0" customWidth="1"/>
    <col min="2" max="2" width="10.7109375" style="0" customWidth="1"/>
    <col min="3" max="3" width="15.00390625" style="0" bestFit="1" customWidth="1"/>
    <col min="4" max="4" width="13.00390625" style="0" customWidth="1"/>
    <col min="5" max="5" width="14.57421875" style="0" customWidth="1"/>
    <col min="6" max="6" width="12.7109375" style="0" customWidth="1"/>
    <col min="7" max="7" width="15.00390625" style="0" bestFit="1" customWidth="1"/>
    <col min="8" max="8" width="16.140625" style="0" customWidth="1"/>
    <col min="9" max="9" width="15.57421875" style="0" customWidth="1"/>
    <col min="10" max="10" width="15.00390625" style="0" customWidth="1"/>
    <col min="11" max="11" width="15.7109375" style="0" customWidth="1"/>
    <col min="12" max="12" width="12.7109375" style="0" customWidth="1"/>
    <col min="13" max="13" width="14.7109375" style="0" customWidth="1"/>
    <col min="14" max="14" width="13.7109375" style="0" customWidth="1"/>
    <col min="15" max="15" width="15.57421875" style="0" customWidth="1"/>
    <col min="16" max="16" width="14.421875" style="0" bestFit="1" customWidth="1"/>
    <col min="17" max="17" width="14.8515625" style="0" customWidth="1"/>
    <col min="18" max="18" width="13.8515625" style="0" customWidth="1"/>
    <col min="19" max="20" width="13.421875" style="0" customWidth="1"/>
    <col min="21" max="21" width="12.28125" style="0" customWidth="1"/>
    <col min="22" max="22" width="14.57421875" style="0" bestFit="1" customWidth="1"/>
    <col min="23" max="23" width="12.7109375" style="0" customWidth="1"/>
    <col min="24" max="24" width="13.57421875" style="0" customWidth="1"/>
    <col min="25" max="25" width="14.8515625" style="0" customWidth="1"/>
    <col min="26" max="26" width="14.00390625" style="0" customWidth="1"/>
    <col min="27" max="27" width="13.7109375" style="0" customWidth="1"/>
    <col min="28" max="28" width="13.8515625" style="0" customWidth="1"/>
    <col min="29" max="29" width="13.28125" style="0" bestFit="1" customWidth="1"/>
    <col min="30" max="30" width="13.7109375" style="0" bestFit="1" customWidth="1"/>
    <col min="31" max="31" width="6.7109375" style="0" hidden="1" customWidth="1"/>
    <col min="32" max="32" width="14.8515625" style="0" bestFit="1" customWidth="1"/>
  </cols>
  <sheetData>
    <row r="1" spans="1:2" ht="15">
      <c r="A1" s="2" t="s">
        <v>2</v>
      </c>
      <c r="B1" s="30"/>
    </row>
    <row r="2" spans="1:18" ht="15">
      <c r="A2" s="2" t="s">
        <v>14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22" ht="15">
      <c r="A3" s="1"/>
      <c r="B3" s="2" t="s">
        <v>40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3"/>
      <c r="R3" s="3"/>
      <c r="U3" s="3"/>
      <c r="V3" s="3"/>
    </row>
    <row r="4" spans="5:30" ht="12.75">
      <c r="E4" s="10" t="s">
        <v>27</v>
      </c>
      <c r="F4" s="10" t="s">
        <v>27</v>
      </c>
      <c r="G4" s="3"/>
      <c r="H4" s="3"/>
      <c r="I4" s="10" t="s">
        <v>27</v>
      </c>
      <c r="J4" s="10" t="s">
        <v>27</v>
      </c>
      <c r="K4" s="3"/>
      <c r="L4" s="3"/>
      <c r="M4" s="10" t="s">
        <v>27</v>
      </c>
      <c r="N4" s="10" t="s">
        <v>27</v>
      </c>
      <c r="O4" s="3"/>
      <c r="P4" s="3"/>
      <c r="Q4" s="10" t="s">
        <v>27</v>
      </c>
      <c r="R4" s="10" t="s">
        <v>27</v>
      </c>
      <c r="U4" s="10" t="s">
        <v>27</v>
      </c>
      <c r="V4" s="10" t="s">
        <v>27</v>
      </c>
      <c r="Y4" s="10" t="s">
        <v>27</v>
      </c>
      <c r="Z4" s="10" t="s">
        <v>27</v>
      </c>
      <c r="AC4" s="10" t="s">
        <v>27</v>
      </c>
      <c r="AD4" s="10" t="s">
        <v>27</v>
      </c>
    </row>
    <row r="5" spans="5:30" ht="12.75">
      <c r="E5" s="18" t="s">
        <v>1</v>
      </c>
      <c r="F5" s="18" t="s">
        <v>0</v>
      </c>
      <c r="H5" s="3"/>
      <c r="I5" s="18" t="s">
        <v>1</v>
      </c>
      <c r="J5" s="18" t="s">
        <v>0</v>
      </c>
      <c r="K5" s="3"/>
      <c r="L5" s="3"/>
      <c r="M5" s="25" t="s">
        <v>33</v>
      </c>
      <c r="N5" s="18" t="s">
        <v>0</v>
      </c>
      <c r="O5" s="3"/>
      <c r="P5" s="3"/>
      <c r="Q5" s="25" t="s">
        <v>33</v>
      </c>
      <c r="R5" s="18" t="s">
        <v>0</v>
      </c>
      <c r="S5" s="3"/>
      <c r="U5" s="25" t="s">
        <v>33</v>
      </c>
      <c r="V5" s="18" t="s">
        <v>0</v>
      </c>
      <c r="Y5" s="25" t="s">
        <v>33</v>
      </c>
      <c r="Z5" s="18" t="s">
        <v>0</v>
      </c>
      <c r="AC5" s="25" t="s">
        <v>33</v>
      </c>
      <c r="AD5" s="18" t="s">
        <v>0</v>
      </c>
    </row>
    <row r="6" spans="4:31" ht="12.75">
      <c r="D6" s="33" t="s">
        <v>35</v>
      </c>
      <c r="E6" s="17">
        <f>'2003'!E7</f>
        <v>0.00236</v>
      </c>
      <c r="F6" s="17">
        <f>'2003'!F7</f>
        <v>3.1301</v>
      </c>
      <c r="H6" s="3"/>
      <c r="I6" s="17">
        <f>'2003'!I7</f>
        <v>0.002037</v>
      </c>
      <c r="J6" s="17">
        <f>'2003'!J7</f>
        <v>7.3475</v>
      </c>
      <c r="K6" s="3"/>
      <c r="L6" s="3"/>
      <c r="M6" s="17">
        <f>'2003'!M7</f>
        <v>0.39058000000000004</v>
      </c>
      <c r="N6" s="17">
        <f>'2003'!N7</f>
        <v>48.528400000000005</v>
      </c>
      <c r="O6" s="3"/>
      <c r="P6" s="3"/>
      <c r="Q6" s="17">
        <f>'2003'!Q7</f>
        <v>0.233728</v>
      </c>
      <c r="R6" s="17">
        <f>'2003'!R7</f>
        <v>563.4035</v>
      </c>
      <c r="S6" s="3"/>
      <c r="U6" s="17">
        <f>'2003'!U7</f>
        <v>0.983721</v>
      </c>
      <c r="V6" s="4">
        <f>'2003'!V7</f>
        <v>2958.5604000000003</v>
      </c>
      <c r="Y6" s="17">
        <f>'2003'!Y7</f>
        <v>0.018541000000000002</v>
      </c>
      <c r="Z6" s="17">
        <f>'2003'!Z7</f>
        <v>0.0094</v>
      </c>
      <c r="AC6" s="17">
        <f>'2003'!AC7</f>
        <v>0.33740099999999995</v>
      </c>
      <c r="AD6" s="17">
        <f>'2003'!AD7</f>
        <v>0.07919999999999999</v>
      </c>
      <c r="AE6" s="26">
        <f>SUM(E6:AD6)-SUM('2003'!7:7)</f>
        <v>0</v>
      </c>
    </row>
    <row r="7" spans="4:31" ht="12.75">
      <c r="D7" s="33" t="s">
        <v>42</v>
      </c>
      <c r="E7" s="17">
        <v>0.004256</v>
      </c>
      <c r="F7" s="4">
        <v>0</v>
      </c>
      <c r="H7" s="3"/>
      <c r="I7" s="17">
        <v>0.003636</v>
      </c>
      <c r="J7" s="4">
        <v>0</v>
      </c>
      <c r="K7" s="3"/>
      <c r="L7" s="3"/>
      <c r="M7" s="17">
        <v>0.714768</v>
      </c>
      <c r="N7" s="4">
        <v>0</v>
      </c>
      <c r="O7" s="3"/>
      <c r="P7" s="3"/>
      <c r="Q7" s="17">
        <v>0.560618</v>
      </c>
      <c r="R7" s="4">
        <v>0</v>
      </c>
      <c r="S7" s="3"/>
      <c r="U7" s="17">
        <v>0.966067</v>
      </c>
      <c r="V7" s="4">
        <v>0</v>
      </c>
      <c r="Y7" s="17">
        <v>0.175954</v>
      </c>
      <c r="Z7" s="24">
        <v>0</v>
      </c>
      <c r="AC7" s="17">
        <v>0.523983</v>
      </c>
      <c r="AD7" s="24">
        <v>0</v>
      </c>
      <c r="AE7" s="26">
        <v>0</v>
      </c>
    </row>
    <row r="8" spans="3:32" s="16" customFormat="1" ht="12.75">
      <c r="C8" s="16" t="s">
        <v>17</v>
      </c>
      <c r="D8" s="16" t="s">
        <v>17</v>
      </c>
      <c r="E8" s="16" t="s">
        <v>17</v>
      </c>
      <c r="F8" s="16" t="s">
        <v>17</v>
      </c>
      <c r="G8" s="16" t="s">
        <v>25</v>
      </c>
      <c r="H8" s="16" t="s">
        <v>25</v>
      </c>
      <c r="I8" s="16" t="s">
        <v>25</v>
      </c>
      <c r="J8" s="16" t="s">
        <v>25</v>
      </c>
      <c r="K8" s="16" t="s">
        <v>26</v>
      </c>
      <c r="L8" s="16" t="s">
        <v>26</v>
      </c>
      <c r="M8" s="16" t="s">
        <v>26</v>
      </c>
      <c r="N8" s="16" t="s">
        <v>26</v>
      </c>
      <c r="O8" s="16" t="s">
        <v>28</v>
      </c>
      <c r="P8" s="16" t="s">
        <v>28</v>
      </c>
      <c r="Q8" s="16" t="s">
        <v>28</v>
      </c>
      <c r="R8" s="16" t="s">
        <v>28</v>
      </c>
      <c r="S8" s="16" t="s">
        <v>30</v>
      </c>
      <c r="T8" s="16" t="s">
        <v>30</v>
      </c>
      <c r="U8" s="16" t="s">
        <v>30</v>
      </c>
      <c r="V8" s="16" t="s">
        <v>30</v>
      </c>
      <c r="W8" s="16" t="s">
        <v>31</v>
      </c>
      <c r="X8" s="16" t="s">
        <v>31</v>
      </c>
      <c r="Y8" s="16" t="s">
        <v>31</v>
      </c>
      <c r="Z8" s="16" t="s">
        <v>31</v>
      </c>
      <c r="AA8" s="16" t="s">
        <v>32</v>
      </c>
      <c r="AB8" s="16" t="s">
        <v>32</v>
      </c>
      <c r="AC8" s="16" t="s">
        <v>32</v>
      </c>
      <c r="AD8" s="16" t="s">
        <v>32</v>
      </c>
      <c r="AF8" s="16" t="s">
        <v>39</v>
      </c>
    </row>
    <row r="9" spans="1:32" s="11" customFormat="1" ht="12.75">
      <c r="A9" s="16"/>
      <c r="D9" s="15" t="s">
        <v>19</v>
      </c>
      <c r="E9" s="15" t="s">
        <v>24</v>
      </c>
      <c r="F9" s="15" t="s">
        <v>19</v>
      </c>
      <c r="H9" s="15" t="s">
        <v>19</v>
      </c>
      <c r="I9" s="15" t="s">
        <v>24</v>
      </c>
      <c r="J9" s="15" t="s">
        <v>19</v>
      </c>
      <c r="L9" s="15" t="s">
        <v>19</v>
      </c>
      <c r="M9" s="15" t="s">
        <v>24</v>
      </c>
      <c r="N9" s="15" t="s">
        <v>19</v>
      </c>
      <c r="P9" s="15" t="s">
        <v>19</v>
      </c>
      <c r="Q9" s="15" t="s">
        <v>24</v>
      </c>
      <c r="R9" s="15" t="s">
        <v>19</v>
      </c>
      <c r="T9" s="15" t="s">
        <v>19</v>
      </c>
      <c r="U9" s="15" t="s">
        <v>24</v>
      </c>
      <c r="V9" s="15" t="s">
        <v>19</v>
      </c>
      <c r="X9" s="15" t="s">
        <v>19</v>
      </c>
      <c r="Y9" s="15" t="s">
        <v>24</v>
      </c>
      <c r="Z9" s="15" t="s">
        <v>19</v>
      </c>
      <c r="AB9" s="15" t="s">
        <v>19</v>
      </c>
      <c r="AC9" s="15" t="s">
        <v>24</v>
      </c>
      <c r="AD9" s="15" t="s">
        <v>19</v>
      </c>
      <c r="AF9" s="10" t="s">
        <v>27</v>
      </c>
    </row>
    <row r="10" spans="3:32" s="11" customFormat="1" ht="12.75">
      <c r="C10" s="15" t="s">
        <v>20</v>
      </c>
      <c r="D10" s="15" t="s">
        <v>21</v>
      </c>
      <c r="E10" s="15" t="s">
        <v>20</v>
      </c>
      <c r="F10" s="15" t="s">
        <v>21</v>
      </c>
      <c r="G10" s="15" t="s">
        <v>20</v>
      </c>
      <c r="H10" s="15" t="s">
        <v>21</v>
      </c>
      <c r="I10" s="15" t="s">
        <v>20</v>
      </c>
      <c r="J10" s="15" t="s">
        <v>21</v>
      </c>
      <c r="K10" s="15" t="s">
        <v>20</v>
      </c>
      <c r="L10" s="15" t="s">
        <v>21</v>
      </c>
      <c r="M10" s="15" t="s">
        <v>20</v>
      </c>
      <c r="N10" s="15" t="s">
        <v>21</v>
      </c>
      <c r="O10" s="15" t="s">
        <v>20</v>
      </c>
      <c r="P10" s="15" t="s">
        <v>21</v>
      </c>
      <c r="Q10" s="15" t="s">
        <v>20</v>
      </c>
      <c r="R10" s="15" t="s">
        <v>21</v>
      </c>
      <c r="S10" s="15" t="s">
        <v>20</v>
      </c>
      <c r="T10" s="15" t="s">
        <v>21</v>
      </c>
      <c r="U10" s="15" t="s">
        <v>20</v>
      </c>
      <c r="V10" s="15" t="s">
        <v>21</v>
      </c>
      <c r="W10" s="15" t="s">
        <v>20</v>
      </c>
      <c r="X10" s="15" t="s">
        <v>21</v>
      </c>
      <c r="Y10" s="15" t="s">
        <v>20</v>
      </c>
      <c r="Z10" s="15" t="s">
        <v>21</v>
      </c>
      <c r="AA10" s="15" t="s">
        <v>20</v>
      </c>
      <c r="AB10" s="15" t="s">
        <v>21</v>
      </c>
      <c r="AC10" s="15" t="s">
        <v>20</v>
      </c>
      <c r="AD10" s="15" t="s">
        <v>21</v>
      </c>
      <c r="AF10" s="16" t="s">
        <v>38</v>
      </c>
    </row>
    <row r="11" spans="1:32" s="13" customFormat="1" ht="15">
      <c r="A11" s="12"/>
      <c r="B11" s="1" t="str">
        <f>B3</f>
        <v>2004 PIL's</v>
      </c>
      <c r="C11" s="14" t="s">
        <v>18</v>
      </c>
      <c r="D11" s="14" t="s">
        <v>22</v>
      </c>
      <c r="E11" s="14" t="s">
        <v>23</v>
      </c>
      <c r="F11" s="14" t="s">
        <v>23</v>
      </c>
      <c r="G11" s="14" t="s">
        <v>18</v>
      </c>
      <c r="H11" s="14" t="s">
        <v>22</v>
      </c>
      <c r="I11" s="14" t="s">
        <v>23</v>
      </c>
      <c r="J11" s="14" t="s">
        <v>23</v>
      </c>
      <c r="K11" s="14" t="s">
        <v>29</v>
      </c>
      <c r="L11" s="14" t="s">
        <v>22</v>
      </c>
      <c r="M11" s="14" t="s">
        <v>23</v>
      </c>
      <c r="N11" s="14" t="s">
        <v>23</v>
      </c>
      <c r="O11" s="14" t="s">
        <v>29</v>
      </c>
      <c r="P11" s="14" t="s">
        <v>22</v>
      </c>
      <c r="Q11" s="14" t="s">
        <v>23</v>
      </c>
      <c r="R11" s="14" t="s">
        <v>23</v>
      </c>
      <c r="S11" s="14" t="s">
        <v>29</v>
      </c>
      <c r="T11" s="14" t="s">
        <v>22</v>
      </c>
      <c r="U11" s="14" t="s">
        <v>23</v>
      </c>
      <c r="V11" s="14" t="s">
        <v>23</v>
      </c>
      <c r="W11" s="14" t="s">
        <v>29</v>
      </c>
      <c r="X11" s="14" t="s">
        <v>22</v>
      </c>
      <c r="Y11" s="14" t="s">
        <v>23</v>
      </c>
      <c r="Z11" s="14" t="s">
        <v>23</v>
      </c>
      <c r="AA11" s="14" t="s">
        <v>29</v>
      </c>
      <c r="AB11" s="14" t="s">
        <v>22</v>
      </c>
      <c r="AC11" s="14" t="s">
        <v>23</v>
      </c>
      <c r="AD11" s="14" t="s">
        <v>23</v>
      </c>
      <c r="AF11" s="31"/>
    </row>
    <row r="12" spans="1:28" ht="15">
      <c r="A12" s="12"/>
      <c r="B12" s="13"/>
      <c r="E12" s="10"/>
      <c r="F12" s="10"/>
      <c r="H12" s="9"/>
      <c r="I12" s="9"/>
      <c r="J12" s="7"/>
      <c r="K12" s="9"/>
      <c r="L12" s="7"/>
      <c r="M12" s="7"/>
      <c r="N12" s="7"/>
      <c r="O12" s="9"/>
      <c r="P12" s="9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32" ht="15">
      <c r="A13" s="12"/>
      <c r="B13" s="34" t="s">
        <v>41</v>
      </c>
      <c r="C13" s="6">
        <v>45383023</v>
      </c>
      <c r="D13" s="21">
        <v>56523</v>
      </c>
      <c r="E13" s="6">
        <f>C13*$E$6</f>
        <v>107103.93428</v>
      </c>
      <c r="F13" s="6">
        <f>D13*$F$6</f>
        <v>176922.6423</v>
      </c>
      <c r="G13" s="6">
        <v>9440499</v>
      </c>
      <c r="H13" s="21">
        <v>4649</v>
      </c>
      <c r="I13" s="6">
        <f>G13*$I$6</f>
        <v>19230.296463000002</v>
      </c>
      <c r="J13" s="6">
        <f>H13*$J$6</f>
        <v>34158.527500000004</v>
      </c>
      <c r="K13" s="6">
        <v>150021.9</v>
      </c>
      <c r="L13" s="21">
        <v>981</v>
      </c>
      <c r="M13" s="6">
        <f>K13*$M$6</f>
        <v>58595.553702000005</v>
      </c>
      <c r="N13" s="21">
        <f>L13*$N$6</f>
        <v>47606.360400000005</v>
      </c>
      <c r="O13" s="6">
        <v>75624</v>
      </c>
      <c r="P13" s="21">
        <v>21</v>
      </c>
      <c r="Q13" s="6">
        <f>O13*$Q$6</f>
        <v>17675.446272</v>
      </c>
      <c r="R13" s="21">
        <f>P13*$R$6</f>
        <v>11831.4735</v>
      </c>
      <c r="S13" s="6">
        <v>37906.7</v>
      </c>
      <c r="T13" s="21">
        <v>2</v>
      </c>
      <c r="U13" s="6">
        <f>S13*$U$6</f>
        <v>37289.6168307</v>
      </c>
      <c r="V13" s="21">
        <f>T13*$V$6</f>
        <v>5917.120800000001</v>
      </c>
      <c r="W13" s="6">
        <v>36.17777777777778</v>
      </c>
      <c r="X13" s="21">
        <v>26</v>
      </c>
      <c r="Y13" s="6">
        <f>W13*$Y$6</f>
        <v>0.6707721777777779</v>
      </c>
      <c r="Z13" s="29">
        <f>X13*$Z$6</f>
        <v>0.2444</v>
      </c>
      <c r="AA13" s="6">
        <f>393.53+33.42+1962.58</f>
        <v>2389.5299999999997</v>
      </c>
      <c r="AB13" s="21">
        <v>3</v>
      </c>
      <c r="AC13" s="6">
        <f>AA13*$AC$6</f>
        <v>806.2298115299998</v>
      </c>
      <c r="AD13" s="29">
        <f>AB13*$AD$6</f>
        <v>0.23759999999999998</v>
      </c>
      <c r="AF13" s="20">
        <f>E13+F13+I13+J13+M13+N13+Q13+R13+U13+V13+Y13+Z13+AC13+AD13</f>
        <v>517138.35463140777</v>
      </c>
    </row>
    <row r="14" spans="1:32" ht="15">
      <c r="A14" s="12"/>
      <c r="B14" s="35" t="s">
        <v>4</v>
      </c>
      <c r="C14" s="6">
        <v>35065982</v>
      </c>
      <c r="D14" s="21">
        <v>45290</v>
      </c>
      <c r="E14" s="6">
        <f>C14*$E$6</f>
        <v>82755.71752</v>
      </c>
      <c r="F14" s="6">
        <f>D14*$F$6</f>
        <v>141762.229</v>
      </c>
      <c r="G14" s="6">
        <v>11185074</v>
      </c>
      <c r="H14" s="21">
        <v>5250</v>
      </c>
      <c r="I14" s="6">
        <f>G14*$I$6</f>
        <v>22783.995738</v>
      </c>
      <c r="J14" s="6">
        <f>H14*$J$6</f>
        <v>38574.375</v>
      </c>
      <c r="K14" s="6">
        <v>173905.1</v>
      </c>
      <c r="L14" s="21">
        <v>901</v>
      </c>
      <c r="M14" s="6">
        <f>K14*$M$6</f>
        <v>67923.853958</v>
      </c>
      <c r="N14" s="21">
        <f>L14*$N$6</f>
        <v>43724.08840000001</v>
      </c>
      <c r="O14" s="6">
        <v>77212.8</v>
      </c>
      <c r="P14" s="21">
        <v>23</v>
      </c>
      <c r="Q14" s="6">
        <f>O14*$Q$6</f>
        <v>18046.7933184</v>
      </c>
      <c r="R14" s="21">
        <f>P14*$R$6</f>
        <v>12958.2805</v>
      </c>
      <c r="S14" s="6">
        <v>38121.899999999994</v>
      </c>
      <c r="T14" s="21">
        <v>2</v>
      </c>
      <c r="U14" s="6">
        <f>S14*$U$6</f>
        <v>37501.31358989999</v>
      </c>
      <c r="V14" s="21">
        <f>T14*$V$6</f>
        <v>5917.120800000001</v>
      </c>
      <c r="W14" s="6">
        <v>38.84166666666667</v>
      </c>
      <c r="X14" s="21">
        <v>26</v>
      </c>
      <c r="Y14" s="6">
        <f>W14*$Y$6</f>
        <v>0.7201633416666667</v>
      </c>
      <c r="Z14" s="29">
        <f>X14*$Z$6</f>
        <v>0.2444</v>
      </c>
      <c r="AA14" s="6">
        <f>393.53+33.42+1964.58</f>
        <v>2391.5299999999997</v>
      </c>
      <c r="AB14" s="21">
        <v>3</v>
      </c>
      <c r="AC14" s="6">
        <f>AA14*$AC$6</f>
        <v>806.9046135299998</v>
      </c>
      <c r="AD14" s="29">
        <f>AB14*$AD$6</f>
        <v>0.23759999999999998</v>
      </c>
      <c r="AF14" s="20">
        <f aca="true" t="shared" si="0" ref="AF14:AF26">E14+F14+I14+J14+M14+N14+Q14+R14+U14+V14+Y14+Z14+AC14+AD14</f>
        <v>472755.87460117164</v>
      </c>
    </row>
    <row r="15" spans="1:32" ht="15">
      <c r="A15" s="12"/>
      <c r="B15" s="35" t="s">
        <v>5</v>
      </c>
      <c r="C15" s="6">
        <v>45776452</v>
      </c>
      <c r="D15" s="21">
        <v>56759</v>
      </c>
      <c r="E15" s="6">
        <f>C15*$E$6</f>
        <v>108032.42672</v>
      </c>
      <c r="F15" s="6">
        <f>D15*$F$6</f>
        <v>177661.34590000001</v>
      </c>
      <c r="G15" s="6">
        <v>12709913</v>
      </c>
      <c r="H15" s="21">
        <v>4791</v>
      </c>
      <c r="I15" s="6">
        <f>G15*$I$6</f>
        <v>25890.092781000003</v>
      </c>
      <c r="J15" s="6">
        <f>H15*$J$6</f>
        <v>35201.8725</v>
      </c>
      <c r="K15" s="6">
        <v>133249</v>
      </c>
      <c r="L15" s="21">
        <v>1024</v>
      </c>
      <c r="M15" s="6">
        <f>K15*$M$6</f>
        <v>52044.394420000004</v>
      </c>
      <c r="N15" s="21">
        <f>L15*$N$6</f>
        <v>49693.081600000005</v>
      </c>
      <c r="O15" s="6">
        <v>37082.2</v>
      </c>
      <c r="P15" s="21">
        <v>22</v>
      </c>
      <c r="Q15" s="6">
        <f>O15*$Q$6</f>
        <v>8667.148441599998</v>
      </c>
      <c r="R15" s="21">
        <f>P15*$R$6</f>
        <v>12394.877</v>
      </c>
      <c r="S15" s="6">
        <v>37447.3</v>
      </c>
      <c r="T15" s="21">
        <v>2</v>
      </c>
      <c r="U15" s="6">
        <f>S15*$U$6</f>
        <v>36837.6954033</v>
      </c>
      <c r="V15" s="21">
        <f>T15*$V$6</f>
        <v>5917.120800000001</v>
      </c>
      <c r="W15" s="6">
        <v>40.486111111111114</v>
      </c>
      <c r="X15" s="21">
        <v>26</v>
      </c>
      <c r="Y15" s="6">
        <f>W15*$Y$6</f>
        <v>0.7506529861111112</v>
      </c>
      <c r="Z15" s="29">
        <f>X15*$Z$6</f>
        <v>0.2444</v>
      </c>
      <c r="AA15" s="6">
        <f>393.53+33.42+1965.76</f>
        <v>2392.71</v>
      </c>
      <c r="AB15" s="21">
        <v>3</v>
      </c>
      <c r="AC15" s="6">
        <f>AA15*$AC$6</f>
        <v>807.30274671</v>
      </c>
      <c r="AD15" s="29">
        <f>AB15*$AD$6</f>
        <v>0.23759999999999998</v>
      </c>
      <c r="AF15" s="20">
        <f t="shared" si="0"/>
        <v>513148.5909655961</v>
      </c>
    </row>
    <row r="16" spans="1:32" ht="15">
      <c r="A16" s="12"/>
      <c r="B16" s="35" t="s">
        <v>6</v>
      </c>
      <c r="C16" s="6">
        <v>28306610</v>
      </c>
      <c r="D16" s="21">
        <v>38362</v>
      </c>
      <c r="E16" s="6">
        <f aca="true" t="shared" si="1" ref="E16:E24">C16*$E$7</f>
        <v>120472.93216000001</v>
      </c>
      <c r="F16" s="6">
        <f>D16*$F$7</f>
        <v>0</v>
      </c>
      <c r="G16" s="6">
        <v>10810670</v>
      </c>
      <c r="H16" s="21">
        <v>4825</v>
      </c>
      <c r="I16" s="6">
        <f aca="true" t="shared" si="2" ref="I16:I24">G16*$I$7</f>
        <v>39307.59612</v>
      </c>
      <c r="J16" s="6">
        <f aca="true" t="shared" si="3" ref="J16:J24">H16*$J$7</f>
        <v>0</v>
      </c>
      <c r="K16" s="6">
        <v>124146.7</v>
      </c>
      <c r="L16" s="21">
        <v>879</v>
      </c>
      <c r="M16" s="6">
        <f aca="true" t="shared" si="4" ref="M16:M24">K16*$M$7</f>
        <v>88736.0884656</v>
      </c>
      <c r="N16" s="21">
        <f aca="true" t="shared" si="5" ref="N16:N24">L16*$N$7</f>
        <v>0</v>
      </c>
      <c r="O16" s="6">
        <v>38353.75</v>
      </c>
      <c r="P16" s="21">
        <v>22</v>
      </c>
      <c r="Q16" s="6">
        <f aca="true" t="shared" si="6" ref="Q16:Q24">O16*$Q$7</f>
        <v>21501.802617499998</v>
      </c>
      <c r="R16" s="21">
        <f aca="true" t="shared" si="7" ref="R16:R24">P16*$R$7</f>
        <v>0</v>
      </c>
      <c r="S16" s="6">
        <v>37582.1</v>
      </c>
      <c r="T16" s="21">
        <v>2</v>
      </c>
      <c r="U16" s="6">
        <f aca="true" t="shared" si="8" ref="U16:U24">S16*$U$7</f>
        <v>36306.8266007</v>
      </c>
      <c r="V16" s="21">
        <f aca="true" t="shared" si="9" ref="V16:V24">T16*$V$7</f>
        <v>0</v>
      </c>
      <c r="W16" s="6">
        <v>34.90833333333333</v>
      </c>
      <c r="X16" s="21">
        <v>26</v>
      </c>
      <c r="Y16" s="6">
        <f aca="true" t="shared" si="10" ref="Y16:Y24">W16*$Y$7</f>
        <v>6.142260883333333</v>
      </c>
      <c r="Z16" s="29">
        <f aca="true" t="shared" si="11" ref="Z16:Z24">X16*$Z$7</f>
        <v>0</v>
      </c>
      <c r="AA16" s="6">
        <f>393.53+33.42+1967.58</f>
        <v>2394.5299999999997</v>
      </c>
      <c r="AB16" s="21">
        <v>3</v>
      </c>
      <c r="AC16" s="6">
        <f aca="true" t="shared" si="12" ref="AC16:AC24">AA16*$AC$7</f>
        <v>1254.6930129899997</v>
      </c>
      <c r="AD16" s="29">
        <f>AB16*$AD$7</f>
        <v>0</v>
      </c>
      <c r="AF16" s="20">
        <f t="shared" si="0"/>
        <v>307586.08123767335</v>
      </c>
    </row>
    <row r="17" spans="1:32" ht="15">
      <c r="A17" s="12"/>
      <c r="B17" s="35" t="s">
        <v>7</v>
      </c>
      <c r="C17" s="6">
        <v>38918445</v>
      </c>
      <c r="D17" s="21">
        <v>52737</v>
      </c>
      <c r="E17" s="6">
        <f t="shared" si="1"/>
        <v>165636.90192</v>
      </c>
      <c r="F17" s="6">
        <f aca="true" t="shared" si="13" ref="F17:F24">D17*$F$7</f>
        <v>0</v>
      </c>
      <c r="G17" s="6">
        <v>10912184</v>
      </c>
      <c r="H17" s="21">
        <v>4428</v>
      </c>
      <c r="I17" s="6">
        <f t="shared" si="2"/>
        <v>39676.701024</v>
      </c>
      <c r="J17" s="6">
        <f t="shared" si="3"/>
        <v>0</v>
      </c>
      <c r="K17" s="6">
        <v>115887.03000000001</v>
      </c>
      <c r="L17" s="21">
        <v>899</v>
      </c>
      <c r="M17" s="6">
        <f t="shared" si="4"/>
        <v>82832.34065904001</v>
      </c>
      <c r="N17" s="21">
        <f t="shared" si="5"/>
        <v>0</v>
      </c>
      <c r="O17" s="6">
        <v>43770.87</v>
      </c>
      <c r="P17" s="21">
        <v>22</v>
      </c>
      <c r="Q17" s="6">
        <f t="shared" si="6"/>
        <v>24538.737597659998</v>
      </c>
      <c r="R17" s="21">
        <f t="shared" si="7"/>
        <v>0</v>
      </c>
      <c r="S17" s="6">
        <v>37505.6</v>
      </c>
      <c r="T17" s="21">
        <v>2</v>
      </c>
      <c r="U17" s="6">
        <f t="shared" si="8"/>
        <v>36232.9224752</v>
      </c>
      <c r="V17" s="21">
        <f t="shared" si="9"/>
        <v>0</v>
      </c>
      <c r="W17" s="6">
        <v>32.28333333333333</v>
      </c>
      <c r="X17" s="21">
        <v>26</v>
      </c>
      <c r="Y17" s="6">
        <f t="shared" si="10"/>
        <v>5.680381633333333</v>
      </c>
      <c r="Z17" s="29">
        <f t="shared" si="11"/>
        <v>0</v>
      </c>
      <c r="AA17" s="6">
        <f>393.53+33.42+1972.06</f>
        <v>2399.0099999999998</v>
      </c>
      <c r="AB17" s="21">
        <v>3</v>
      </c>
      <c r="AC17" s="6">
        <f t="shared" si="12"/>
        <v>1257.0404568299998</v>
      </c>
      <c r="AD17" s="29">
        <f aca="true" t="shared" si="14" ref="AD17:AD24">AB17*$AD$7</f>
        <v>0</v>
      </c>
      <c r="AE17" s="28"/>
      <c r="AF17" s="20">
        <f t="shared" si="0"/>
        <v>350180.32451436337</v>
      </c>
    </row>
    <row r="18" spans="1:32" ht="15">
      <c r="A18" s="12"/>
      <c r="B18" s="35" t="s">
        <v>8</v>
      </c>
      <c r="C18" s="6">
        <v>40571197</v>
      </c>
      <c r="D18" s="21">
        <v>45497</v>
      </c>
      <c r="E18" s="6">
        <f t="shared" si="1"/>
        <v>172671.014432</v>
      </c>
      <c r="F18" s="6">
        <f t="shared" si="13"/>
        <v>0</v>
      </c>
      <c r="G18" s="6">
        <v>14720471</v>
      </c>
      <c r="H18" s="21">
        <v>5448</v>
      </c>
      <c r="I18" s="6">
        <f t="shared" si="2"/>
        <v>53523.632556</v>
      </c>
      <c r="J18" s="6">
        <f t="shared" si="3"/>
        <v>0</v>
      </c>
      <c r="K18" s="6">
        <v>123315.2</v>
      </c>
      <c r="L18" s="21">
        <v>928</v>
      </c>
      <c r="M18" s="6">
        <f t="shared" si="4"/>
        <v>88141.75887359999</v>
      </c>
      <c r="N18" s="21">
        <f t="shared" si="5"/>
        <v>0</v>
      </c>
      <c r="O18" s="6">
        <v>39723.4</v>
      </c>
      <c r="P18" s="21">
        <v>22</v>
      </c>
      <c r="Q18" s="6">
        <f t="shared" si="6"/>
        <v>22269.6530612</v>
      </c>
      <c r="R18" s="21">
        <f t="shared" si="7"/>
        <v>0</v>
      </c>
      <c r="S18" s="6">
        <v>37971.600000000006</v>
      </c>
      <c r="T18" s="21">
        <v>2</v>
      </c>
      <c r="U18" s="6">
        <f t="shared" si="8"/>
        <v>36683.10969720001</v>
      </c>
      <c r="V18" s="21">
        <f t="shared" si="9"/>
        <v>0</v>
      </c>
      <c r="W18" s="6">
        <v>40.083333333333336</v>
      </c>
      <c r="X18" s="21">
        <v>26</v>
      </c>
      <c r="Y18" s="6">
        <f t="shared" si="10"/>
        <v>7.052822833333334</v>
      </c>
      <c r="Z18" s="29">
        <f t="shared" si="11"/>
        <v>0</v>
      </c>
      <c r="AA18" s="6">
        <f>393.53+33.42+1890.51</f>
        <v>2317.46</v>
      </c>
      <c r="AB18" s="21">
        <v>3</v>
      </c>
      <c r="AC18" s="6">
        <f t="shared" si="12"/>
        <v>1214.30964318</v>
      </c>
      <c r="AD18" s="29">
        <f t="shared" si="14"/>
        <v>0</v>
      </c>
      <c r="AF18" s="20">
        <f t="shared" si="0"/>
        <v>374510.5310860133</v>
      </c>
    </row>
    <row r="19" spans="1:32" ht="15">
      <c r="A19" s="12"/>
      <c r="B19" s="35" t="s">
        <v>9</v>
      </c>
      <c r="C19" s="6">
        <v>59859551</v>
      </c>
      <c r="D19" s="21">
        <v>54504</v>
      </c>
      <c r="E19" s="6">
        <f t="shared" si="1"/>
        <v>254762.249056</v>
      </c>
      <c r="F19" s="6">
        <f t="shared" si="13"/>
        <v>0</v>
      </c>
      <c r="G19" s="6">
        <v>19328243</v>
      </c>
      <c r="H19" s="21">
        <v>4929</v>
      </c>
      <c r="I19" s="6">
        <f t="shared" si="2"/>
        <v>70277.491548</v>
      </c>
      <c r="J19" s="6">
        <f t="shared" si="3"/>
        <v>0</v>
      </c>
      <c r="K19" s="6">
        <v>197376.9</v>
      </c>
      <c r="L19" s="21">
        <v>1009</v>
      </c>
      <c r="M19" s="6">
        <f t="shared" si="4"/>
        <v>141078.6920592</v>
      </c>
      <c r="N19" s="21">
        <f t="shared" si="5"/>
        <v>0</v>
      </c>
      <c r="O19" s="6">
        <v>39794.1</v>
      </c>
      <c r="P19" s="21">
        <v>22</v>
      </c>
      <c r="Q19" s="6">
        <f t="shared" si="6"/>
        <v>22309.288753799996</v>
      </c>
      <c r="R19" s="21">
        <f t="shared" si="7"/>
        <v>0</v>
      </c>
      <c r="S19" s="6">
        <v>37792.3</v>
      </c>
      <c r="T19" s="21">
        <v>2</v>
      </c>
      <c r="U19" s="6">
        <f t="shared" si="8"/>
        <v>36509.893884100005</v>
      </c>
      <c r="V19" s="21">
        <f t="shared" si="9"/>
        <v>0</v>
      </c>
      <c r="W19" s="6">
        <v>40.68888888888889</v>
      </c>
      <c r="X19" s="21">
        <v>26</v>
      </c>
      <c r="Y19" s="6">
        <f t="shared" si="10"/>
        <v>7.159372755555555</v>
      </c>
      <c r="Z19" s="29">
        <f t="shared" si="11"/>
        <v>0</v>
      </c>
      <c r="AA19" s="6">
        <f>393.53+33.42+1986.65</f>
        <v>2413.6</v>
      </c>
      <c r="AB19" s="21">
        <v>3</v>
      </c>
      <c r="AC19" s="6">
        <f t="shared" si="12"/>
        <v>1264.6853687999999</v>
      </c>
      <c r="AD19" s="29">
        <f t="shared" si="14"/>
        <v>0</v>
      </c>
      <c r="AF19" s="20">
        <f t="shared" si="0"/>
        <v>526209.4600426555</v>
      </c>
    </row>
    <row r="20" spans="1:32" ht="15">
      <c r="A20" s="12"/>
      <c r="B20" s="35" t="s">
        <v>10</v>
      </c>
      <c r="C20" s="6">
        <v>44869066</v>
      </c>
      <c r="D20" s="21">
        <v>43457</v>
      </c>
      <c r="E20" s="6">
        <f t="shared" si="1"/>
        <v>190962.74489600002</v>
      </c>
      <c r="F20" s="6">
        <f t="shared" si="13"/>
        <v>0</v>
      </c>
      <c r="G20" s="6">
        <v>12227332</v>
      </c>
      <c r="H20" s="21">
        <v>4816</v>
      </c>
      <c r="I20" s="6">
        <f t="shared" si="2"/>
        <v>44458.579152</v>
      </c>
      <c r="J20" s="6">
        <f t="shared" si="3"/>
        <v>0</v>
      </c>
      <c r="K20" s="6">
        <v>126195.2</v>
      </c>
      <c r="L20" s="21">
        <v>897</v>
      </c>
      <c r="M20" s="6">
        <f t="shared" si="4"/>
        <v>90200.2907136</v>
      </c>
      <c r="N20" s="21">
        <f t="shared" si="5"/>
        <v>0</v>
      </c>
      <c r="O20" s="6">
        <v>40711.6</v>
      </c>
      <c r="P20" s="21">
        <v>22</v>
      </c>
      <c r="Q20" s="6">
        <f t="shared" si="6"/>
        <v>22823.655768799996</v>
      </c>
      <c r="R20" s="21">
        <f t="shared" si="7"/>
        <v>0</v>
      </c>
      <c r="S20" s="6">
        <v>39681.6</v>
      </c>
      <c r="T20" s="21">
        <v>2</v>
      </c>
      <c r="U20" s="6">
        <f t="shared" si="8"/>
        <v>38335.0842672</v>
      </c>
      <c r="V20" s="21">
        <f t="shared" si="9"/>
        <v>0</v>
      </c>
      <c r="W20" s="6">
        <v>35.15555555555556</v>
      </c>
      <c r="X20" s="21">
        <v>26</v>
      </c>
      <c r="Y20" s="6">
        <f t="shared" si="10"/>
        <v>6.185760622222222</v>
      </c>
      <c r="Z20" s="29">
        <f t="shared" si="11"/>
        <v>0</v>
      </c>
      <c r="AA20" s="6">
        <f>393.53+33.42+1986.65</f>
        <v>2413.6</v>
      </c>
      <c r="AB20" s="21">
        <v>3</v>
      </c>
      <c r="AC20" s="6">
        <f t="shared" si="12"/>
        <v>1264.6853687999999</v>
      </c>
      <c r="AD20" s="29">
        <f t="shared" si="14"/>
        <v>0</v>
      </c>
      <c r="AF20" s="20">
        <f t="shared" si="0"/>
        <v>388051.2259270223</v>
      </c>
    </row>
    <row r="21" spans="1:32" ht="15">
      <c r="A21" s="12"/>
      <c r="B21" s="35" t="s">
        <v>11</v>
      </c>
      <c r="C21" s="6">
        <v>50048148.89725369</v>
      </c>
      <c r="D21" s="21">
        <v>56440</v>
      </c>
      <c r="E21" s="6">
        <f t="shared" si="1"/>
        <v>213004.92170671173</v>
      </c>
      <c r="F21" s="6">
        <f t="shared" si="13"/>
        <v>0</v>
      </c>
      <c r="G21" s="6">
        <v>12822553.846744765</v>
      </c>
      <c r="H21" s="21">
        <v>4877</v>
      </c>
      <c r="I21" s="6">
        <f t="shared" si="2"/>
        <v>46622.805786763965</v>
      </c>
      <c r="J21" s="6">
        <f t="shared" si="3"/>
        <v>0</v>
      </c>
      <c r="K21" s="6">
        <v>130341.29999999999</v>
      </c>
      <c r="L21" s="21">
        <v>953</v>
      </c>
      <c r="M21" s="6">
        <f t="shared" si="4"/>
        <v>93163.79031839999</v>
      </c>
      <c r="N21" s="21">
        <f t="shared" si="5"/>
        <v>0</v>
      </c>
      <c r="O21" s="6">
        <v>50330.4</v>
      </c>
      <c r="P21" s="21">
        <v>21</v>
      </c>
      <c r="Q21" s="6">
        <f t="shared" si="6"/>
        <v>28216.1281872</v>
      </c>
      <c r="R21" s="21">
        <f t="shared" si="7"/>
        <v>0</v>
      </c>
      <c r="S21" s="6">
        <v>37946.3</v>
      </c>
      <c r="T21" s="21">
        <v>2</v>
      </c>
      <c r="U21" s="6">
        <f t="shared" si="8"/>
        <v>36658.6682021</v>
      </c>
      <c r="V21" s="21">
        <f t="shared" si="9"/>
        <v>0</v>
      </c>
      <c r="W21" s="6">
        <v>30.852777777777778</v>
      </c>
      <c r="X21" s="21">
        <v>26</v>
      </c>
      <c r="Y21" s="6">
        <f t="shared" si="10"/>
        <v>5.428669661111111</v>
      </c>
      <c r="Z21" s="29">
        <f t="shared" si="11"/>
        <v>0</v>
      </c>
      <c r="AA21" s="6">
        <f>393.53+33.42+1988.51</f>
        <v>2415.46</v>
      </c>
      <c r="AB21" s="21">
        <v>3</v>
      </c>
      <c r="AC21" s="6">
        <f t="shared" si="12"/>
        <v>1265.65997718</v>
      </c>
      <c r="AD21" s="29">
        <f t="shared" si="14"/>
        <v>0</v>
      </c>
      <c r="AF21" s="20">
        <f t="shared" si="0"/>
        <v>418937.4028480168</v>
      </c>
    </row>
    <row r="22" spans="1:32" ht="15">
      <c r="A22" s="12"/>
      <c r="B22" s="35" t="s">
        <v>12</v>
      </c>
      <c r="C22" s="6">
        <v>46687963.14346073</v>
      </c>
      <c r="D22" s="21">
        <v>43115</v>
      </c>
      <c r="E22" s="6">
        <f t="shared" si="1"/>
        <v>198703.97113856886</v>
      </c>
      <c r="F22" s="6">
        <f t="shared" si="13"/>
        <v>0</v>
      </c>
      <c r="G22" s="6">
        <v>12535791.989245247</v>
      </c>
      <c r="H22" s="21">
        <v>5083</v>
      </c>
      <c r="I22" s="6">
        <f t="shared" si="2"/>
        <v>45580.13967289572</v>
      </c>
      <c r="J22" s="6">
        <f t="shared" si="3"/>
        <v>0</v>
      </c>
      <c r="K22" s="6">
        <v>124593.99999999999</v>
      </c>
      <c r="L22" s="21">
        <v>887</v>
      </c>
      <c r="M22" s="6">
        <f t="shared" si="4"/>
        <v>89055.80419199998</v>
      </c>
      <c r="N22" s="21">
        <f t="shared" si="5"/>
        <v>0</v>
      </c>
      <c r="O22" s="6">
        <v>40806.5</v>
      </c>
      <c r="P22" s="21">
        <v>21</v>
      </c>
      <c r="Q22" s="6">
        <f t="shared" si="6"/>
        <v>22876.858417</v>
      </c>
      <c r="R22" s="21">
        <f t="shared" si="7"/>
        <v>0</v>
      </c>
      <c r="S22" s="6">
        <v>37956.3</v>
      </c>
      <c r="T22" s="21">
        <v>2</v>
      </c>
      <c r="U22" s="6">
        <f t="shared" si="8"/>
        <v>36668.328872100006</v>
      </c>
      <c r="V22" s="21">
        <f t="shared" si="9"/>
        <v>0</v>
      </c>
      <c r="W22" s="6">
        <v>40.71666666666667</v>
      </c>
      <c r="X22" s="21">
        <v>26</v>
      </c>
      <c r="Y22" s="6">
        <f t="shared" si="10"/>
        <v>7.164260366666667</v>
      </c>
      <c r="Z22" s="29">
        <f t="shared" si="11"/>
        <v>0</v>
      </c>
      <c r="AA22" s="6">
        <f>393.53+33.42+1988.96</f>
        <v>2415.91</v>
      </c>
      <c r="AB22" s="21">
        <v>3</v>
      </c>
      <c r="AC22" s="6">
        <f t="shared" si="12"/>
        <v>1265.8957695299998</v>
      </c>
      <c r="AD22" s="29">
        <f t="shared" si="14"/>
        <v>0</v>
      </c>
      <c r="AF22" s="20">
        <f t="shared" si="0"/>
        <v>394158.16232246114</v>
      </c>
    </row>
    <row r="23" spans="1:32" ht="15">
      <c r="A23" s="12"/>
      <c r="B23" s="35" t="s">
        <v>13</v>
      </c>
      <c r="C23" s="6">
        <v>40943017.78490493</v>
      </c>
      <c r="D23" s="21">
        <v>53667</v>
      </c>
      <c r="E23" s="6">
        <f t="shared" si="1"/>
        <v>174253.48369255537</v>
      </c>
      <c r="F23" s="6">
        <f t="shared" si="13"/>
        <v>0</v>
      </c>
      <c r="G23" s="6">
        <v>12316191.314768579</v>
      </c>
      <c r="H23" s="21">
        <v>4772</v>
      </c>
      <c r="I23" s="6">
        <f t="shared" si="2"/>
        <v>44781.67162049855</v>
      </c>
      <c r="J23" s="6">
        <f t="shared" si="3"/>
        <v>0</v>
      </c>
      <c r="K23" s="6">
        <v>127209.9</v>
      </c>
      <c r="L23" s="21">
        <v>946</v>
      </c>
      <c r="M23" s="6">
        <f t="shared" si="4"/>
        <v>90925.56580319999</v>
      </c>
      <c r="N23" s="21">
        <f t="shared" si="5"/>
        <v>0</v>
      </c>
      <c r="O23" s="6">
        <v>39246</v>
      </c>
      <c r="P23" s="21">
        <v>21</v>
      </c>
      <c r="Q23" s="6">
        <f t="shared" si="6"/>
        <v>22002.014027999998</v>
      </c>
      <c r="R23" s="21">
        <f t="shared" si="7"/>
        <v>0</v>
      </c>
      <c r="S23" s="6">
        <v>37636</v>
      </c>
      <c r="T23" s="21">
        <v>2</v>
      </c>
      <c r="U23" s="6">
        <f t="shared" si="8"/>
        <v>36358.897612</v>
      </c>
      <c r="V23" s="21">
        <f t="shared" si="9"/>
        <v>0</v>
      </c>
      <c r="W23" s="6">
        <v>30.441666666666666</v>
      </c>
      <c r="X23" s="21">
        <v>26</v>
      </c>
      <c r="Y23" s="6">
        <f t="shared" si="10"/>
        <v>5.3563330166666665</v>
      </c>
      <c r="Z23" s="29">
        <f t="shared" si="11"/>
        <v>0</v>
      </c>
      <c r="AA23" s="6">
        <f>393.53+33.42+1990.06</f>
        <v>2417.0099999999998</v>
      </c>
      <c r="AB23" s="21">
        <v>3</v>
      </c>
      <c r="AC23" s="6">
        <f t="shared" si="12"/>
        <v>1266.47215083</v>
      </c>
      <c r="AD23" s="29">
        <f t="shared" si="14"/>
        <v>0</v>
      </c>
      <c r="AF23" s="20">
        <f t="shared" si="0"/>
        <v>369593.4612401006</v>
      </c>
    </row>
    <row r="24" spans="1:32" ht="15">
      <c r="A24" s="12"/>
      <c r="B24" s="35" t="s">
        <v>3</v>
      </c>
      <c r="C24" s="6">
        <v>39162021.903207235</v>
      </c>
      <c r="D24" s="21">
        <v>43775</v>
      </c>
      <c r="E24" s="6">
        <f t="shared" si="1"/>
        <v>166673.56522005</v>
      </c>
      <c r="F24" s="6">
        <f t="shared" si="13"/>
        <v>0</v>
      </c>
      <c r="G24" s="6">
        <v>12340877.57998848</v>
      </c>
      <c r="H24" s="21">
        <v>5071</v>
      </c>
      <c r="I24" s="6">
        <f t="shared" si="2"/>
        <v>44871.43088083811</v>
      </c>
      <c r="J24" s="6">
        <f t="shared" si="3"/>
        <v>0</v>
      </c>
      <c r="K24" s="6">
        <v>119325.9</v>
      </c>
      <c r="L24" s="21">
        <v>918</v>
      </c>
      <c r="M24" s="6">
        <f t="shared" si="4"/>
        <v>85290.3348912</v>
      </c>
      <c r="N24" s="21">
        <f t="shared" si="5"/>
        <v>0</v>
      </c>
      <c r="O24" s="6">
        <v>36866.1</v>
      </c>
      <c r="P24" s="21">
        <v>21</v>
      </c>
      <c r="Q24" s="6">
        <f t="shared" si="6"/>
        <v>20667.7992498</v>
      </c>
      <c r="R24" s="21">
        <f t="shared" si="7"/>
        <v>0</v>
      </c>
      <c r="S24" s="6">
        <v>37070.5</v>
      </c>
      <c r="T24" s="21">
        <v>2</v>
      </c>
      <c r="U24" s="6">
        <f t="shared" si="8"/>
        <v>35812.5867235</v>
      </c>
      <c r="V24" s="21">
        <f t="shared" si="9"/>
        <v>0</v>
      </c>
      <c r="W24" s="6">
        <v>38.24444444444445</v>
      </c>
      <c r="X24" s="21">
        <v>26</v>
      </c>
      <c r="Y24" s="6">
        <f t="shared" si="10"/>
        <v>6.729262977777778</v>
      </c>
      <c r="Z24" s="29">
        <f t="shared" si="11"/>
        <v>0</v>
      </c>
      <c r="AA24" s="6">
        <f>393.53+33.42+1998.16</f>
        <v>2425.11</v>
      </c>
      <c r="AB24" s="21">
        <v>3</v>
      </c>
      <c r="AC24" s="6">
        <f t="shared" si="12"/>
        <v>1270.71641313</v>
      </c>
      <c r="AD24" s="29">
        <f t="shared" si="14"/>
        <v>0</v>
      </c>
      <c r="AF24" s="20">
        <f t="shared" si="0"/>
        <v>354593.1626414958</v>
      </c>
    </row>
    <row r="25" spans="1:32" ht="15">
      <c r="A25" s="12"/>
      <c r="B25" s="13"/>
      <c r="C25" s="6"/>
      <c r="D25" s="21"/>
      <c r="E25" s="6"/>
      <c r="F25" s="6"/>
      <c r="G25" s="6"/>
      <c r="H25" s="21"/>
      <c r="I25" s="6"/>
      <c r="J25" s="6"/>
      <c r="K25" s="6"/>
      <c r="L25" s="21"/>
      <c r="M25" s="6"/>
      <c r="N25" s="21"/>
      <c r="O25" s="6"/>
      <c r="P25" s="21"/>
      <c r="Q25" s="5"/>
      <c r="R25" s="5"/>
      <c r="S25" s="6"/>
      <c r="T25" s="21"/>
      <c r="U25" s="5"/>
      <c r="V25" s="5"/>
      <c r="W25" s="6"/>
      <c r="X25" s="5"/>
      <c r="Y25" s="5"/>
      <c r="Z25" s="5"/>
      <c r="AA25" s="5"/>
      <c r="AB25" s="5"/>
      <c r="AF25" s="20"/>
    </row>
    <row r="26" spans="1:32" ht="15.75" thickBot="1">
      <c r="A26" s="12"/>
      <c r="B26" s="19"/>
      <c r="C26" s="19">
        <f aca="true" t="shared" si="15" ref="C26:AD26">SUM(C13:C24)</f>
        <v>515591477.7288266</v>
      </c>
      <c r="D26" s="22">
        <f t="shared" si="15"/>
        <v>590126</v>
      </c>
      <c r="E26" s="19">
        <f t="shared" si="15"/>
        <v>1955033.862741886</v>
      </c>
      <c r="F26" s="19">
        <f t="shared" si="15"/>
        <v>496346.2172</v>
      </c>
      <c r="G26" s="19">
        <f t="shared" si="15"/>
        <v>151349800.73074707</v>
      </c>
      <c r="H26" s="22">
        <f t="shared" si="15"/>
        <v>58939</v>
      </c>
      <c r="I26" s="19">
        <f t="shared" si="15"/>
        <v>497004.43334299634</v>
      </c>
      <c r="J26" s="19">
        <f t="shared" si="15"/>
        <v>107934.775</v>
      </c>
      <c r="K26" s="19">
        <f t="shared" si="15"/>
        <v>1645568.13</v>
      </c>
      <c r="L26" s="22">
        <f t="shared" si="15"/>
        <v>11222</v>
      </c>
      <c r="M26" s="19">
        <f t="shared" si="15"/>
        <v>1027988.46805584</v>
      </c>
      <c r="N26" s="19">
        <f t="shared" si="15"/>
        <v>141023.53040000002</v>
      </c>
      <c r="O26" s="19">
        <f t="shared" si="15"/>
        <v>559521.72</v>
      </c>
      <c r="P26" s="22">
        <f t="shared" si="15"/>
        <v>260</v>
      </c>
      <c r="Q26" s="19">
        <f t="shared" si="15"/>
        <v>251595.32571296004</v>
      </c>
      <c r="R26" s="19">
        <f t="shared" si="15"/>
        <v>37184.631</v>
      </c>
      <c r="S26" s="19">
        <f t="shared" si="15"/>
        <v>454618.19999999995</v>
      </c>
      <c r="T26" s="22">
        <f t="shared" si="15"/>
        <v>24</v>
      </c>
      <c r="U26" s="19">
        <f t="shared" si="15"/>
        <v>441194.944158</v>
      </c>
      <c r="V26" s="19">
        <f t="shared" si="15"/>
        <v>17751.3624</v>
      </c>
      <c r="W26" s="19">
        <f t="shared" si="15"/>
        <v>438.8805555555556</v>
      </c>
      <c r="X26" s="22">
        <f t="shared" si="15"/>
        <v>312</v>
      </c>
      <c r="Y26" s="19">
        <f t="shared" si="15"/>
        <v>59.04071325555555</v>
      </c>
      <c r="Z26" s="19">
        <f t="shared" si="15"/>
        <v>0.7332000000000001</v>
      </c>
      <c r="AA26" s="19">
        <f t="shared" si="15"/>
        <v>28785.459999999995</v>
      </c>
      <c r="AB26" s="22">
        <f t="shared" si="15"/>
        <v>36</v>
      </c>
      <c r="AC26" s="19">
        <f t="shared" si="15"/>
        <v>13744.595333039999</v>
      </c>
      <c r="AD26" s="19">
        <f t="shared" si="15"/>
        <v>0.7127999999999999</v>
      </c>
      <c r="AF26" s="32">
        <f t="shared" si="0"/>
        <v>4986862.632057977</v>
      </c>
    </row>
    <row r="27" spans="1:32" ht="15.75" thickTop="1">
      <c r="A27" s="12"/>
      <c r="B27" s="13"/>
      <c r="C27" s="20">
        <v>0</v>
      </c>
      <c r="D27" s="23">
        <v>0</v>
      </c>
      <c r="E27" s="20">
        <f>E26-SUM(C16:C24)*E7-SUM(C13:C15)*E6</f>
        <v>0</v>
      </c>
      <c r="F27" s="20">
        <f>F26-SUM(D16:D24)*F7-SUM(D13:D15)*F6</f>
        <v>0</v>
      </c>
      <c r="G27" s="20">
        <v>0</v>
      </c>
      <c r="H27" s="23">
        <v>0</v>
      </c>
      <c r="I27" s="20">
        <f>I26-SUM(G16:G24)*I7-SUM(G13:G15)*I6</f>
        <v>0</v>
      </c>
      <c r="J27" s="20">
        <f>J26-SUM(H16:H24)*J7-SUM(H13:H15)*J6</f>
        <v>0</v>
      </c>
      <c r="K27" s="20">
        <v>0</v>
      </c>
      <c r="L27" s="23"/>
      <c r="M27" s="26"/>
      <c r="N27" s="20"/>
      <c r="O27" s="20"/>
      <c r="P27" s="23"/>
      <c r="Q27" s="20"/>
      <c r="R27" s="20"/>
      <c r="S27" s="20"/>
      <c r="T27" s="23"/>
      <c r="U27" s="20"/>
      <c r="V27" s="20"/>
      <c r="W27" s="20"/>
      <c r="X27" s="23"/>
      <c r="Y27" s="20"/>
      <c r="Z27" s="20"/>
      <c r="AA27" s="20"/>
      <c r="AB27" s="23"/>
      <c r="AC27" s="20"/>
      <c r="AD27" s="20"/>
      <c r="AF27" s="20"/>
    </row>
    <row r="28" spans="15:28" ht="12.75"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ht="12.75">
      <c r="O29" s="6"/>
    </row>
    <row r="30" ht="12.75">
      <c r="O30" s="6"/>
    </row>
    <row r="31" ht="12.75">
      <c r="O31" s="6"/>
    </row>
    <row r="32" ht="12.75">
      <c r="O32" s="6"/>
    </row>
    <row r="33" ht="12.75">
      <c r="O33" s="6"/>
    </row>
  </sheetData>
  <sheetProtection/>
  <mergeCells count="2">
    <mergeCell ref="F2:R2"/>
    <mergeCell ref="F3:P3"/>
  </mergeCells>
  <printOptions/>
  <pageMargins left="0" right="0" top="0.196850393700787" bottom="0.196850393700787" header="0.118110236220472" footer="0.118110236220472"/>
  <pageSetup fitToHeight="1" fitToWidth="1" horizontalDpi="600" verticalDpi="600" orientation="landscape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zoomScalePageLayoutView="0" workbookViewId="0" topLeftCell="A1">
      <pane xSplit="2" ySplit="11" topLeftCell="F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P27" sqref="P27"/>
    </sheetView>
  </sheetViews>
  <sheetFormatPr defaultColWidth="9.140625" defaultRowHeight="12.75"/>
  <cols>
    <col min="1" max="1" width="2.421875" style="0" customWidth="1"/>
    <col min="2" max="3" width="10.7109375" style="0" customWidth="1"/>
    <col min="4" max="4" width="16.57421875" style="0" bestFit="1" customWidth="1"/>
    <col min="5" max="5" width="14.57421875" style="0" customWidth="1"/>
    <col min="6" max="6" width="15.00390625" style="0" bestFit="1" customWidth="1"/>
    <col min="7" max="7" width="15.57421875" style="0" customWidth="1"/>
    <col min="8" max="8" width="15.7109375" style="0" customWidth="1"/>
    <col min="9" max="9" width="14.7109375" style="0" customWidth="1"/>
    <col min="10" max="10" width="15.57421875" style="0" customWidth="1"/>
    <col min="11" max="11" width="14.8515625" style="0" customWidth="1"/>
    <col min="12" max="12" width="13.421875" style="0" customWidth="1"/>
    <col min="13" max="13" width="12.28125" style="0" customWidth="1"/>
    <col min="14" max="14" width="12.7109375" style="0" customWidth="1"/>
    <col min="15" max="15" width="14.8515625" style="0" customWidth="1"/>
    <col min="16" max="16" width="13.7109375" style="0" customWidth="1"/>
    <col min="17" max="17" width="13.28125" style="0" bestFit="1" customWidth="1"/>
    <col min="18" max="18" width="6.7109375" style="0" hidden="1" customWidth="1"/>
    <col min="19" max="19" width="13.28125" style="0" bestFit="1" customWidth="1"/>
  </cols>
  <sheetData>
    <row r="1" spans="1:3" ht="15">
      <c r="A1" s="2" t="s">
        <v>2</v>
      </c>
      <c r="B1" s="30"/>
      <c r="C1" s="30"/>
    </row>
    <row r="2" spans="1:11" ht="15">
      <c r="A2" s="2" t="s">
        <v>14</v>
      </c>
      <c r="F2" s="55"/>
      <c r="G2" s="55"/>
      <c r="H2" s="55"/>
      <c r="I2" s="55"/>
      <c r="J2" s="55"/>
      <c r="K2" s="55"/>
    </row>
    <row r="3" spans="1:13" ht="15">
      <c r="A3" s="1"/>
      <c r="B3" s="2" t="s">
        <v>43</v>
      </c>
      <c r="C3" s="2"/>
      <c r="F3" s="54"/>
      <c r="G3" s="54"/>
      <c r="H3" s="54"/>
      <c r="I3" s="54"/>
      <c r="J3" s="54"/>
      <c r="K3" s="3"/>
      <c r="M3" s="3"/>
    </row>
    <row r="4" spans="5:17" ht="12.75">
      <c r="E4" s="10" t="s">
        <v>27</v>
      </c>
      <c r="F4" s="3"/>
      <c r="G4" s="10" t="s">
        <v>27</v>
      </c>
      <c r="H4" s="3"/>
      <c r="I4" s="10" t="s">
        <v>27</v>
      </c>
      <c r="J4" s="3"/>
      <c r="K4" s="10" t="s">
        <v>27</v>
      </c>
      <c r="M4" s="10" t="s">
        <v>27</v>
      </c>
      <c r="O4" s="10" t="s">
        <v>27</v>
      </c>
      <c r="Q4" s="10" t="s">
        <v>27</v>
      </c>
    </row>
    <row r="5" spans="5:17" ht="12.75">
      <c r="E5" s="18" t="s">
        <v>1</v>
      </c>
      <c r="G5" s="18" t="s">
        <v>1</v>
      </c>
      <c r="H5" s="3"/>
      <c r="I5" s="25" t="s">
        <v>33</v>
      </c>
      <c r="J5" s="3"/>
      <c r="K5" s="25" t="s">
        <v>33</v>
      </c>
      <c r="L5" s="3"/>
      <c r="M5" s="25" t="s">
        <v>33</v>
      </c>
      <c r="O5" s="25" t="s">
        <v>33</v>
      </c>
      <c r="Q5" s="25" t="s">
        <v>33</v>
      </c>
    </row>
    <row r="6" spans="4:18" ht="12.75">
      <c r="D6" s="47"/>
      <c r="E6" s="17">
        <v>0.004256</v>
      </c>
      <c r="G6" s="17">
        <v>0.003636</v>
      </c>
      <c r="H6" s="3"/>
      <c r="I6" s="17">
        <v>0.714768</v>
      </c>
      <c r="J6" s="3"/>
      <c r="K6" s="17">
        <v>0.560618</v>
      </c>
      <c r="L6" s="3"/>
      <c r="M6" s="17">
        <v>0.966067</v>
      </c>
      <c r="O6" s="17">
        <v>0.175954</v>
      </c>
      <c r="Q6" s="17">
        <v>0.523983</v>
      </c>
      <c r="R6" s="26">
        <v>0</v>
      </c>
    </row>
    <row r="7" spans="4:18" ht="12.75">
      <c r="D7" s="47"/>
      <c r="E7" s="17">
        <v>0.0051</v>
      </c>
      <c r="G7" s="17">
        <v>0.0043</v>
      </c>
      <c r="H7" s="3"/>
      <c r="I7" s="17">
        <v>0.527</v>
      </c>
      <c r="J7" s="3"/>
      <c r="K7" s="17">
        <v>0.4312</v>
      </c>
      <c r="L7" s="3"/>
      <c r="M7" s="17">
        <v>0.9956</v>
      </c>
      <c r="O7" s="17">
        <v>1.9912</v>
      </c>
      <c r="Q7" s="17">
        <v>0.6052</v>
      </c>
      <c r="R7" s="26">
        <v>0</v>
      </c>
    </row>
    <row r="8" spans="4:19" s="16" customFormat="1" ht="12.75">
      <c r="D8" s="16" t="s">
        <v>17</v>
      </c>
      <c r="E8" s="16" t="s">
        <v>17</v>
      </c>
      <c r="F8" s="16" t="s">
        <v>25</v>
      </c>
      <c r="G8" s="16" t="s">
        <v>25</v>
      </c>
      <c r="H8" s="16" t="s">
        <v>26</v>
      </c>
      <c r="I8" s="16" t="s">
        <v>26</v>
      </c>
      <c r="J8" s="16" t="s">
        <v>28</v>
      </c>
      <c r="K8" s="16" t="s">
        <v>28</v>
      </c>
      <c r="L8" s="16" t="s">
        <v>30</v>
      </c>
      <c r="M8" s="16" t="s">
        <v>30</v>
      </c>
      <c r="N8" s="16" t="s">
        <v>31</v>
      </c>
      <c r="O8" s="16" t="s">
        <v>31</v>
      </c>
      <c r="P8" s="16" t="s">
        <v>32</v>
      </c>
      <c r="Q8" s="16" t="s">
        <v>32</v>
      </c>
      <c r="S8" s="16" t="s">
        <v>39</v>
      </c>
    </row>
    <row r="9" spans="1:19" s="11" customFormat="1" ht="12.75">
      <c r="A9" s="16"/>
      <c r="E9" s="15" t="s">
        <v>24</v>
      </c>
      <c r="G9" s="15" t="s">
        <v>24</v>
      </c>
      <c r="I9" s="15" t="s">
        <v>24</v>
      </c>
      <c r="K9" s="15" t="s">
        <v>24</v>
      </c>
      <c r="M9" s="15" t="s">
        <v>24</v>
      </c>
      <c r="O9" s="15" t="s">
        <v>24</v>
      </c>
      <c r="Q9" s="15" t="s">
        <v>24</v>
      </c>
      <c r="S9" s="10" t="s">
        <v>27</v>
      </c>
    </row>
    <row r="10" spans="4:19" s="11" customFormat="1" ht="12.75">
      <c r="D10" s="15" t="s">
        <v>20</v>
      </c>
      <c r="E10" s="15" t="s">
        <v>20</v>
      </c>
      <c r="F10" s="15" t="s">
        <v>20</v>
      </c>
      <c r="G10" s="15" t="s">
        <v>20</v>
      </c>
      <c r="H10" s="15" t="s">
        <v>20</v>
      </c>
      <c r="I10" s="15" t="s">
        <v>20</v>
      </c>
      <c r="J10" s="15" t="s">
        <v>20</v>
      </c>
      <c r="K10" s="15" t="s">
        <v>20</v>
      </c>
      <c r="L10" s="15" t="s">
        <v>20</v>
      </c>
      <c r="M10" s="15" t="s">
        <v>20</v>
      </c>
      <c r="N10" s="15" t="s">
        <v>20</v>
      </c>
      <c r="O10" s="15" t="s">
        <v>20</v>
      </c>
      <c r="P10" s="15" t="s">
        <v>20</v>
      </c>
      <c r="Q10" s="15" t="s">
        <v>20</v>
      </c>
      <c r="S10" s="16" t="s">
        <v>38</v>
      </c>
    </row>
    <row r="11" spans="1:19" s="13" customFormat="1" ht="15">
      <c r="A11" s="12"/>
      <c r="B11" s="1" t="str">
        <f>B3</f>
        <v>2005 PIL's</v>
      </c>
      <c r="C11" s="1"/>
      <c r="D11" s="14" t="s">
        <v>18</v>
      </c>
      <c r="E11" s="14" t="s">
        <v>23</v>
      </c>
      <c r="F11" s="14" t="s">
        <v>18</v>
      </c>
      <c r="G11" s="14" t="s">
        <v>23</v>
      </c>
      <c r="H11" s="14" t="s">
        <v>29</v>
      </c>
      <c r="I11" s="14" t="s">
        <v>23</v>
      </c>
      <c r="J11" s="14" t="s">
        <v>29</v>
      </c>
      <c r="K11" s="14" t="s">
        <v>23</v>
      </c>
      <c r="L11" s="14" t="s">
        <v>29</v>
      </c>
      <c r="M11" s="14" t="s">
        <v>23</v>
      </c>
      <c r="N11" s="14" t="s">
        <v>29</v>
      </c>
      <c r="O11" s="14" t="s">
        <v>23</v>
      </c>
      <c r="P11" s="14" t="s">
        <v>29</v>
      </c>
      <c r="Q11" s="14" t="s">
        <v>23</v>
      </c>
      <c r="S11" s="31"/>
    </row>
    <row r="12" spans="1:16" ht="15">
      <c r="A12" s="12"/>
      <c r="B12" s="13"/>
      <c r="C12" s="13"/>
      <c r="E12" s="10"/>
      <c r="G12" s="9"/>
      <c r="H12" s="9"/>
      <c r="I12" s="7"/>
      <c r="J12" s="9"/>
      <c r="K12" s="5"/>
      <c r="L12" s="5"/>
      <c r="M12" s="5"/>
      <c r="N12" s="5"/>
      <c r="O12" s="5"/>
      <c r="P12" s="5"/>
    </row>
    <row r="13" spans="1:19" s="39" customFormat="1" ht="15" hidden="1">
      <c r="A13" s="36"/>
      <c r="B13" s="37" t="s">
        <v>41</v>
      </c>
      <c r="C13" s="37" t="s">
        <v>44</v>
      </c>
      <c r="D13" s="38">
        <v>37571666.75436911</v>
      </c>
      <c r="E13" s="38">
        <f>D13*$E$6</f>
        <v>159905.01370659494</v>
      </c>
      <c r="F13" s="38">
        <v>9911319.898982141</v>
      </c>
      <c r="G13" s="38">
        <f>F13*$G$6</f>
        <v>36037.55915269906</v>
      </c>
      <c r="H13" s="38">
        <v>119034.2</v>
      </c>
      <c r="I13" s="38">
        <f>H13*$I$6</f>
        <v>85081.83706559999</v>
      </c>
      <c r="J13" s="38">
        <v>37789.600000000006</v>
      </c>
      <c r="K13" s="38">
        <f>J13*$K$6</f>
        <v>21185.529972800003</v>
      </c>
      <c r="L13" s="38">
        <v>29108.7</v>
      </c>
      <c r="M13" s="38">
        <f>L13*$M$6</f>
        <v>28120.9544829</v>
      </c>
      <c r="N13" s="38"/>
      <c r="O13" s="38"/>
      <c r="P13" s="38">
        <v>2425.1</v>
      </c>
      <c r="Q13" s="38">
        <f>P13*$Q$6</f>
        <v>1270.7111733</v>
      </c>
      <c r="S13" s="40">
        <f aca="true" t="shared" si="0" ref="S13:S48">E13+G13+I13+K13+M13+O13+Q13</f>
        <v>331601.60555389395</v>
      </c>
    </row>
    <row r="14" spans="1:19" s="39" customFormat="1" ht="15" hidden="1">
      <c r="A14" s="36"/>
      <c r="B14" s="37" t="str">
        <f>B13</f>
        <v>Jan </v>
      </c>
      <c r="C14" s="37" t="s">
        <v>45</v>
      </c>
      <c r="D14" s="38"/>
      <c r="E14" s="38">
        <f>D14*$E$7</f>
        <v>0</v>
      </c>
      <c r="F14" s="38">
        <v>0</v>
      </c>
      <c r="G14" s="38">
        <f>F14*$G$7</f>
        <v>0</v>
      </c>
      <c r="H14" s="38">
        <v>0</v>
      </c>
      <c r="I14" s="38">
        <f>H14*$I$7</f>
        <v>0</v>
      </c>
      <c r="J14" s="38">
        <v>0</v>
      </c>
      <c r="K14" s="38">
        <f>J14*$K$7</f>
        <v>0</v>
      </c>
      <c r="L14" s="38">
        <v>0</v>
      </c>
      <c r="M14" s="38">
        <f>L14*$M$7</f>
        <v>0</v>
      </c>
      <c r="N14" s="38"/>
      <c r="O14" s="38"/>
      <c r="P14" s="38">
        <v>0</v>
      </c>
      <c r="Q14" s="38">
        <f>P14*$Q$7</f>
        <v>0</v>
      </c>
      <c r="S14" s="40">
        <f t="shared" si="0"/>
        <v>0</v>
      </c>
    </row>
    <row r="15" spans="1:19" s="39" customFormat="1" ht="15">
      <c r="A15" s="36"/>
      <c r="B15" s="37" t="str">
        <f>B13</f>
        <v>Jan </v>
      </c>
      <c r="C15" s="37"/>
      <c r="D15" s="38">
        <f aca="true" t="shared" si="1" ref="D15:Q15">D13+D14</f>
        <v>37571666.75436911</v>
      </c>
      <c r="E15" s="38">
        <f t="shared" si="1"/>
        <v>159905.01370659494</v>
      </c>
      <c r="F15" s="38">
        <f t="shared" si="1"/>
        <v>9911319.898982141</v>
      </c>
      <c r="G15" s="38">
        <f t="shared" si="1"/>
        <v>36037.55915269906</v>
      </c>
      <c r="H15" s="38">
        <f t="shared" si="1"/>
        <v>119034.2</v>
      </c>
      <c r="I15" s="38">
        <f t="shared" si="1"/>
        <v>85081.83706559999</v>
      </c>
      <c r="J15" s="38">
        <f t="shared" si="1"/>
        <v>37789.600000000006</v>
      </c>
      <c r="K15" s="38">
        <f t="shared" si="1"/>
        <v>21185.529972800003</v>
      </c>
      <c r="L15" s="38">
        <f t="shared" si="1"/>
        <v>29108.7</v>
      </c>
      <c r="M15" s="38">
        <f t="shared" si="1"/>
        <v>28120.9544829</v>
      </c>
      <c r="N15" s="38">
        <v>30.644444444444446</v>
      </c>
      <c r="O15" s="38">
        <f>N15*O6</f>
        <v>5.392012577777778</v>
      </c>
      <c r="P15" s="38">
        <f t="shared" si="1"/>
        <v>2425.1</v>
      </c>
      <c r="Q15" s="38">
        <f t="shared" si="1"/>
        <v>1270.7111733</v>
      </c>
      <c r="S15" s="40">
        <f t="shared" si="0"/>
        <v>331606.99756647175</v>
      </c>
    </row>
    <row r="16" spans="1:19" s="39" customFormat="1" ht="15" hidden="1">
      <c r="A16" s="36"/>
      <c r="B16" s="41" t="s">
        <v>4</v>
      </c>
      <c r="C16" s="37" t="s">
        <v>44</v>
      </c>
      <c r="D16" s="38">
        <v>50480024.05991934</v>
      </c>
      <c r="E16" s="38">
        <f>D16*$E$6</f>
        <v>214842.98239901674</v>
      </c>
      <c r="F16" s="38">
        <v>15688783.219512187</v>
      </c>
      <c r="G16" s="38">
        <f>F16*$G$6</f>
        <v>57044.41578614631</v>
      </c>
      <c r="H16" s="38">
        <v>129283.79999999999</v>
      </c>
      <c r="I16" s="38">
        <f>H16*$I$6</f>
        <v>92407.9231584</v>
      </c>
      <c r="J16" s="38">
        <v>37904.799999999996</v>
      </c>
      <c r="K16" s="38">
        <f>J16*$K$6</f>
        <v>21250.113166399995</v>
      </c>
      <c r="L16" s="38">
        <v>28583.7</v>
      </c>
      <c r="M16" s="38">
        <f>L16*$M$6</f>
        <v>27613.769307900002</v>
      </c>
      <c r="N16" s="38"/>
      <c r="O16" s="38"/>
      <c r="P16" s="38">
        <v>2426.7</v>
      </c>
      <c r="Q16" s="38">
        <f>P16*$Q$6</f>
        <v>1271.5495460999998</v>
      </c>
      <c r="S16" s="40">
        <f t="shared" si="0"/>
        <v>414430.75336396304</v>
      </c>
    </row>
    <row r="17" spans="1:19" s="39" customFormat="1" ht="15" hidden="1">
      <c r="A17" s="36"/>
      <c r="B17" s="37" t="str">
        <f>B16</f>
        <v>Feb</v>
      </c>
      <c r="C17" s="37" t="s">
        <v>45</v>
      </c>
      <c r="D17" s="38"/>
      <c r="E17" s="38">
        <f>D17*$E$7</f>
        <v>0</v>
      </c>
      <c r="F17" s="38">
        <v>0</v>
      </c>
      <c r="G17" s="38">
        <f>F17*$G$7</f>
        <v>0</v>
      </c>
      <c r="H17" s="38">
        <v>0</v>
      </c>
      <c r="I17" s="38">
        <f>H17*$I$7</f>
        <v>0</v>
      </c>
      <c r="J17" s="38">
        <v>0</v>
      </c>
      <c r="K17" s="38">
        <f>J17*$K$7</f>
        <v>0</v>
      </c>
      <c r="L17" s="38">
        <v>0</v>
      </c>
      <c r="M17" s="38">
        <f>L17*$M$7</f>
        <v>0</v>
      </c>
      <c r="N17" s="38"/>
      <c r="O17" s="38"/>
      <c r="P17" s="38">
        <v>0</v>
      </c>
      <c r="Q17" s="38">
        <f>P17*$Q$7</f>
        <v>0</v>
      </c>
      <c r="S17" s="40">
        <f t="shared" si="0"/>
        <v>0</v>
      </c>
    </row>
    <row r="18" spans="1:19" s="39" customFormat="1" ht="15">
      <c r="A18" s="36"/>
      <c r="B18" s="37" t="str">
        <f>B16</f>
        <v>Feb</v>
      </c>
      <c r="C18" s="37"/>
      <c r="D18" s="38">
        <f aca="true" t="shared" si="2" ref="D18:Q18">D16+D17</f>
        <v>50480024.05991934</v>
      </c>
      <c r="E18" s="38">
        <f t="shared" si="2"/>
        <v>214842.98239901674</v>
      </c>
      <c r="F18" s="38">
        <f t="shared" si="2"/>
        <v>15688783.219512187</v>
      </c>
      <c r="G18" s="38">
        <f t="shared" si="2"/>
        <v>57044.41578614631</v>
      </c>
      <c r="H18" s="38">
        <f t="shared" si="2"/>
        <v>129283.79999999999</v>
      </c>
      <c r="I18" s="38">
        <f t="shared" si="2"/>
        <v>92407.9231584</v>
      </c>
      <c r="J18" s="38">
        <f t="shared" si="2"/>
        <v>37904.799999999996</v>
      </c>
      <c r="K18" s="38">
        <f t="shared" si="2"/>
        <v>21250.113166399995</v>
      </c>
      <c r="L18" s="38">
        <f t="shared" si="2"/>
        <v>28583.7</v>
      </c>
      <c r="M18" s="38">
        <f t="shared" si="2"/>
        <v>27613.769307900002</v>
      </c>
      <c r="N18" s="38">
        <v>36.56388888888889</v>
      </c>
      <c r="O18" s="38">
        <f>N18*O6</f>
        <v>6.433562505555556</v>
      </c>
      <c r="P18" s="38">
        <f t="shared" si="2"/>
        <v>2426.7</v>
      </c>
      <c r="Q18" s="38">
        <f t="shared" si="2"/>
        <v>1271.5495460999998</v>
      </c>
      <c r="S18" s="40">
        <f t="shared" si="0"/>
        <v>414437.1869264686</v>
      </c>
    </row>
    <row r="19" spans="1:19" s="39" customFormat="1" ht="15" hidden="1">
      <c r="A19" s="36"/>
      <c r="B19" s="41" t="s">
        <v>5</v>
      </c>
      <c r="C19" s="37" t="s">
        <v>44</v>
      </c>
      <c r="D19" s="38">
        <v>45449226.571154214</v>
      </c>
      <c r="E19" s="38">
        <f>D19*$E$6</f>
        <v>193431.90828683236</v>
      </c>
      <c r="F19" s="38">
        <v>13275635.639331676</v>
      </c>
      <c r="G19" s="38">
        <f>F19*$G$6</f>
        <v>48270.21118460997</v>
      </c>
      <c r="H19" s="38">
        <v>129480.50000000001</v>
      </c>
      <c r="I19" s="38">
        <f>H19*$I$6</f>
        <v>92548.518024</v>
      </c>
      <c r="J19" s="38">
        <v>36232.8</v>
      </c>
      <c r="K19" s="38">
        <f>J19*$K$6</f>
        <v>20312.7598704</v>
      </c>
      <c r="L19" s="38">
        <v>28321.7</v>
      </c>
      <c r="M19" s="38">
        <f>L19*$M$6</f>
        <v>27360.6597539</v>
      </c>
      <c r="N19" s="38"/>
      <c r="O19" s="38"/>
      <c r="P19" s="38">
        <v>2426.7</v>
      </c>
      <c r="Q19" s="38">
        <f>P19*$Q$6</f>
        <v>1271.5495460999998</v>
      </c>
      <c r="S19" s="40">
        <f t="shared" si="0"/>
        <v>383195.6066658424</v>
      </c>
    </row>
    <row r="20" spans="1:19" s="39" customFormat="1" ht="15" hidden="1">
      <c r="A20" s="36"/>
      <c r="B20" s="37" t="str">
        <f>B19</f>
        <v>Mar</v>
      </c>
      <c r="C20" s="37" t="s">
        <v>45</v>
      </c>
      <c r="D20" s="38"/>
      <c r="E20" s="38">
        <f>D20*$E$7</f>
        <v>0</v>
      </c>
      <c r="F20" s="38">
        <v>0</v>
      </c>
      <c r="G20" s="38">
        <f>F20*$G$7</f>
        <v>0</v>
      </c>
      <c r="H20" s="38">
        <v>0</v>
      </c>
      <c r="I20" s="38">
        <f>H20*$I$7</f>
        <v>0</v>
      </c>
      <c r="J20" s="38">
        <v>0</v>
      </c>
      <c r="K20" s="38">
        <f>J20*$K$7</f>
        <v>0</v>
      </c>
      <c r="L20" s="38">
        <v>0</v>
      </c>
      <c r="M20" s="38">
        <f>L20*$M$7</f>
        <v>0</v>
      </c>
      <c r="N20" s="38"/>
      <c r="O20" s="38"/>
      <c r="P20" s="38">
        <v>0</v>
      </c>
      <c r="Q20" s="38">
        <f>P20*$Q$7</f>
        <v>0</v>
      </c>
      <c r="S20" s="40">
        <f t="shared" si="0"/>
        <v>0</v>
      </c>
    </row>
    <row r="21" spans="1:19" s="39" customFormat="1" ht="15">
      <c r="A21" s="36"/>
      <c r="B21" s="37" t="str">
        <f>B19</f>
        <v>Mar</v>
      </c>
      <c r="C21" s="37"/>
      <c r="D21" s="38">
        <f aca="true" t="shared" si="3" ref="D21:Q21">D19+D20</f>
        <v>45449226.571154214</v>
      </c>
      <c r="E21" s="38">
        <f t="shared" si="3"/>
        <v>193431.90828683236</v>
      </c>
      <c r="F21" s="38">
        <f t="shared" si="3"/>
        <v>13275635.639331676</v>
      </c>
      <c r="G21" s="38">
        <f t="shared" si="3"/>
        <v>48270.21118460997</v>
      </c>
      <c r="H21" s="38">
        <f t="shared" si="3"/>
        <v>129480.50000000001</v>
      </c>
      <c r="I21" s="38">
        <f t="shared" si="3"/>
        <v>92548.518024</v>
      </c>
      <c r="J21" s="38">
        <f t="shared" si="3"/>
        <v>36232.8</v>
      </c>
      <c r="K21" s="38">
        <f t="shared" si="3"/>
        <v>20312.7598704</v>
      </c>
      <c r="L21" s="38">
        <f t="shared" si="3"/>
        <v>28321.7</v>
      </c>
      <c r="M21" s="38">
        <f t="shared" si="3"/>
        <v>27360.6597539</v>
      </c>
      <c r="N21" s="38">
        <v>30.708333333333332</v>
      </c>
      <c r="O21" s="38">
        <f>N21*O6</f>
        <v>5.403254083333333</v>
      </c>
      <c r="P21" s="38">
        <f t="shared" si="3"/>
        <v>2426.7</v>
      </c>
      <c r="Q21" s="38">
        <f t="shared" si="3"/>
        <v>1271.5495460999998</v>
      </c>
      <c r="S21" s="40">
        <f t="shared" si="0"/>
        <v>383201.00991992577</v>
      </c>
    </row>
    <row r="22" spans="1:19" s="39" customFormat="1" ht="15" hidden="1">
      <c r="A22" s="36"/>
      <c r="B22" s="41" t="s">
        <v>6</v>
      </c>
      <c r="C22" s="37" t="s">
        <v>44</v>
      </c>
      <c r="D22" s="38">
        <v>-23808218.385442667</v>
      </c>
      <c r="E22" s="38">
        <f>D22*$E$6</f>
        <v>-101327.777448444</v>
      </c>
      <c r="F22" s="38">
        <v>-4631936.757826004</v>
      </c>
      <c r="G22" s="38">
        <f>F22*$G$6</f>
        <v>-16841.722051455352</v>
      </c>
      <c r="H22" s="38">
        <v>3388.0000000000146</v>
      </c>
      <c r="I22" s="38">
        <f>H22*$I$6</f>
        <v>2421.63398400001</v>
      </c>
      <c r="J22" s="38">
        <v>3760.300000000003</v>
      </c>
      <c r="K22" s="38">
        <f>J22*$K$6</f>
        <v>2108.0918654000016</v>
      </c>
      <c r="L22" s="38">
        <v>0</v>
      </c>
      <c r="M22" s="38">
        <f>L22*$M$6</f>
        <v>0</v>
      </c>
      <c r="N22" s="38"/>
      <c r="O22" s="38"/>
      <c r="P22" s="38">
        <v>2442.5</v>
      </c>
      <c r="Q22" s="38">
        <f>P22*$Q$6</f>
        <v>1279.8284775</v>
      </c>
      <c r="S22" s="40">
        <f t="shared" si="0"/>
        <v>-112359.94517299933</v>
      </c>
    </row>
    <row r="23" spans="1:19" s="39" customFormat="1" ht="15" hidden="1">
      <c r="A23" s="36"/>
      <c r="B23" s="37" t="str">
        <f>B22</f>
        <v>Apr</v>
      </c>
      <c r="C23" s="37" t="s">
        <v>45</v>
      </c>
      <c r="D23" s="38">
        <v>69016279</v>
      </c>
      <c r="E23" s="38">
        <f>D23*$E$7</f>
        <v>351983.02290000004</v>
      </c>
      <c r="F23" s="38">
        <v>20121238</v>
      </c>
      <c r="G23" s="38">
        <f>F23*$G$7</f>
        <v>86521.3234</v>
      </c>
      <c r="H23" s="38">
        <v>129044.40000000001</v>
      </c>
      <c r="I23" s="38">
        <f>H23*$I$7</f>
        <v>68006.39880000001</v>
      </c>
      <c r="J23" s="38">
        <v>38541</v>
      </c>
      <c r="K23" s="38">
        <f>J23*$K$7</f>
        <v>16618.8792</v>
      </c>
      <c r="L23" s="38">
        <v>27928.9</v>
      </c>
      <c r="M23" s="38">
        <f>L23*$M$7</f>
        <v>27806.012840000003</v>
      </c>
      <c r="N23" s="38"/>
      <c r="O23" s="38"/>
      <c r="P23" s="38">
        <v>0</v>
      </c>
      <c r="Q23" s="38">
        <f>P23*$Q$7</f>
        <v>0</v>
      </c>
      <c r="S23" s="40">
        <f t="shared" si="0"/>
        <v>550935.6371400001</v>
      </c>
    </row>
    <row r="24" spans="1:19" s="39" customFormat="1" ht="15">
      <c r="A24" s="36"/>
      <c r="B24" s="37" t="str">
        <f>B22</f>
        <v>Apr</v>
      </c>
      <c r="C24" s="37"/>
      <c r="D24" s="38">
        <f aca="true" t="shared" si="4" ref="D24:Q24">D22+D23</f>
        <v>45208060.61455733</v>
      </c>
      <c r="E24" s="38">
        <f t="shared" si="4"/>
        <v>250655.24545155605</v>
      </c>
      <c r="F24" s="38">
        <f t="shared" si="4"/>
        <v>15489301.242173996</v>
      </c>
      <c r="G24" s="38">
        <f t="shared" si="4"/>
        <v>69679.60134854465</v>
      </c>
      <c r="H24" s="38">
        <f t="shared" si="4"/>
        <v>132432.40000000002</v>
      </c>
      <c r="I24" s="38">
        <f t="shared" si="4"/>
        <v>70428.03278400002</v>
      </c>
      <c r="J24" s="38">
        <f t="shared" si="4"/>
        <v>42301.3</v>
      </c>
      <c r="K24" s="38">
        <f t="shared" si="4"/>
        <v>18726.9710654</v>
      </c>
      <c r="L24" s="38">
        <f t="shared" si="4"/>
        <v>27928.9</v>
      </c>
      <c r="M24" s="38">
        <f t="shared" si="4"/>
        <v>27806.012840000003</v>
      </c>
      <c r="N24" s="38">
        <v>39.33611111111111</v>
      </c>
      <c r="O24" s="38">
        <f>N24*$O$7</f>
        <v>78.32606444444444</v>
      </c>
      <c r="P24" s="38">
        <f t="shared" si="4"/>
        <v>2442.5</v>
      </c>
      <c r="Q24" s="38">
        <f t="shared" si="4"/>
        <v>1279.8284775</v>
      </c>
      <c r="S24" s="40">
        <f t="shared" si="0"/>
        <v>438654.01803144516</v>
      </c>
    </row>
    <row r="25" spans="1:19" s="39" customFormat="1" ht="15" hidden="1">
      <c r="A25" s="36"/>
      <c r="B25" s="41" t="s">
        <v>7</v>
      </c>
      <c r="C25" s="37" t="s">
        <v>44</v>
      </c>
      <c r="D25" s="38">
        <v>19650089</v>
      </c>
      <c r="E25" s="38">
        <f>D25*$E$6</f>
        <v>83630.77878400001</v>
      </c>
      <c r="F25" s="38">
        <v>6115816</v>
      </c>
      <c r="G25" s="38">
        <f>F25*$G$6</f>
        <v>22237.106976</v>
      </c>
      <c r="H25" s="38">
        <v>7699.200000000012</v>
      </c>
      <c r="I25" s="38">
        <f>H25*$I$6</f>
        <v>5503.141785600008</v>
      </c>
      <c r="J25" s="38">
        <v>0</v>
      </c>
      <c r="K25" s="38">
        <f>J25*$K$6</f>
        <v>0</v>
      </c>
      <c r="L25" s="38">
        <v>0</v>
      </c>
      <c r="M25" s="38">
        <f>L25*$M$6</f>
        <v>0</v>
      </c>
      <c r="N25" s="38"/>
      <c r="O25" s="38"/>
      <c r="P25" s="38">
        <v>0</v>
      </c>
      <c r="Q25" s="38">
        <f>P25*$Q$6</f>
        <v>0</v>
      </c>
      <c r="R25" s="42"/>
      <c r="S25" s="40">
        <f t="shared" si="0"/>
        <v>111371.02754560001</v>
      </c>
    </row>
    <row r="26" spans="1:19" s="39" customFormat="1" ht="15" hidden="1">
      <c r="A26" s="36"/>
      <c r="B26" s="37" t="str">
        <f>B25</f>
        <v>May</v>
      </c>
      <c r="C26" s="37" t="s">
        <v>45</v>
      </c>
      <c r="D26" s="38">
        <v>14602778</v>
      </c>
      <c r="E26" s="38">
        <f>D26*$E$7</f>
        <v>74474.16780000001</v>
      </c>
      <c r="F26" s="38">
        <v>5812845</v>
      </c>
      <c r="G26" s="38">
        <f>F26*$G$7</f>
        <v>24995.2335</v>
      </c>
      <c r="H26" s="38">
        <v>123757.89999999997</v>
      </c>
      <c r="I26" s="38">
        <f>H26*$I$7</f>
        <v>65220.413299999986</v>
      </c>
      <c r="J26" s="38">
        <v>35588.70000000001</v>
      </c>
      <c r="K26" s="38">
        <f>J26*$K$7</f>
        <v>15345.847440000007</v>
      </c>
      <c r="L26" s="38">
        <v>14841.799999999996</v>
      </c>
      <c r="M26" s="38">
        <f>L26*$M$7</f>
        <v>14776.496079999997</v>
      </c>
      <c r="N26" s="38"/>
      <c r="O26" s="38"/>
      <c r="P26" s="38">
        <v>2451.3</v>
      </c>
      <c r="Q26" s="38">
        <f>P26*$Q$7</f>
        <v>1483.52676</v>
      </c>
      <c r="R26" s="42"/>
      <c r="S26" s="40">
        <f t="shared" si="0"/>
        <v>196295.68488</v>
      </c>
    </row>
    <row r="27" spans="1:19" s="39" customFormat="1" ht="15">
      <c r="A27" s="36"/>
      <c r="B27" s="37" t="str">
        <f>B25</f>
        <v>May</v>
      </c>
      <c r="C27" s="37"/>
      <c r="D27" s="38">
        <f aca="true" t="shared" si="5" ref="D27:Q27">D25+D26</f>
        <v>34252867</v>
      </c>
      <c r="E27" s="38">
        <f t="shared" si="5"/>
        <v>158104.94658400002</v>
      </c>
      <c r="F27" s="38">
        <f t="shared" si="5"/>
        <v>11928661</v>
      </c>
      <c r="G27" s="38">
        <f t="shared" si="5"/>
        <v>47232.340476</v>
      </c>
      <c r="H27" s="38">
        <f t="shared" si="5"/>
        <v>131457.09999999998</v>
      </c>
      <c r="I27" s="38">
        <f t="shared" si="5"/>
        <v>70723.55508559999</v>
      </c>
      <c r="J27" s="38">
        <f t="shared" si="5"/>
        <v>35588.70000000001</v>
      </c>
      <c r="K27" s="38">
        <f t="shared" si="5"/>
        <v>15345.847440000007</v>
      </c>
      <c r="L27" s="38">
        <f t="shared" si="5"/>
        <v>14841.799999999996</v>
      </c>
      <c r="M27" s="38">
        <f t="shared" si="5"/>
        <v>14776.496079999997</v>
      </c>
      <c r="N27" s="38">
        <v>29.394444444444446</v>
      </c>
      <c r="O27" s="38">
        <f>N27*$O$7</f>
        <v>58.530217777777786</v>
      </c>
      <c r="P27" s="38">
        <f t="shared" si="5"/>
        <v>2451.3</v>
      </c>
      <c r="Q27" s="38">
        <f t="shared" si="5"/>
        <v>1483.52676</v>
      </c>
      <c r="S27" s="40">
        <f t="shared" si="0"/>
        <v>307725.24264337774</v>
      </c>
    </row>
    <row r="28" spans="1:19" s="39" customFormat="1" ht="15" hidden="1">
      <c r="A28" s="36"/>
      <c r="B28" s="41" t="s">
        <v>8</v>
      </c>
      <c r="C28" s="37" t="s">
        <v>44</v>
      </c>
      <c r="D28" s="38">
        <v>3515962</v>
      </c>
      <c r="E28" s="38">
        <f>D28*$E$6</f>
        <v>14963.934272</v>
      </c>
      <c r="F28" s="38">
        <v>940418</v>
      </c>
      <c r="G28" s="38">
        <f>F28*$G$6</f>
        <v>3419.359848</v>
      </c>
      <c r="H28" s="38">
        <v>909.9000000000233</v>
      </c>
      <c r="I28" s="38">
        <f>H28*$I$6</f>
        <v>650.3674032000166</v>
      </c>
      <c r="J28" s="38">
        <v>0</v>
      </c>
      <c r="K28" s="38">
        <f>J28*$K$6</f>
        <v>0</v>
      </c>
      <c r="L28" s="38">
        <v>0</v>
      </c>
      <c r="M28" s="38">
        <f>L28*$M$6</f>
        <v>0</v>
      </c>
      <c r="N28" s="38"/>
      <c r="O28" s="38"/>
      <c r="P28" s="38">
        <v>0</v>
      </c>
      <c r="Q28" s="38">
        <f>P28*$Q$6</f>
        <v>0</v>
      </c>
      <c r="S28" s="40">
        <f t="shared" si="0"/>
        <v>19033.661523200015</v>
      </c>
    </row>
    <row r="29" spans="1:19" s="39" customFormat="1" ht="15" hidden="1">
      <c r="A29" s="36"/>
      <c r="B29" s="37" t="str">
        <f>B28</f>
        <v>Jun</v>
      </c>
      <c r="C29" s="37" t="s">
        <v>45</v>
      </c>
      <c r="D29" s="38">
        <v>32611651.43748799</v>
      </c>
      <c r="E29" s="38">
        <f>D29*$E$7</f>
        <v>166319.42233118875</v>
      </c>
      <c r="F29" s="38">
        <v>11309954.545227576</v>
      </c>
      <c r="G29" s="38">
        <f>F29*$G$7</f>
        <v>48632.804544478575</v>
      </c>
      <c r="H29" s="38">
        <v>134947.38</v>
      </c>
      <c r="I29" s="38">
        <f>H29*$I$7</f>
        <v>71117.26926</v>
      </c>
      <c r="J29" s="38">
        <v>37388.2</v>
      </c>
      <c r="K29" s="38">
        <f>J29*$K$7</f>
        <v>16121.79184</v>
      </c>
      <c r="L29" s="38">
        <v>15038.2</v>
      </c>
      <c r="M29" s="38">
        <f>L29*$M$7</f>
        <v>14972.031920000001</v>
      </c>
      <c r="N29" s="38"/>
      <c r="O29" s="38"/>
      <c r="P29" s="38">
        <v>2452.2</v>
      </c>
      <c r="Q29" s="38">
        <f>P29*$Q$7</f>
        <v>1484.0714399999997</v>
      </c>
      <c r="S29" s="40">
        <f t="shared" si="0"/>
        <v>318647.39133566734</v>
      </c>
    </row>
    <row r="30" spans="1:19" s="39" customFormat="1" ht="15">
      <c r="A30" s="36"/>
      <c r="B30" s="37" t="str">
        <f>B28</f>
        <v>Jun</v>
      </c>
      <c r="C30" s="37"/>
      <c r="D30" s="38">
        <f aca="true" t="shared" si="6" ref="D30:Q30">D28+D29</f>
        <v>36127613.43748799</v>
      </c>
      <c r="E30" s="38">
        <f t="shared" si="6"/>
        <v>181283.35660318876</v>
      </c>
      <c r="F30" s="38">
        <f t="shared" si="6"/>
        <v>12250372.545227576</v>
      </c>
      <c r="G30" s="38">
        <f t="shared" si="6"/>
        <v>52052.164392478575</v>
      </c>
      <c r="H30" s="38">
        <f t="shared" si="6"/>
        <v>135857.28000000003</v>
      </c>
      <c r="I30" s="38">
        <f t="shared" si="6"/>
        <v>71767.63666320001</v>
      </c>
      <c r="J30" s="38">
        <f t="shared" si="6"/>
        <v>37388.2</v>
      </c>
      <c r="K30" s="38">
        <f t="shared" si="6"/>
        <v>16121.79184</v>
      </c>
      <c r="L30" s="38">
        <f t="shared" si="6"/>
        <v>15038.2</v>
      </c>
      <c r="M30" s="38">
        <f t="shared" si="6"/>
        <v>14972.031920000001</v>
      </c>
      <c r="N30" s="38">
        <v>42.125</v>
      </c>
      <c r="O30" s="38">
        <f>N30*$O$7</f>
        <v>83.8793</v>
      </c>
      <c r="P30" s="38">
        <f t="shared" si="6"/>
        <v>2452.2</v>
      </c>
      <c r="Q30" s="38">
        <f t="shared" si="6"/>
        <v>1484.0714399999997</v>
      </c>
      <c r="S30" s="40">
        <f t="shared" si="0"/>
        <v>337764.93215886725</v>
      </c>
    </row>
    <row r="31" spans="1:19" s="39" customFormat="1" ht="15" hidden="1">
      <c r="A31" s="36"/>
      <c r="B31" s="41" t="s">
        <v>9</v>
      </c>
      <c r="C31" s="37" t="s">
        <v>44</v>
      </c>
      <c r="D31" s="38">
        <v>-21592</v>
      </c>
      <c r="E31" s="38">
        <f>D31*$E$6</f>
        <v>-91.89555200000001</v>
      </c>
      <c r="F31" s="38">
        <v>26476</v>
      </c>
      <c r="G31" s="38">
        <f>F31*$G$6</f>
        <v>96.266736</v>
      </c>
      <c r="H31" s="38">
        <v>0</v>
      </c>
      <c r="I31" s="38">
        <f>H31*$I$6</f>
        <v>0</v>
      </c>
      <c r="J31" s="38">
        <v>-11041.600000000006</v>
      </c>
      <c r="K31" s="38">
        <f>J31*$K$6</f>
        <v>-6190.119708800003</v>
      </c>
      <c r="L31" s="38">
        <v>0</v>
      </c>
      <c r="M31" s="38">
        <f>L31*$M$6</f>
        <v>0</v>
      </c>
      <c r="N31" s="38"/>
      <c r="O31" s="38"/>
      <c r="P31" s="38">
        <v>0</v>
      </c>
      <c r="Q31" s="38">
        <f>P31*$Q$6</f>
        <v>0</v>
      </c>
      <c r="S31" s="40">
        <f t="shared" si="0"/>
        <v>-6185.748524800003</v>
      </c>
    </row>
    <row r="32" spans="1:19" s="39" customFormat="1" ht="15" hidden="1">
      <c r="A32" s="36"/>
      <c r="B32" s="37" t="str">
        <f>B31</f>
        <v>Jul</v>
      </c>
      <c r="C32" s="37" t="s">
        <v>45</v>
      </c>
      <c r="D32" s="38">
        <v>65624282.697522566</v>
      </c>
      <c r="E32" s="38">
        <f>D32*$E$7</f>
        <v>334683.8417573651</v>
      </c>
      <c r="F32" s="38">
        <v>18050372.11119647</v>
      </c>
      <c r="G32" s="38">
        <f>F32*$G$7</f>
        <v>77616.60007814482</v>
      </c>
      <c r="H32" s="38">
        <v>129272.12</v>
      </c>
      <c r="I32" s="38">
        <f>H32*$I$7</f>
        <v>68126.40724</v>
      </c>
      <c r="J32" s="38">
        <v>47909.04</v>
      </c>
      <c r="K32" s="38">
        <f>J32*$K$7</f>
        <v>20658.378048000002</v>
      </c>
      <c r="L32" s="38">
        <v>-178.79999999999927</v>
      </c>
      <c r="M32" s="38">
        <f>L32*$M$7</f>
        <v>-178.01327999999927</v>
      </c>
      <c r="N32" s="38"/>
      <c r="O32" s="38"/>
      <c r="P32" s="38">
        <v>2452.6</v>
      </c>
      <c r="Q32" s="38">
        <f>P32*$Q$7</f>
        <v>1484.31352</v>
      </c>
      <c r="S32" s="40">
        <f t="shared" si="0"/>
        <v>502391.52736350993</v>
      </c>
    </row>
    <row r="33" spans="1:19" s="39" customFormat="1" ht="15">
      <c r="A33" s="36"/>
      <c r="B33" s="37" t="str">
        <f>B31</f>
        <v>Jul</v>
      </c>
      <c r="C33" s="37"/>
      <c r="D33" s="38">
        <f aca="true" t="shared" si="7" ref="D33:Q33">D31+D32</f>
        <v>65602690.697522566</v>
      </c>
      <c r="E33" s="38">
        <f t="shared" si="7"/>
        <v>334591.9462053651</v>
      </c>
      <c r="F33" s="38">
        <f t="shared" si="7"/>
        <v>18076848.11119647</v>
      </c>
      <c r="G33" s="38">
        <f t="shared" si="7"/>
        <v>77712.86681414483</v>
      </c>
      <c r="H33" s="38">
        <f t="shared" si="7"/>
        <v>129272.12</v>
      </c>
      <c r="I33" s="38">
        <f t="shared" si="7"/>
        <v>68126.40724</v>
      </c>
      <c r="J33" s="38">
        <f t="shared" si="7"/>
        <v>36867.439999999995</v>
      </c>
      <c r="K33" s="38">
        <f t="shared" si="7"/>
        <v>14468.2583392</v>
      </c>
      <c r="L33" s="38">
        <f t="shared" si="7"/>
        <v>-178.79999999999927</v>
      </c>
      <c r="M33" s="38">
        <f t="shared" si="7"/>
        <v>-178.01327999999927</v>
      </c>
      <c r="N33" s="38">
        <v>29.413888888888888</v>
      </c>
      <c r="O33" s="38">
        <f>N33*$O$7</f>
        <v>58.568935555555555</v>
      </c>
      <c r="P33" s="38">
        <f t="shared" si="7"/>
        <v>2452.6</v>
      </c>
      <c r="Q33" s="38">
        <f t="shared" si="7"/>
        <v>1484.31352</v>
      </c>
      <c r="S33" s="40">
        <f t="shared" si="0"/>
        <v>496264.34777426557</v>
      </c>
    </row>
    <row r="34" spans="1:19" s="39" customFormat="1" ht="15" hidden="1">
      <c r="A34" s="36"/>
      <c r="B34" s="41" t="s">
        <v>10</v>
      </c>
      <c r="C34" s="37" t="s">
        <v>44</v>
      </c>
      <c r="D34" s="38">
        <v>-55134</v>
      </c>
      <c r="E34" s="38">
        <f>D34*$E$6</f>
        <v>-234.650304</v>
      </c>
      <c r="F34" s="38">
        <v>101230</v>
      </c>
      <c r="G34" s="38">
        <f>F34*$G$6</f>
        <v>368.07228</v>
      </c>
      <c r="H34" s="38">
        <v>0</v>
      </c>
      <c r="I34" s="38">
        <f>H34*$I$6</f>
        <v>0</v>
      </c>
      <c r="J34" s="38">
        <v>0</v>
      </c>
      <c r="K34" s="38">
        <f>J34*$K$6</f>
        <v>0</v>
      </c>
      <c r="L34" s="38">
        <v>0</v>
      </c>
      <c r="M34" s="38">
        <f>L34*$M$6</f>
        <v>0</v>
      </c>
      <c r="N34" s="38"/>
      <c r="O34" s="38"/>
      <c r="P34" s="38">
        <v>0</v>
      </c>
      <c r="Q34" s="38">
        <f>P34*$Q$6</f>
        <v>0</v>
      </c>
      <c r="S34" s="40">
        <f t="shared" si="0"/>
        <v>133.42197599999997</v>
      </c>
    </row>
    <row r="35" spans="1:19" s="39" customFormat="1" ht="15" hidden="1">
      <c r="A35" s="36"/>
      <c r="B35" s="37" t="str">
        <f>B34</f>
        <v>Aug</v>
      </c>
      <c r="C35" s="37" t="s">
        <v>45</v>
      </c>
      <c r="D35" s="38">
        <v>54633514.79277894</v>
      </c>
      <c r="E35" s="38">
        <f>D35*$E$7</f>
        <v>278630.92544317263</v>
      </c>
      <c r="F35" s="38">
        <v>18891750.427501444</v>
      </c>
      <c r="G35" s="38">
        <f>F35*$G$7</f>
        <v>81234.5268382562</v>
      </c>
      <c r="H35" s="38">
        <v>130655.09999999998</v>
      </c>
      <c r="I35" s="38">
        <f>H35*$I$7</f>
        <v>68855.2377</v>
      </c>
      <c r="J35" s="38">
        <v>37859.96</v>
      </c>
      <c r="K35" s="38">
        <f>J35*$K$7</f>
        <v>16325.214752</v>
      </c>
      <c r="L35" s="38">
        <v>9811</v>
      </c>
      <c r="M35" s="38">
        <f>L35*$M$7</f>
        <v>9767.8316</v>
      </c>
      <c r="N35" s="38"/>
      <c r="O35" s="38"/>
      <c r="P35" s="38">
        <v>2452.6</v>
      </c>
      <c r="Q35" s="38">
        <f>P35*$Q$7</f>
        <v>1484.31352</v>
      </c>
      <c r="S35" s="40">
        <f t="shared" si="0"/>
        <v>456298.04985342885</v>
      </c>
    </row>
    <row r="36" spans="1:19" s="39" customFormat="1" ht="15">
      <c r="A36" s="36"/>
      <c r="B36" s="37" t="str">
        <f>B34</f>
        <v>Aug</v>
      </c>
      <c r="C36" s="37"/>
      <c r="D36" s="38">
        <f aca="true" t="shared" si="8" ref="D36:Q36">D34+D35</f>
        <v>54578380.79277894</v>
      </c>
      <c r="E36" s="38">
        <f t="shared" si="8"/>
        <v>278396.2751391726</v>
      </c>
      <c r="F36" s="38">
        <f t="shared" si="8"/>
        <v>18992980.427501444</v>
      </c>
      <c r="G36" s="38">
        <f t="shared" si="8"/>
        <v>81602.5991182562</v>
      </c>
      <c r="H36" s="38">
        <f t="shared" si="8"/>
        <v>130655.09999999998</v>
      </c>
      <c r="I36" s="38">
        <f t="shared" si="8"/>
        <v>68855.2377</v>
      </c>
      <c r="J36" s="38">
        <f t="shared" si="8"/>
        <v>37859.96</v>
      </c>
      <c r="K36" s="38">
        <f t="shared" si="8"/>
        <v>16325.214752</v>
      </c>
      <c r="L36" s="38">
        <f t="shared" si="8"/>
        <v>9811</v>
      </c>
      <c r="M36" s="38">
        <f t="shared" si="8"/>
        <v>9767.8316</v>
      </c>
      <c r="N36" s="38">
        <v>38.43611111111111</v>
      </c>
      <c r="O36" s="38">
        <f>N36*$O$7</f>
        <v>76.53398444444444</v>
      </c>
      <c r="P36" s="38">
        <f t="shared" si="8"/>
        <v>2452.6</v>
      </c>
      <c r="Q36" s="38">
        <f t="shared" si="8"/>
        <v>1484.31352</v>
      </c>
      <c r="S36" s="40">
        <f t="shared" si="0"/>
        <v>456508.00581387326</v>
      </c>
    </row>
    <row r="37" spans="1:19" s="39" customFormat="1" ht="15" hidden="1">
      <c r="A37" s="36"/>
      <c r="B37" s="41" t="s">
        <v>11</v>
      </c>
      <c r="C37" s="37" t="s">
        <v>44</v>
      </c>
      <c r="D37" s="38">
        <v>-13958</v>
      </c>
      <c r="E37" s="38">
        <f>D37*$E$6</f>
        <v>-59.405248</v>
      </c>
      <c r="F37" s="38">
        <v>6307</v>
      </c>
      <c r="G37" s="38">
        <f>F37*$G$6</f>
        <v>22.932252</v>
      </c>
      <c r="H37" s="38">
        <v>0</v>
      </c>
      <c r="I37" s="38">
        <f>H37*$I$6</f>
        <v>0</v>
      </c>
      <c r="J37" s="38">
        <v>0</v>
      </c>
      <c r="K37" s="38">
        <f>J37*$K$6</f>
        <v>0</v>
      </c>
      <c r="L37" s="38">
        <v>0</v>
      </c>
      <c r="M37" s="38">
        <f>L37*$M$6</f>
        <v>0</v>
      </c>
      <c r="N37" s="38"/>
      <c r="O37" s="38"/>
      <c r="P37" s="38">
        <v>0</v>
      </c>
      <c r="Q37" s="38">
        <f>P37*$Q$6</f>
        <v>0</v>
      </c>
      <c r="S37" s="40">
        <f t="shared" si="0"/>
        <v>-36.472996</v>
      </c>
    </row>
    <row r="38" spans="1:19" s="39" customFormat="1" ht="15" hidden="1">
      <c r="A38" s="36"/>
      <c r="B38" s="37" t="str">
        <f>B37</f>
        <v>Sep</v>
      </c>
      <c r="C38" s="37" t="s">
        <v>45</v>
      </c>
      <c r="D38" s="38">
        <v>63321751.98175533</v>
      </c>
      <c r="E38" s="38">
        <f>D38*$E$7</f>
        <v>322940.9351069522</v>
      </c>
      <c r="F38" s="38">
        <v>13325779.333781444</v>
      </c>
      <c r="G38" s="38">
        <f>F38*$G$7</f>
        <v>57300.85113526021</v>
      </c>
      <c r="H38" s="38">
        <v>125135.00000000004</v>
      </c>
      <c r="I38" s="38">
        <f>H38*$I$7</f>
        <v>65946.14500000003</v>
      </c>
      <c r="J38" s="38">
        <v>42491.5</v>
      </c>
      <c r="K38" s="38">
        <f>J38*$K$7</f>
        <v>18322.3348</v>
      </c>
      <c r="L38" s="38">
        <v>9851.599999999999</v>
      </c>
      <c r="M38" s="38">
        <f>L38*$M$7</f>
        <v>9808.25296</v>
      </c>
      <c r="N38" s="38"/>
      <c r="O38" s="38"/>
      <c r="P38" s="38">
        <v>2453</v>
      </c>
      <c r="Q38" s="38">
        <f>P38*$Q$7</f>
        <v>1484.5556</v>
      </c>
      <c r="S38" s="40">
        <f t="shared" si="0"/>
        <v>475803.07460221247</v>
      </c>
    </row>
    <row r="39" spans="1:19" s="39" customFormat="1" ht="15">
      <c r="A39" s="36"/>
      <c r="B39" s="37" t="str">
        <f>B37</f>
        <v>Sep</v>
      </c>
      <c r="C39" s="37"/>
      <c r="D39" s="38">
        <f aca="true" t="shared" si="9" ref="D39:Q39">D37+D38</f>
        <v>63307793.98175533</v>
      </c>
      <c r="E39" s="38">
        <f t="shared" si="9"/>
        <v>322881.5298589522</v>
      </c>
      <c r="F39" s="38">
        <f t="shared" si="9"/>
        <v>13332086.333781444</v>
      </c>
      <c r="G39" s="38">
        <f t="shared" si="9"/>
        <v>57323.783387260206</v>
      </c>
      <c r="H39" s="38">
        <f t="shared" si="9"/>
        <v>125135.00000000004</v>
      </c>
      <c r="I39" s="38">
        <f t="shared" si="9"/>
        <v>65946.14500000003</v>
      </c>
      <c r="J39" s="38">
        <f t="shared" si="9"/>
        <v>42491.5</v>
      </c>
      <c r="K39" s="38">
        <f t="shared" si="9"/>
        <v>18322.3348</v>
      </c>
      <c r="L39" s="38">
        <f t="shared" si="9"/>
        <v>9851.599999999999</v>
      </c>
      <c r="M39" s="38">
        <f t="shared" si="9"/>
        <v>9808.25296</v>
      </c>
      <c r="N39" s="38">
        <v>30.822222222222223</v>
      </c>
      <c r="O39" s="38">
        <f>N39*$O$7</f>
        <v>61.37320888888889</v>
      </c>
      <c r="P39" s="38">
        <f t="shared" si="9"/>
        <v>2453</v>
      </c>
      <c r="Q39" s="38">
        <f t="shared" si="9"/>
        <v>1484.5556</v>
      </c>
      <c r="S39" s="40">
        <f t="shared" si="0"/>
        <v>475827.97481510136</v>
      </c>
    </row>
    <row r="40" spans="1:19" s="39" customFormat="1" ht="15" hidden="1">
      <c r="A40" s="36"/>
      <c r="B40" s="41" t="s">
        <v>12</v>
      </c>
      <c r="C40" s="37" t="s">
        <v>44</v>
      </c>
      <c r="D40" s="38">
        <v>-18985</v>
      </c>
      <c r="E40" s="38">
        <f>D40*$E$6</f>
        <v>-80.80016</v>
      </c>
      <c r="F40" s="38">
        <v>-25148</v>
      </c>
      <c r="G40" s="38">
        <f>F40*$G$6</f>
        <v>-91.43812799999999</v>
      </c>
      <c r="H40" s="38">
        <v>0</v>
      </c>
      <c r="I40" s="38">
        <f>H40*$I$6</f>
        <v>0</v>
      </c>
      <c r="J40" s="38">
        <v>0</v>
      </c>
      <c r="K40" s="38">
        <f>J40*$K$6</f>
        <v>0</v>
      </c>
      <c r="L40" s="38">
        <v>0</v>
      </c>
      <c r="M40" s="38">
        <f>L40*$M$6</f>
        <v>0</v>
      </c>
      <c r="N40" s="38"/>
      <c r="O40" s="38"/>
      <c r="P40" s="38">
        <v>0</v>
      </c>
      <c r="Q40" s="38">
        <f>P40*$Q$6</f>
        <v>0</v>
      </c>
      <c r="S40" s="40">
        <f t="shared" si="0"/>
        <v>-172.238288</v>
      </c>
    </row>
    <row r="41" spans="1:19" s="39" customFormat="1" ht="15" hidden="1">
      <c r="A41" s="36"/>
      <c r="B41" s="37" t="str">
        <f>B40</f>
        <v>Oct</v>
      </c>
      <c r="C41" s="37" t="s">
        <v>45</v>
      </c>
      <c r="D41" s="38">
        <v>48268961.812752075</v>
      </c>
      <c r="E41" s="38">
        <f>D41*$E$7</f>
        <v>246171.7052450356</v>
      </c>
      <c r="F41" s="38">
        <v>13843272.641444214</v>
      </c>
      <c r="G41" s="38">
        <f>F41*$G$7</f>
        <v>59526.07235821012</v>
      </c>
      <c r="H41" s="38">
        <v>127713.8</v>
      </c>
      <c r="I41" s="38">
        <f>H41*$I$7</f>
        <v>67305.1726</v>
      </c>
      <c r="J41" s="38">
        <v>39500.8</v>
      </c>
      <c r="K41" s="38">
        <f>J41*$K$7</f>
        <v>17032.744960000004</v>
      </c>
      <c r="L41" s="38">
        <v>9891.800000000001</v>
      </c>
      <c r="M41" s="38">
        <f>L41*$M$7</f>
        <v>9848.276080000001</v>
      </c>
      <c r="N41" s="38"/>
      <c r="O41" s="38"/>
      <c r="P41" s="38">
        <v>2453.2</v>
      </c>
      <c r="Q41" s="38">
        <f>P41*$Q$7</f>
        <v>1484.6766399999997</v>
      </c>
      <c r="S41" s="40">
        <f t="shared" si="0"/>
        <v>401368.6478832457</v>
      </c>
    </row>
    <row r="42" spans="1:19" s="39" customFormat="1" ht="15">
      <c r="A42" s="36"/>
      <c r="B42" s="37" t="str">
        <f>B40</f>
        <v>Oct</v>
      </c>
      <c r="C42" s="37"/>
      <c r="D42" s="38">
        <f aca="true" t="shared" si="10" ref="D42:Q42">D40+D41</f>
        <v>48249976.812752075</v>
      </c>
      <c r="E42" s="38">
        <f t="shared" si="10"/>
        <v>246090.9050850356</v>
      </c>
      <c r="F42" s="38">
        <f t="shared" si="10"/>
        <v>13818124.641444214</v>
      </c>
      <c r="G42" s="38">
        <f t="shared" si="10"/>
        <v>59434.63423021012</v>
      </c>
      <c r="H42" s="38">
        <f t="shared" si="10"/>
        <v>127713.8</v>
      </c>
      <c r="I42" s="38">
        <f t="shared" si="10"/>
        <v>67305.1726</v>
      </c>
      <c r="J42" s="38">
        <f t="shared" si="10"/>
        <v>39500.8</v>
      </c>
      <c r="K42" s="38">
        <f t="shared" si="10"/>
        <v>17032.744960000004</v>
      </c>
      <c r="L42" s="38">
        <f t="shared" si="10"/>
        <v>9891.800000000001</v>
      </c>
      <c r="M42" s="38">
        <f t="shared" si="10"/>
        <v>9848.276080000001</v>
      </c>
      <c r="N42" s="38">
        <v>35.15277777777778</v>
      </c>
      <c r="O42" s="38">
        <f>N42*$O$7</f>
        <v>69.99621111111111</v>
      </c>
      <c r="P42" s="38">
        <f t="shared" si="10"/>
        <v>2453.2</v>
      </c>
      <c r="Q42" s="38">
        <f t="shared" si="10"/>
        <v>1484.6766399999997</v>
      </c>
      <c r="S42" s="40">
        <f t="shared" si="0"/>
        <v>401266.4058063568</v>
      </c>
    </row>
    <row r="43" spans="1:19" s="39" customFormat="1" ht="15" hidden="1">
      <c r="A43" s="36"/>
      <c r="B43" s="41" t="s">
        <v>13</v>
      </c>
      <c r="C43" s="37" t="s">
        <v>44</v>
      </c>
      <c r="D43" s="38">
        <v>-8924</v>
      </c>
      <c r="E43" s="38">
        <f>D43*$E$6</f>
        <v>-37.980544</v>
      </c>
      <c r="F43" s="38">
        <v>-73189</v>
      </c>
      <c r="G43" s="38">
        <f>F43*$G$6</f>
        <v>-266.115204</v>
      </c>
      <c r="H43" s="38">
        <v>0</v>
      </c>
      <c r="I43" s="38">
        <f>H43*$I$6</f>
        <v>0</v>
      </c>
      <c r="J43" s="38">
        <v>0</v>
      </c>
      <c r="K43" s="38">
        <f>J43*$K$6</f>
        <v>0</v>
      </c>
      <c r="L43" s="38">
        <v>0</v>
      </c>
      <c r="M43" s="38">
        <f>L43*$M$6</f>
        <v>0</v>
      </c>
      <c r="N43" s="38"/>
      <c r="O43" s="38"/>
      <c r="P43" s="38">
        <v>0</v>
      </c>
      <c r="Q43" s="38">
        <f>P43*$Q$6</f>
        <v>0</v>
      </c>
      <c r="S43" s="40">
        <f t="shared" si="0"/>
        <v>-304.095748</v>
      </c>
    </row>
    <row r="44" spans="1:19" s="39" customFormat="1" ht="15" hidden="1">
      <c r="A44" s="36"/>
      <c r="B44" s="37" t="str">
        <f>B43</f>
        <v>Nov</v>
      </c>
      <c r="C44" s="37" t="s">
        <v>45</v>
      </c>
      <c r="D44" s="38">
        <v>42101981.03572114</v>
      </c>
      <c r="E44" s="38">
        <f>D44*$E$7</f>
        <v>214720.10328217782</v>
      </c>
      <c r="F44" s="38">
        <v>14062005.217399657</v>
      </c>
      <c r="G44" s="38">
        <f>F44*$G$7</f>
        <v>60466.62243481852</v>
      </c>
      <c r="H44" s="38">
        <v>126926.99999999999</v>
      </c>
      <c r="I44" s="38">
        <f>H44*$I$7</f>
        <v>66890.529</v>
      </c>
      <c r="J44" s="38">
        <v>37981.299999999996</v>
      </c>
      <c r="K44" s="38">
        <f>J44*$K$7</f>
        <v>16377.536559999999</v>
      </c>
      <c r="L44" s="38">
        <v>10049.600000000002</v>
      </c>
      <c r="M44" s="38">
        <f>L44*$M$7</f>
        <v>10005.381760000002</v>
      </c>
      <c r="N44" s="38"/>
      <c r="O44" s="38"/>
      <c r="P44" s="38">
        <v>2456.6</v>
      </c>
      <c r="Q44" s="38">
        <f>P44*$Q$7</f>
        <v>1486.7343199999998</v>
      </c>
      <c r="S44" s="40">
        <f t="shared" si="0"/>
        <v>369946.9073569963</v>
      </c>
    </row>
    <row r="45" spans="1:19" s="39" customFormat="1" ht="15">
      <c r="A45" s="36"/>
      <c r="B45" s="37" t="str">
        <f>B43</f>
        <v>Nov</v>
      </c>
      <c r="C45" s="37"/>
      <c r="D45" s="38">
        <f aca="true" t="shared" si="11" ref="D45:Q45">D43+D44</f>
        <v>42093057.03572114</v>
      </c>
      <c r="E45" s="38">
        <f t="shared" si="11"/>
        <v>214682.12273817783</v>
      </c>
      <c r="F45" s="38">
        <f t="shared" si="11"/>
        <v>13988816.217399657</v>
      </c>
      <c r="G45" s="38">
        <f t="shared" si="11"/>
        <v>60200.50723081852</v>
      </c>
      <c r="H45" s="38">
        <f t="shared" si="11"/>
        <v>126926.99999999999</v>
      </c>
      <c r="I45" s="38">
        <f t="shared" si="11"/>
        <v>66890.529</v>
      </c>
      <c r="J45" s="38">
        <f t="shared" si="11"/>
        <v>37981.299999999996</v>
      </c>
      <c r="K45" s="38">
        <f t="shared" si="11"/>
        <v>16377.536559999999</v>
      </c>
      <c r="L45" s="38">
        <f t="shared" si="11"/>
        <v>10049.600000000002</v>
      </c>
      <c r="M45" s="38">
        <f t="shared" si="11"/>
        <v>10005.381760000002</v>
      </c>
      <c r="N45" s="38">
        <v>33.391666666666666</v>
      </c>
      <c r="O45" s="38">
        <f>N45*$O$7</f>
        <v>66.48948666666666</v>
      </c>
      <c r="P45" s="38">
        <f t="shared" si="11"/>
        <v>2456.6</v>
      </c>
      <c r="Q45" s="38">
        <f t="shared" si="11"/>
        <v>1486.7343199999998</v>
      </c>
      <c r="S45" s="40">
        <f t="shared" si="0"/>
        <v>369709.301095663</v>
      </c>
    </row>
    <row r="46" spans="1:19" s="39" customFormat="1" ht="15" hidden="1">
      <c r="A46" s="36"/>
      <c r="B46" s="41" t="s">
        <v>3</v>
      </c>
      <c r="C46" s="37" t="s">
        <v>44</v>
      </c>
      <c r="D46" s="38">
        <v>-8211</v>
      </c>
      <c r="E46" s="38">
        <f>D46*$E$6</f>
        <v>-34.946016</v>
      </c>
      <c r="F46" s="38">
        <v>1674893.2237372696</v>
      </c>
      <c r="G46" s="38">
        <f>F46*$G$6</f>
        <v>6089.9117615087125</v>
      </c>
      <c r="H46" s="38">
        <v>0</v>
      </c>
      <c r="I46" s="38">
        <f>H46*$I$6</f>
        <v>0</v>
      </c>
      <c r="J46" s="38">
        <v>0</v>
      </c>
      <c r="K46" s="38">
        <f>J46*$K$6</f>
        <v>0</v>
      </c>
      <c r="L46" s="38">
        <v>0</v>
      </c>
      <c r="M46" s="38">
        <f>L46*$M$6</f>
        <v>0</v>
      </c>
      <c r="N46" s="38"/>
      <c r="O46" s="38"/>
      <c r="P46" s="38">
        <v>0</v>
      </c>
      <c r="Q46" s="38">
        <f>P46*$Q$6</f>
        <v>0</v>
      </c>
      <c r="S46" s="40">
        <f t="shared" si="0"/>
        <v>6054.965745508713</v>
      </c>
    </row>
    <row r="47" spans="1:19" s="39" customFormat="1" ht="15" hidden="1">
      <c r="A47" s="36"/>
      <c r="B47" s="37" t="str">
        <f>B46</f>
        <v>Dec</v>
      </c>
      <c r="C47" s="37" t="s">
        <v>45</v>
      </c>
      <c r="D47" s="38">
        <v>46988527.61993469</v>
      </c>
      <c r="E47" s="38">
        <f>D47*$E$7</f>
        <v>239641.49086166694</v>
      </c>
      <c r="F47" s="38">
        <v>14062005.217399657</v>
      </c>
      <c r="G47" s="38">
        <f>F47*$G$7</f>
        <v>60466.62243481852</v>
      </c>
      <c r="H47" s="38">
        <v>131352.40000000002</v>
      </c>
      <c r="I47" s="38">
        <f>H47*$I$7</f>
        <v>69222.71480000002</v>
      </c>
      <c r="J47" s="38">
        <v>38406.499999999985</v>
      </c>
      <c r="K47" s="38">
        <f>J47*$K$7</f>
        <v>16560.882799999996</v>
      </c>
      <c r="L47" s="38">
        <v>10179.700000000003</v>
      </c>
      <c r="M47" s="38">
        <f>L47*$M$7</f>
        <v>10134.909320000002</v>
      </c>
      <c r="N47" s="38"/>
      <c r="O47" s="38"/>
      <c r="P47" s="38">
        <v>2470.4</v>
      </c>
      <c r="Q47" s="38">
        <f>P47*$Q$7</f>
        <v>1495.08608</v>
      </c>
      <c r="S47" s="40">
        <f t="shared" si="0"/>
        <v>397521.70629648544</v>
      </c>
    </row>
    <row r="48" spans="1:19" s="39" customFormat="1" ht="15">
      <c r="A48" s="36"/>
      <c r="B48" s="37" t="str">
        <f>B46</f>
        <v>Dec</v>
      </c>
      <c r="C48" s="37"/>
      <c r="D48" s="38">
        <f aca="true" t="shared" si="12" ref="D48:Q48">D46+D47</f>
        <v>46980316.61993469</v>
      </c>
      <c r="E48" s="38">
        <f t="shared" si="12"/>
        <v>239606.54484566694</v>
      </c>
      <c r="F48" s="38">
        <f t="shared" si="12"/>
        <v>15736898.441136926</v>
      </c>
      <c r="G48" s="38">
        <f t="shared" si="12"/>
        <v>66556.53419632724</v>
      </c>
      <c r="H48" s="38">
        <f t="shared" si="12"/>
        <v>131352.40000000002</v>
      </c>
      <c r="I48" s="38">
        <f t="shared" si="12"/>
        <v>69222.71480000002</v>
      </c>
      <c r="J48" s="38">
        <f t="shared" si="12"/>
        <v>38406.499999999985</v>
      </c>
      <c r="K48" s="38">
        <f t="shared" si="12"/>
        <v>16560.882799999996</v>
      </c>
      <c r="L48" s="38">
        <f t="shared" si="12"/>
        <v>10179.700000000003</v>
      </c>
      <c r="M48" s="38">
        <f t="shared" si="12"/>
        <v>10134.909320000002</v>
      </c>
      <c r="N48" s="38">
        <v>37.81666666666667</v>
      </c>
      <c r="O48" s="38">
        <f>N48*$O$7</f>
        <v>75.30054666666668</v>
      </c>
      <c r="P48" s="38">
        <f t="shared" si="12"/>
        <v>2470.4</v>
      </c>
      <c r="Q48" s="38">
        <f t="shared" si="12"/>
        <v>1495.08608</v>
      </c>
      <c r="S48" s="40">
        <f t="shared" si="0"/>
        <v>403651.97258866084</v>
      </c>
    </row>
    <row r="49" spans="1:19" s="39" customFormat="1" ht="15">
      <c r="A49" s="36"/>
      <c r="B49" s="43"/>
      <c r="C49" s="43"/>
      <c r="D49" s="38"/>
      <c r="E49" s="38"/>
      <c r="F49" s="38"/>
      <c r="G49" s="38"/>
      <c r="H49" s="38"/>
      <c r="I49" s="38"/>
      <c r="J49" s="38"/>
      <c r="K49" s="44"/>
      <c r="L49" s="38"/>
      <c r="M49" s="44"/>
      <c r="N49" s="38"/>
      <c r="O49" s="44"/>
      <c r="P49" s="44"/>
      <c r="S49" s="40"/>
    </row>
    <row r="50" spans="1:19" s="39" customFormat="1" ht="15.75" thickBot="1">
      <c r="A50" s="36"/>
      <c r="B50" s="45"/>
      <c r="C50" s="45"/>
      <c r="D50" s="45">
        <f>D15+D18+D21+D24+D27+D30+D33+D36+D39+D42+D45+D48</f>
        <v>569901674.3779527</v>
      </c>
      <c r="E50" s="45">
        <f aca="true" t="shared" si="13" ref="E50:S50">E15+E18+E21+E24+E27+E30+E33+E36+E39+E42+E45+E48</f>
        <v>2794472.7769035585</v>
      </c>
      <c r="F50" s="45">
        <f t="shared" si="13"/>
        <v>172489827.71768773</v>
      </c>
      <c r="G50" s="45">
        <f t="shared" si="13"/>
        <v>713147.2173174956</v>
      </c>
      <c r="H50" s="45">
        <f t="shared" si="13"/>
        <v>1548600.7000000002</v>
      </c>
      <c r="I50" s="45">
        <f t="shared" si="13"/>
        <v>889303.7091208</v>
      </c>
      <c r="J50" s="45">
        <f t="shared" si="13"/>
        <v>460312.9</v>
      </c>
      <c r="K50" s="45">
        <f t="shared" si="13"/>
        <v>212029.98556620002</v>
      </c>
      <c r="L50" s="45">
        <f t="shared" si="13"/>
        <v>193427.90000000002</v>
      </c>
      <c r="M50" s="45">
        <f t="shared" si="13"/>
        <v>190036.5628247</v>
      </c>
      <c r="N50" s="45">
        <f t="shared" si="13"/>
        <v>413.80555555555554</v>
      </c>
      <c r="O50" s="45">
        <f t="shared" si="13"/>
        <v>646.2267847222223</v>
      </c>
      <c r="P50" s="45">
        <f t="shared" si="13"/>
        <v>29362.899999999998</v>
      </c>
      <c r="Q50" s="45">
        <f t="shared" si="13"/>
        <v>16980.916622999997</v>
      </c>
      <c r="S50" s="45">
        <f t="shared" si="13"/>
        <v>4816617.395140477</v>
      </c>
    </row>
    <row r="51" spans="1:20" s="39" customFormat="1" ht="15.75" thickTop="1">
      <c r="A51" s="36"/>
      <c r="B51" s="43"/>
      <c r="C51" s="43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S51" s="40"/>
      <c r="T51" s="40"/>
    </row>
    <row r="52" spans="10:17" s="39" customFormat="1" ht="12.75">
      <c r="J52" s="46" t="s">
        <v>16</v>
      </c>
      <c r="K52" s="46" t="s">
        <v>16</v>
      </c>
      <c r="L52" s="46" t="s">
        <v>16</v>
      </c>
      <c r="M52" s="46" t="s">
        <v>16</v>
      </c>
      <c r="N52" s="46" t="s">
        <v>16</v>
      </c>
      <c r="O52" s="46" t="s">
        <v>16</v>
      </c>
      <c r="P52" s="46" t="s">
        <v>16</v>
      </c>
      <c r="Q52" s="39" t="s">
        <v>16</v>
      </c>
    </row>
    <row r="53" s="39" customFormat="1" ht="12.75">
      <c r="J53" s="38"/>
    </row>
    <row r="54" s="39" customFormat="1" ht="12.75">
      <c r="J54" s="38"/>
    </row>
    <row r="55" s="39" customFormat="1" ht="12.75">
      <c r="J55" s="38"/>
    </row>
    <row r="56" s="39" customFormat="1" ht="12.75">
      <c r="J56" s="38"/>
    </row>
    <row r="57" s="39" customFormat="1" ht="12.75">
      <c r="J57" s="38"/>
    </row>
    <row r="58" s="39" customFormat="1" ht="12.75"/>
  </sheetData>
  <sheetProtection/>
  <mergeCells count="2">
    <mergeCell ref="F2:K2"/>
    <mergeCell ref="F3:J3"/>
  </mergeCells>
  <printOptions/>
  <pageMargins left="0" right="0" top="0.196850393700787" bottom="0.196850393700787" header="0.118110236220472" footer="0.118110236220472"/>
  <pageSetup fitToHeight="1" fitToWidth="1" horizontalDpi="600" verticalDpi="600" orientation="landscape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3" width="10.7109375" style="0" customWidth="1"/>
    <col min="4" max="4" width="16.57421875" style="0" bestFit="1" customWidth="1"/>
    <col min="5" max="5" width="14.57421875" style="0" customWidth="1"/>
    <col min="6" max="6" width="15.00390625" style="0" bestFit="1" customWidth="1"/>
    <col min="7" max="7" width="15.57421875" style="0" customWidth="1"/>
    <col min="8" max="8" width="15.7109375" style="0" customWidth="1"/>
    <col min="9" max="9" width="14.7109375" style="0" customWidth="1"/>
    <col min="10" max="10" width="15.57421875" style="0" customWidth="1"/>
    <col min="11" max="11" width="14.8515625" style="0" customWidth="1"/>
    <col min="12" max="12" width="13.421875" style="0" customWidth="1"/>
    <col min="13" max="13" width="12.28125" style="0" customWidth="1"/>
    <col min="14" max="14" width="12.7109375" style="0" customWidth="1"/>
    <col min="15" max="15" width="14.8515625" style="0" customWidth="1"/>
    <col min="16" max="16" width="13.7109375" style="0" customWidth="1"/>
    <col min="17" max="17" width="13.140625" style="0" bestFit="1" customWidth="1"/>
    <col min="18" max="18" width="6.7109375" style="0" hidden="1" customWidth="1"/>
    <col min="19" max="19" width="15.00390625" style="0" bestFit="1" customWidth="1"/>
  </cols>
  <sheetData>
    <row r="1" spans="1:3" ht="15">
      <c r="A1" s="2" t="s">
        <v>2</v>
      </c>
      <c r="B1" s="30"/>
      <c r="C1" s="30"/>
    </row>
    <row r="2" spans="1:11" ht="15">
      <c r="A2" s="2" t="s">
        <v>14</v>
      </c>
      <c r="F2" s="55"/>
      <c r="G2" s="55"/>
      <c r="H2" s="55"/>
      <c r="I2" s="55"/>
      <c r="J2" s="55"/>
      <c r="K2" s="55"/>
    </row>
    <row r="3" spans="1:13" ht="15">
      <c r="A3" s="1"/>
      <c r="B3" s="2" t="s">
        <v>46</v>
      </c>
      <c r="C3" s="2"/>
      <c r="F3" s="54"/>
      <c r="G3" s="54"/>
      <c r="H3" s="54"/>
      <c r="I3" s="54"/>
      <c r="J3" s="54"/>
      <c r="K3" s="3"/>
      <c r="M3" s="3"/>
    </row>
    <row r="4" spans="5:17" ht="12.75">
      <c r="E4" s="10" t="s">
        <v>27</v>
      </c>
      <c r="F4" s="3"/>
      <c r="G4" s="10" t="s">
        <v>27</v>
      </c>
      <c r="H4" s="3"/>
      <c r="I4" s="10" t="s">
        <v>27</v>
      </c>
      <c r="J4" s="3"/>
      <c r="K4" s="10" t="s">
        <v>27</v>
      </c>
      <c r="M4" s="10" t="s">
        <v>27</v>
      </c>
      <c r="O4" s="10" t="s">
        <v>27</v>
      </c>
      <c r="Q4" s="10" t="s">
        <v>27</v>
      </c>
    </row>
    <row r="5" spans="5:17" ht="12.75">
      <c r="E5" s="18" t="s">
        <v>1</v>
      </c>
      <c r="G5" s="18" t="s">
        <v>1</v>
      </c>
      <c r="H5" s="3"/>
      <c r="I5" s="25" t="s">
        <v>33</v>
      </c>
      <c r="J5" s="3"/>
      <c r="K5" s="25" t="s">
        <v>33</v>
      </c>
      <c r="L5" s="3"/>
      <c r="M5" s="25" t="s">
        <v>33</v>
      </c>
      <c r="O5" s="25" t="s">
        <v>33</v>
      </c>
      <c r="Q5" s="25" t="s">
        <v>33</v>
      </c>
    </row>
    <row r="6" spans="4:18" ht="12.75">
      <c r="D6" s="47"/>
      <c r="E6" s="17">
        <v>0.0051</v>
      </c>
      <c r="G6" s="17">
        <v>0.0043</v>
      </c>
      <c r="H6" s="3"/>
      <c r="I6" s="17">
        <v>0.527</v>
      </c>
      <c r="J6" s="3"/>
      <c r="K6" s="17">
        <v>0.4312</v>
      </c>
      <c r="L6" s="3"/>
      <c r="M6" s="17">
        <v>0.9956</v>
      </c>
      <c r="O6" s="17">
        <v>1.9912</v>
      </c>
      <c r="Q6" s="17">
        <v>0.6052</v>
      </c>
      <c r="R6" s="26">
        <v>0</v>
      </c>
    </row>
    <row r="7" spans="4:18" ht="12.75">
      <c r="D7" s="47"/>
      <c r="E7" s="17"/>
      <c r="G7" s="17"/>
      <c r="H7" s="3"/>
      <c r="I7" s="17"/>
      <c r="J7" s="3"/>
      <c r="K7" s="17"/>
      <c r="L7" s="3"/>
      <c r="M7" s="17"/>
      <c r="O7" s="17"/>
      <c r="Q7" s="17"/>
      <c r="R7" s="26"/>
    </row>
    <row r="8" spans="4:19" s="16" customFormat="1" ht="12.75">
      <c r="D8" s="16" t="s">
        <v>17</v>
      </c>
      <c r="E8" s="16" t="s">
        <v>17</v>
      </c>
      <c r="F8" s="16" t="s">
        <v>25</v>
      </c>
      <c r="G8" s="16" t="s">
        <v>25</v>
      </c>
      <c r="H8" s="16" t="s">
        <v>26</v>
      </c>
      <c r="I8" s="16" t="s">
        <v>26</v>
      </c>
      <c r="J8" s="16" t="s">
        <v>28</v>
      </c>
      <c r="K8" s="16" t="s">
        <v>28</v>
      </c>
      <c r="L8" s="16" t="s">
        <v>30</v>
      </c>
      <c r="M8" s="16" t="s">
        <v>30</v>
      </c>
      <c r="N8" s="16" t="s">
        <v>31</v>
      </c>
      <c r="O8" s="16" t="s">
        <v>31</v>
      </c>
      <c r="P8" s="16" t="s">
        <v>32</v>
      </c>
      <c r="Q8" s="16" t="s">
        <v>32</v>
      </c>
      <c r="S8" s="16" t="s">
        <v>39</v>
      </c>
    </row>
    <row r="9" spans="1:19" s="11" customFormat="1" ht="12.75">
      <c r="A9" s="16"/>
      <c r="E9" s="15" t="s">
        <v>24</v>
      </c>
      <c r="G9" s="15" t="s">
        <v>24</v>
      </c>
      <c r="I9" s="15" t="s">
        <v>24</v>
      </c>
      <c r="K9" s="15" t="s">
        <v>24</v>
      </c>
      <c r="M9" s="15" t="s">
        <v>24</v>
      </c>
      <c r="O9" s="15" t="s">
        <v>24</v>
      </c>
      <c r="Q9" s="15" t="s">
        <v>24</v>
      </c>
      <c r="S9" s="10" t="s">
        <v>27</v>
      </c>
    </row>
    <row r="10" spans="4:19" s="11" customFormat="1" ht="12.75">
      <c r="D10" s="15" t="s">
        <v>20</v>
      </c>
      <c r="E10" s="15" t="s">
        <v>20</v>
      </c>
      <c r="F10" s="15" t="s">
        <v>20</v>
      </c>
      <c r="G10" s="15" t="s">
        <v>20</v>
      </c>
      <c r="H10" s="15" t="s">
        <v>20</v>
      </c>
      <c r="I10" s="15" t="s">
        <v>20</v>
      </c>
      <c r="J10" s="15" t="s">
        <v>20</v>
      </c>
      <c r="K10" s="15" t="s">
        <v>20</v>
      </c>
      <c r="L10" s="15" t="s">
        <v>20</v>
      </c>
      <c r="M10" s="15" t="s">
        <v>20</v>
      </c>
      <c r="N10" s="15" t="s">
        <v>20</v>
      </c>
      <c r="O10" s="15" t="s">
        <v>20</v>
      </c>
      <c r="P10" s="15" t="s">
        <v>20</v>
      </c>
      <c r="Q10" s="15" t="s">
        <v>20</v>
      </c>
      <c r="S10" s="16" t="s">
        <v>38</v>
      </c>
    </row>
    <row r="11" spans="1:19" s="13" customFormat="1" ht="15">
      <c r="A11" s="12"/>
      <c r="B11" s="1" t="str">
        <f>B3</f>
        <v>2006 PIL's</v>
      </c>
      <c r="C11" s="1"/>
      <c r="D11" s="14" t="s">
        <v>18</v>
      </c>
      <c r="E11" s="14" t="s">
        <v>23</v>
      </c>
      <c r="F11" s="14" t="s">
        <v>18</v>
      </c>
      <c r="G11" s="14" t="s">
        <v>23</v>
      </c>
      <c r="H11" s="14" t="s">
        <v>29</v>
      </c>
      <c r="I11" s="14" t="s">
        <v>23</v>
      </c>
      <c r="J11" s="14" t="s">
        <v>29</v>
      </c>
      <c r="K11" s="14" t="s">
        <v>23</v>
      </c>
      <c r="L11" s="14" t="s">
        <v>29</v>
      </c>
      <c r="M11" s="14" t="s">
        <v>23</v>
      </c>
      <c r="N11" s="14" t="s">
        <v>29</v>
      </c>
      <c r="O11" s="14" t="s">
        <v>23</v>
      </c>
      <c r="P11" s="14" t="s">
        <v>29</v>
      </c>
      <c r="Q11" s="14" t="s">
        <v>23</v>
      </c>
      <c r="S11" s="31"/>
    </row>
    <row r="12" spans="1:16" ht="15">
      <c r="A12" s="12"/>
      <c r="B12" s="13"/>
      <c r="C12" s="13"/>
      <c r="E12" s="10"/>
      <c r="G12" s="9"/>
      <c r="H12" s="9"/>
      <c r="I12" s="7"/>
      <c r="J12" s="9"/>
      <c r="K12" s="5"/>
      <c r="L12" s="5"/>
      <c r="M12" s="5"/>
      <c r="N12" s="5"/>
      <c r="O12" s="5"/>
      <c r="P12" s="5"/>
    </row>
    <row r="13" spans="1:19" s="39" customFormat="1" ht="15">
      <c r="A13" s="36"/>
      <c r="B13" s="37" t="s">
        <v>41</v>
      </c>
      <c r="C13" s="37"/>
      <c r="D13" s="38">
        <v>44395529.545419626</v>
      </c>
      <c r="E13" s="38">
        <f>D13*$E$6</f>
        <v>226417.2006816401</v>
      </c>
      <c r="F13" s="38">
        <v>15157194.653351262</v>
      </c>
      <c r="G13" s="38">
        <f>F13*$G$6</f>
        <v>65175.93700941043</v>
      </c>
      <c r="H13" s="38">
        <v>113288.40000000002</v>
      </c>
      <c r="I13" s="38">
        <f>H13*$I$6</f>
        <v>59702.98680000001</v>
      </c>
      <c r="J13" s="38">
        <v>36031.3</v>
      </c>
      <c r="K13" s="38">
        <f>J13*$K$6</f>
        <v>15536.696560000002</v>
      </c>
      <c r="L13" s="38">
        <v>10086.899999999998</v>
      </c>
      <c r="M13" s="38">
        <f>L13*$M$6</f>
        <v>10042.517639999998</v>
      </c>
      <c r="N13" s="38">
        <v>24.7</v>
      </c>
      <c r="O13" s="38">
        <f>N13*$O$6</f>
        <v>49.18264</v>
      </c>
      <c r="P13" s="38">
        <v>2481.3</v>
      </c>
      <c r="Q13" s="38">
        <f>P13*$Q$6</f>
        <v>1501.68276</v>
      </c>
      <c r="S13" s="40">
        <f>E13+G13+I13+K13+M13+O13+Q13</f>
        <v>378426.20409105055</v>
      </c>
    </row>
    <row r="14" spans="1:19" s="39" customFormat="1" ht="15">
      <c r="A14" s="36"/>
      <c r="B14" s="41" t="s">
        <v>4</v>
      </c>
      <c r="C14" s="37"/>
      <c r="D14" s="38">
        <v>43151023.27501442</v>
      </c>
      <c r="E14" s="38">
        <f>D14*$E$6</f>
        <v>220070.21870257356</v>
      </c>
      <c r="F14" s="38">
        <v>13433491.038985979</v>
      </c>
      <c r="G14" s="38">
        <f>F14*$G$6</f>
        <v>57764.011467639706</v>
      </c>
      <c r="H14" s="38">
        <v>113494.29999999999</v>
      </c>
      <c r="I14" s="38">
        <f>H14*$I$6</f>
        <v>59811.4961</v>
      </c>
      <c r="J14" s="38">
        <v>36796.09999999999</v>
      </c>
      <c r="K14" s="38">
        <f>J14*$K$6</f>
        <v>15866.478319999997</v>
      </c>
      <c r="L14" s="38">
        <v>10099.699999999999</v>
      </c>
      <c r="M14" s="38">
        <f>L14*$M$6</f>
        <v>10055.26132</v>
      </c>
      <c r="N14" s="38">
        <v>39.458333333333336</v>
      </c>
      <c r="O14" s="38">
        <f>N14*$O$6</f>
        <v>78.56943333333334</v>
      </c>
      <c r="P14" s="38">
        <v>2480.9</v>
      </c>
      <c r="Q14" s="38">
        <f>P14*$Q$6</f>
        <v>1501.44068</v>
      </c>
      <c r="S14" s="40">
        <f>E14+G14+I14+K14+M14+O14+Q14</f>
        <v>365147.4760235466</v>
      </c>
    </row>
    <row r="15" spans="1:19" s="39" customFormat="1" ht="15">
      <c r="A15" s="36"/>
      <c r="B15" s="41" t="s">
        <v>5</v>
      </c>
      <c r="C15" s="37"/>
      <c r="D15" s="38">
        <v>44143087.43787208</v>
      </c>
      <c r="E15" s="38">
        <f>D15*$E$6</f>
        <v>225129.74593314764</v>
      </c>
      <c r="F15" s="38">
        <v>16278540.342423655</v>
      </c>
      <c r="G15" s="38">
        <f>F15*$G$6</f>
        <v>69997.72347242171</v>
      </c>
      <c r="H15" s="38">
        <v>138981.3</v>
      </c>
      <c r="I15" s="38">
        <f>H15*$I$6</f>
        <v>73243.1451</v>
      </c>
      <c r="J15" s="38">
        <v>42509.599999999984</v>
      </c>
      <c r="K15" s="38">
        <f>J15*$K$6</f>
        <v>18330.139519999993</v>
      </c>
      <c r="L15" s="38">
        <v>9958.399999999998</v>
      </c>
      <c r="M15" s="38">
        <f>L15*$M$6</f>
        <v>9914.583039999998</v>
      </c>
      <c r="N15" s="38">
        <v>32.69444444444444</v>
      </c>
      <c r="O15" s="38">
        <f>N15*$O$6</f>
        <v>65.10117777777778</v>
      </c>
      <c r="P15" s="38">
        <v>2481.6</v>
      </c>
      <c r="Q15" s="38">
        <f>P15*$Q$6</f>
        <v>1501.86432</v>
      </c>
      <c r="S15" s="40">
        <f>E15+G15+I15+K15+M15+O15+Q15</f>
        <v>398182.3025633471</v>
      </c>
    </row>
    <row r="16" spans="1:19" s="39" customFormat="1" ht="15">
      <c r="A16" s="36"/>
      <c r="B16" s="41" t="s">
        <v>6</v>
      </c>
      <c r="C16" s="37"/>
      <c r="D16" s="38">
        <v>37598713.577299796</v>
      </c>
      <c r="E16" s="38">
        <f>D16*$E$6</f>
        <v>191753.43924422897</v>
      </c>
      <c r="F16" s="38">
        <v>12766712.617246013</v>
      </c>
      <c r="G16" s="38">
        <f>F16*$G$6</f>
        <v>54896.86425415786</v>
      </c>
      <c r="H16" s="38">
        <v>118349.14999999998</v>
      </c>
      <c r="I16" s="38">
        <f>H16*$I$6</f>
        <v>62370.002049999996</v>
      </c>
      <c r="J16" s="38">
        <v>32654.200000000004</v>
      </c>
      <c r="K16" s="38">
        <f>J16*$K$6</f>
        <v>14080.491040000003</v>
      </c>
      <c r="L16" s="38">
        <v>10152.1</v>
      </c>
      <c r="M16" s="38">
        <f>L16*$M$6</f>
        <v>10107.430760000001</v>
      </c>
      <c r="N16" s="38">
        <v>30.84722222222222</v>
      </c>
      <c r="O16" s="38">
        <f>N16*$O$6</f>
        <v>61.42298888888889</v>
      </c>
      <c r="P16" s="38">
        <v>2488</v>
      </c>
      <c r="Q16" s="38">
        <f>P16*$Q$6</f>
        <v>1505.7376</v>
      </c>
      <c r="S16" s="40">
        <f>E16+G16+I16+K16+M16+O16+Q16</f>
        <v>334775.3879372757</v>
      </c>
    </row>
    <row r="17" spans="1:19" s="39" customFormat="1" ht="15">
      <c r="A17" s="36"/>
      <c r="B17" s="41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42"/>
      <c r="S17" s="40"/>
    </row>
    <row r="18" spans="1:19" s="39" customFormat="1" ht="15">
      <c r="A18" s="36"/>
      <c r="B18" s="41"/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S18" s="40"/>
    </row>
    <row r="19" spans="1:19" s="39" customFormat="1" ht="15">
      <c r="A19" s="36"/>
      <c r="B19" s="41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S19" s="40"/>
    </row>
    <row r="20" spans="1:19" s="39" customFormat="1" ht="15">
      <c r="A20" s="36"/>
      <c r="B20" s="41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S20" s="40"/>
    </row>
    <row r="21" spans="1:19" s="39" customFormat="1" ht="15">
      <c r="A21" s="36"/>
      <c r="B21" s="41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S21" s="40"/>
    </row>
    <row r="22" spans="1:19" s="39" customFormat="1" ht="15">
      <c r="A22" s="36"/>
      <c r="B22" s="41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S22" s="40"/>
    </row>
    <row r="23" spans="1:19" s="39" customFormat="1" ht="15">
      <c r="A23" s="36"/>
      <c r="B23" s="41"/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S23" s="40"/>
    </row>
    <row r="24" spans="1:19" s="39" customFormat="1" ht="15">
      <c r="A24" s="36"/>
      <c r="B24" s="41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S24" s="40"/>
    </row>
    <row r="25" spans="1:19" s="39" customFormat="1" ht="15">
      <c r="A25" s="36"/>
      <c r="B25" s="43"/>
      <c r="C25" s="43"/>
      <c r="D25" s="38"/>
      <c r="E25" s="38"/>
      <c r="F25" s="38"/>
      <c r="G25" s="38"/>
      <c r="H25" s="38"/>
      <c r="I25" s="38"/>
      <c r="J25" s="38"/>
      <c r="K25" s="44"/>
      <c r="L25" s="38"/>
      <c r="M25" s="44"/>
      <c r="N25" s="38"/>
      <c r="O25" s="44"/>
      <c r="P25" s="44"/>
      <c r="S25" s="40"/>
    </row>
    <row r="26" spans="1:19" s="39" customFormat="1" ht="15.75" thickBot="1">
      <c r="A26" s="36"/>
      <c r="B26" s="45"/>
      <c r="C26" s="45"/>
      <c r="D26" s="45">
        <f>SUM(D13:D24)</f>
        <v>169288353.83560592</v>
      </c>
      <c r="E26" s="45">
        <f aca="true" t="shared" si="0" ref="E26:Q26">SUM(E13:E24)</f>
        <v>863370.6045615902</v>
      </c>
      <c r="F26" s="45">
        <f t="shared" si="0"/>
        <v>57635938.65200691</v>
      </c>
      <c r="G26" s="45">
        <f t="shared" si="0"/>
        <v>247834.53620362974</v>
      </c>
      <c r="H26" s="45">
        <f t="shared" si="0"/>
        <v>484113.14999999997</v>
      </c>
      <c r="I26" s="45">
        <f t="shared" si="0"/>
        <v>255127.63004999998</v>
      </c>
      <c r="J26" s="45">
        <f t="shared" si="0"/>
        <v>147991.19999999998</v>
      </c>
      <c r="K26" s="45">
        <f t="shared" si="0"/>
        <v>63813.80543999999</v>
      </c>
      <c r="L26" s="45">
        <f t="shared" si="0"/>
        <v>40297.1</v>
      </c>
      <c r="M26" s="45">
        <f t="shared" si="0"/>
        <v>40119.79276</v>
      </c>
      <c r="N26" s="45">
        <f t="shared" si="0"/>
        <v>127.69999999999999</v>
      </c>
      <c r="O26" s="45">
        <f t="shared" si="0"/>
        <v>254.27623999999997</v>
      </c>
      <c r="P26" s="45">
        <f t="shared" si="0"/>
        <v>9931.800000000001</v>
      </c>
      <c r="Q26" s="45">
        <f t="shared" si="0"/>
        <v>6010.72536</v>
      </c>
      <c r="S26" s="45">
        <f>SUM(S13:S24)</f>
        <v>1476531.37061522</v>
      </c>
    </row>
    <row r="27" spans="1:20" s="39" customFormat="1" ht="15.75" thickTop="1">
      <c r="A27" s="36"/>
      <c r="B27" s="43"/>
      <c r="C27" s="43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S27" s="40"/>
      <c r="T27" s="40"/>
    </row>
    <row r="28" spans="10:17" s="39" customFormat="1" ht="12.75">
      <c r="J28" s="46" t="s">
        <v>16</v>
      </c>
      <c r="K28" s="46" t="s">
        <v>16</v>
      </c>
      <c r="L28" s="46" t="s">
        <v>16</v>
      </c>
      <c r="M28" s="46" t="s">
        <v>16</v>
      </c>
      <c r="N28" s="46" t="s">
        <v>16</v>
      </c>
      <c r="O28" s="46" t="s">
        <v>16</v>
      </c>
      <c r="P28" s="46" t="s">
        <v>16</v>
      </c>
      <c r="Q28" s="39" t="s">
        <v>16</v>
      </c>
    </row>
    <row r="29" s="39" customFormat="1" ht="12.75">
      <c r="J29" s="38"/>
    </row>
    <row r="30" spans="1:10" s="39" customFormat="1" ht="12.75">
      <c r="A30" s="48"/>
      <c r="J30" s="38"/>
    </row>
    <row r="31" s="39" customFormat="1" ht="12.75">
      <c r="J31" s="38"/>
    </row>
    <row r="32" s="39" customFormat="1" ht="12.75">
      <c r="J32" s="38"/>
    </row>
    <row r="33" s="39" customFormat="1" ht="12.75">
      <c r="J33" s="38"/>
    </row>
    <row r="34" s="39" customFormat="1" ht="12.75"/>
  </sheetData>
  <sheetProtection/>
  <mergeCells count="2">
    <mergeCell ref="F2:K2"/>
    <mergeCell ref="F3:J3"/>
  </mergeCells>
  <printOptions/>
  <pageMargins left="0" right="0" top="0.1968503937007874" bottom="0.1968503937007874" header="0.11811023622047245" footer="0.11811023622047245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Oakville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Sicoe</dc:creator>
  <cp:keywords/>
  <dc:description/>
  <cp:lastModifiedBy>Maryanne Wilson</cp:lastModifiedBy>
  <cp:lastPrinted>2011-10-14T18:30:18Z</cp:lastPrinted>
  <dcterms:created xsi:type="dcterms:W3CDTF">2004-09-29T19:32:36Z</dcterms:created>
  <dcterms:modified xsi:type="dcterms:W3CDTF">2011-12-01T16:40:05Z</dcterms:modified>
  <cp:category/>
  <cp:version/>
  <cp:contentType/>
  <cp:contentStatus/>
</cp:coreProperties>
</file>