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95" windowHeight="8190" firstSheet="1" activeTab="1"/>
  </bookViews>
  <sheets>
    <sheet name="Ex 3 Distribution Revenue" sheetId="1" r:id="rId1"/>
    <sheet name="LUI Ex 3 Sum of Other Dist Rev" sheetId="2" r:id="rId2"/>
    <sheet name="Tables for Exhibit 3" sheetId="3" r:id="rId3"/>
    <sheet name="2008 VS BUDGET" sheetId="4" r:id="rId4"/>
    <sheet name="2009 vs2008" sheetId="5" r:id="rId5"/>
    <sheet name="2010 vs 2009" sheetId="6" r:id="rId6"/>
    <sheet name="2010 vs2011" sheetId="7" r:id="rId7"/>
    <sheet name="2011 vs 2012" sheetId="8" r:id="rId8"/>
    <sheet name="analysis" sheetId="9" r:id="rId9"/>
    <sheet name="ananlysis 2" sheetId="10" r:id="rId10"/>
    <sheet name="Sheet3" sheetId="11" r:id="rId11"/>
    <sheet name="4235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DaysInPreviousYear">'[1]Distribution Revenue by Source'!$B$22</definedName>
    <definedName name="DaysInYear">'[1]Distribution Revenue by Source'!$B$21</definedName>
    <definedName name="factor">#REF!</definedName>
    <definedName name="MofF">#REF!</definedName>
    <definedName name="opp">'LUI Ex 3 Sum of Other Dist Rev'!$O$2</definedName>
    <definedName name="ops">'LUI Ex 3 Sum of Other Dist Rev'!$O$1</definedName>
    <definedName name="_xlnm.Print_Area" localSheetId="2">'Tables for Exhibit 3'!$A$1:$N$32</definedName>
    <definedName name="Ratebase">'[1]Distribution Revenue by Source'!$C$25</definedName>
    <definedName name="Surtax">#REF!</definedName>
    <definedName name="TestYrPL">'[2]Revenue Requirement'!$B$10</definedName>
  </definedNames>
  <calcPr fullCalcOnLoad="1"/>
</workbook>
</file>

<file path=xl/comments1.xml><?xml version="1.0" encoding="utf-8"?>
<comments xmlns="http://schemas.openxmlformats.org/spreadsheetml/2006/main">
  <authors>
    <author>Jenn Carruthers</author>
  </authors>
  <commentList>
    <comment ref="K4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took these from 2011 rate at exsiting from rate design exh 8</t>
        </r>
      </text>
    </comment>
    <comment ref="M4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from total rates by rate class column in exh 9 rates by rate class tab</t>
        </r>
      </text>
    </comment>
    <comment ref="M5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from total rates by rate class column in exh 9 rates by rate class tab</t>
        </r>
      </text>
    </comment>
    <comment ref="M6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from total rates by rate class column in exh 9 rates by rate class tab</t>
        </r>
      </text>
    </comment>
    <comment ref="M7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from total rates by rate class column in exh 9 rates by rate class tab</t>
        </r>
      </text>
    </comment>
    <comment ref="M8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from total rates by rate class column in exh 9 rates by rate class tab</t>
        </r>
      </text>
    </comment>
    <comment ref="M9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from total rates by rate class column in exh 9 rates by rate class tab</t>
        </r>
      </text>
    </comment>
    <comment ref="M10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from total rates by rate class column in exh 9 rates by rate class tab</t>
        </r>
      </text>
    </comment>
  </commentList>
</comments>
</file>

<file path=xl/comments10.xml><?xml version="1.0" encoding="utf-8"?>
<comments xmlns="http://schemas.openxmlformats.org/spreadsheetml/2006/main">
  <authors>
    <author>Jenn Carruthers</author>
  </authors>
  <commentList>
    <comment ref="C5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agreed to board approved
</t>
        </r>
      </text>
    </comment>
  </commentList>
</comments>
</file>

<file path=xl/comments2.xml><?xml version="1.0" encoding="utf-8"?>
<comments xmlns="http://schemas.openxmlformats.org/spreadsheetml/2006/main">
  <authors>
    <author>Jenn Carruthers</author>
  </authors>
  <commentList>
    <comment ref="C5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agreed to board approved
</t>
        </r>
      </text>
    </comment>
  </commentList>
</comments>
</file>

<file path=xl/comments3.xml><?xml version="1.0" encoding="utf-8"?>
<comments xmlns="http://schemas.openxmlformats.org/spreadsheetml/2006/main">
  <authors>
    <author>Jenn Carruthers</author>
  </authors>
  <commentList>
    <comment ref="K53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took these from 2011 rate at exsiting from rate design exh 8</t>
        </r>
      </text>
    </comment>
    <comment ref="M53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from total rates by rate class column in exh 9 rates by rate class tab</t>
        </r>
      </text>
    </comment>
    <comment ref="A34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jc has no idea..did no tuse this</t>
        </r>
      </text>
    </comment>
    <comment ref="I26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variace from actual in financial statements, which relates solely to SPC of 106153.  variance 59 from there.. Ncm pass</t>
        </r>
      </text>
    </comment>
    <comment ref="P5" authorId="0">
      <text>
        <r>
          <rPr>
            <b/>
            <sz val="9"/>
            <rFont val="Tahoma"/>
            <family val="0"/>
          </rPr>
          <t>Jenn Carruthers:</t>
        </r>
        <r>
          <rPr>
            <sz val="9"/>
            <rFont val="Tahoma"/>
            <family val="0"/>
          </rPr>
          <t xml:space="preserve">
took these from 2011 rate at exsiting from rate design exh 8</t>
        </r>
      </text>
    </comment>
    <comment ref="Q5" authorId="0">
      <text>
        <r>
          <rPr>
            <b/>
            <sz val="9"/>
            <rFont val="Tahoma"/>
            <family val="0"/>
          </rPr>
          <t>Jenn Carruthers:</t>
        </r>
        <r>
          <rPr>
            <sz val="9"/>
            <rFont val="Tahoma"/>
            <family val="0"/>
          </rPr>
          <t xml:space="preserve">
from total rates by rate class column in exh 9 rates by rate class tab</t>
        </r>
      </text>
    </comment>
  </commentList>
</comments>
</file>

<file path=xl/comments4.xml><?xml version="1.0" encoding="utf-8"?>
<comments xmlns="http://schemas.openxmlformats.org/spreadsheetml/2006/main">
  <authors>
    <author>Jenn Carruthers</author>
  </authors>
  <commentList>
    <comment ref="C5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agreed to board approved
</t>
        </r>
      </text>
    </comment>
  </commentList>
</comments>
</file>

<file path=xl/comments6.xml><?xml version="1.0" encoding="utf-8"?>
<comments xmlns="http://schemas.openxmlformats.org/spreadsheetml/2006/main">
  <authors>
    <author>Jenn Carruthers</author>
  </authors>
  <commentList>
    <comment ref="C5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agreed to board approved
</t>
        </r>
      </text>
    </comment>
  </commentList>
</comments>
</file>

<file path=xl/comments7.xml><?xml version="1.0" encoding="utf-8"?>
<comments xmlns="http://schemas.openxmlformats.org/spreadsheetml/2006/main">
  <authors>
    <author>Jenn Carruthers</author>
  </authors>
  <commentList>
    <comment ref="C5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agreed to board approved
</t>
        </r>
      </text>
    </comment>
  </commentList>
</comments>
</file>

<file path=xl/comments8.xml><?xml version="1.0" encoding="utf-8"?>
<comments xmlns="http://schemas.openxmlformats.org/spreadsheetml/2006/main">
  <authors>
    <author>Jenn Carruthers</author>
  </authors>
  <commentList>
    <comment ref="C5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agreed to board approved
</t>
        </r>
      </text>
    </comment>
  </commentList>
</comments>
</file>

<file path=xl/sharedStrings.xml><?xml version="1.0" encoding="utf-8"?>
<sst xmlns="http://schemas.openxmlformats.org/spreadsheetml/2006/main" count="747" uniqueCount="112">
  <si>
    <t>SUMMARY OF OTHER DISTRIBUTION REVENUE</t>
  </si>
  <si>
    <t>Expense Description</t>
  </si>
  <si>
    <t>2008 Actual</t>
  </si>
  <si>
    <t>Variance from 2008 Actual</t>
  </si>
  <si>
    <t>Other Distribution Revenue</t>
  </si>
  <si>
    <t>4082-Retail Services Revenues</t>
  </si>
  <si>
    <t>4084-Service Transaction Requests (STR) Revenues</t>
  </si>
  <si>
    <t>4210-Rent from Electric Property</t>
  </si>
  <si>
    <t>4220-Other Electric Revenues</t>
  </si>
  <si>
    <t>4225-Late Payment Charges</t>
  </si>
  <si>
    <t>4235-Miscellaneous Service Revenues</t>
  </si>
  <si>
    <t>4350-Losses from Disposition of Future Use Utility Plant</t>
  </si>
  <si>
    <t>4355-Gain on Disposition of Utility and Other Property</t>
  </si>
  <si>
    <t>4360-Loss on Disposition of Utility and Other Property</t>
  </si>
  <si>
    <t xml:space="preserve"> 4375- Revenues from Non-Utility Operations</t>
  </si>
  <si>
    <t xml:space="preserve"> 4380-Expenses from Non-Utility Operations</t>
  </si>
  <si>
    <t xml:space="preserve"> 4385-Non-Utility Rental Income</t>
  </si>
  <si>
    <t>4390-Miscellaneous Non-Operating Income</t>
  </si>
  <si>
    <t>4405-Interest and Dividend Income</t>
  </si>
  <si>
    <t>Sub-Total</t>
  </si>
  <si>
    <t>4080-Distribution Services Revenue- SSS Admin Fee</t>
  </si>
  <si>
    <t>Total</t>
  </si>
  <si>
    <t>Specific Service Charges</t>
  </si>
  <si>
    <t>Late Payment Charges</t>
  </si>
  <si>
    <t>Other Distribution Revenues</t>
  </si>
  <si>
    <t>Other Income and Expenses</t>
  </si>
  <si>
    <t>Summary of Operating Revenue Table</t>
  </si>
  <si>
    <t>($'s)</t>
  </si>
  <si>
    <t>Distribution Revenue</t>
  </si>
  <si>
    <t>Residential</t>
  </si>
  <si>
    <t>GS &lt; 50 kW</t>
  </si>
  <si>
    <t>Streetlight</t>
  </si>
  <si>
    <t>Sentinel Light</t>
  </si>
  <si>
    <t>Unmetered Scattered Load</t>
  </si>
  <si>
    <t>Grand Total:</t>
  </si>
  <si>
    <t>% of Total Revenues</t>
  </si>
  <si>
    <t>Verify with TB</t>
  </si>
  <si>
    <t>Less Non Utility Revenues/Expenses-4375/4380</t>
  </si>
  <si>
    <t>2009 Actual</t>
  </si>
  <si>
    <t>Variance from 2009 Actual</t>
  </si>
  <si>
    <t>4290-</t>
  </si>
  <si>
    <t>2012 Test</t>
  </si>
  <si>
    <t>Variance from 2011 Bridge</t>
  </si>
  <si>
    <t>2011 Bridge</t>
  </si>
  <si>
    <t>2010 Actual</t>
  </si>
  <si>
    <t>2008 Board Approved</t>
  </si>
  <si>
    <t>Variance from 2008 Board Approved</t>
  </si>
  <si>
    <t>Variance from 2010 Actual</t>
  </si>
  <si>
    <t>4325 - Revenue from Jobbing</t>
  </si>
  <si>
    <t>4215 - Other Utility Operating Income</t>
  </si>
  <si>
    <t>4205 - Interdepartmental Rents</t>
  </si>
  <si>
    <t>GS &gt; 50 - 2999 kW</t>
  </si>
  <si>
    <t>GS &gt; 3000 - 4999 kW</t>
  </si>
  <si>
    <t>Description</t>
  </si>
  <si>
    <t>Account(s)</t>
  </si>
  <si>
    <t>Specific Service Charges:</t>
  </si>
  <si>
    <t>Late Payment Charges:</t>
  </si>
  <si>
    <t>Other Distribution Revenues:</t>
  </si>
  <si>
    <t>4080, 4082, 4084, 4090, 4205, 4210, 4215, 4220, 4240, 4245</t>
  </si>
  <si>
    <t>Other Income and Expenses:</t>
  </si>
  <si>
    <t>4305, 4310, 4315, 4320, 4325, 4330, 4335, 4340, 4345, 4350, 4355, 4360, 4365, 4370, 4375, 4380, 4385, 4390, 4395, 4398, 4405, 4415</t>
  </si>
  <si>
    <t>ok</t>
  </si>
  <si>
    <t>removing OPA</t>
  </si>
  <si>
    <t>difference over prior</t>
  </si>
  <si>
    <t>2008 VARIANCE ANALYSIS</t>
  </si>
  <si>
    <t xml:space="preserve">MISC 4235&gt;20k VARIANCE FROM BOARD APPROVED. </t>
  </si>
  <si>
    <t>analysis</t>
  </si>
  <si>
    <t>2008 board approved</t>
  </si>
  <si>
    <t>remaining</t>
  </si>
  <si>
    <t>Customer Administration</t>
  </si>
  <si>
    <t>Non-Payment of Account</t>
  </si>
  <si>
    <t xml:space="preserve">Arrears certificate </t>
  </si>
  <si>
    <t xml:space="preserve">Statement of Account </t>
  </si>
  <si>
    <t xml:space="preserve">Pulling post dated cheques </t>
  </si>
  <si>
    <t xml:space="preserve">Request for other billing information </t>
  </si>
  <si>
    <t xml:space="preserve">Easement letter </t>
  </si>
  <si>
    <t xml:space="preserve">Income tax letter </t>
  </si>
  <si>
    <t xml:space="preserve">Credit reference/credit check (plus credit agency costs) </t>
  </si>
  <si>
    <t xml:space="preserve">Returned cheque charge (plus bank charges) </t>
  </si>
  <si>
    <t xml:space="preserve">Legal letter charge </t>
  </si>
  <si>
    <t xml:space="preserve">Account set up charge/change of occupancy charge (plus credit agency costs if applicable) </t>
  </si>
  <si>
    <t xml:space="preserve">Special meter reads </t>
  </si>
  <si>
    <t xml:space="preserve">Meter dispute charge plus Measurement Canada fees (if meter found correct) </t>
  </si>
  <si>
    <t xml:space="preserve">Collection of account charge - no disconnection </t>
  </si>
  <si>
    <t xml:space="preserve">Collection of account charge - no disconnection – after regular hours </t>
  </si>
  <si>
    <t xml:space="preserve">Disconnect/Reconnect at meter - during regular hours </t>
  </si>
  <si>
    <t>Disconnect/Reconnect at meter - after regular hours</t>
  </si>
  <si>
    <t>Disconnect/Reconnect at pole - during regular hours</t>
  </si>
  <si>
    <t xml:space="preserve">Disconnect/Reconnect at pole - after regular hours </t>
  </si>
  <si>
    <t>Install/Remove load control device - during regular hours</t>
  </si>
  <si>
    <t xml:space="preserve">Install/Remove load control device - after regular hours </t>
  </si>
  <si>
    <t xml:space="preserve">Service call - customer-owned equipment </t>
  </si>
  <si>
    <t>Service call - after regular hours</t>
  </si>
  <si>
    <t xml:space="preserve">Temporary service install &amp; remove - overhead - no transformer </t>
  </si>
  <si>
    <t xml:space="preserve">Temporary service install &amp; remove - underground - no transformer </t>
  </si>
  <si>
    <t xml:space="preserve">Temporary service install &amp; remove - overhead - with transformer </t>
  </si>
  <si>
    <t>Specific Charge for Access to the Power Poles $/pole/year</t>
  </si>
  <si>
    <t xml:space="preserve">Interval Meter Load Management Tool Charge $/month </t>
  </si>
  <si>
    <t>sewer billing  of $30K included in actual</t>
  </si>
  <si>
    <t>just an increase late payment charges</t>
  </si>
  <si>
    <t>%</t>
  </si>
  <si>
    <t xml:space="preserve">Note - above distribution revenue includes SSS admin for each class.  </t>
  </si>
  <si>
    <t>Variance to analyze</t>
  </si>
  <si>
    <t xml:space="preserve">Compared to actual per IS in RRM </t>
  </si>
  <si>
    <t>no idea what all this is below:</t>
  </si>
  <si>
    <t>4375-4380</t>
  </si>
  <si>
    <t>Table comparative 2009 vs 20008 actuals</t>
  </si>
  <si>
    <t>exhibit 3'</t>
  </si>
  <si>
    <t>Exhibit 3 , comparaison year to year</t>
  </si>
  <si>
    <t>e</t>
  </si>
  <si>
    <t>input cell from GL TB CBKAW - only account 4081</t>
  </si>
  <si>
    <t>in cell d26 and f 26 ,  enter the vfollowing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</si>
</sst>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;[Red]\(#,##0\)"/>
    <numFmt numFmtId="166" formatCode="0.0%"/>
    <numFmt numFmtId="167" formatCode="_-* #,##0_-;\-* #,##0_-;_-* &quot;-&quot;??_-;_-@_-"/>
    <numFmt numFmtId="168" formatCode="_(* #,##0_);_(* \(#,##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10"/>
      <name val="Calibri"/>
      <family val="2"/>
    </font>
    <font>
      <u val="singleAccounting"/>
      <sz val="10"/>
      <name val="Calibri"/>
      <family val="2"/>
    </font>
    <font>
      <b/>
      <sz val="10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/>
    </xf>
    <xf numFmtId="165" fontId="3" fillId="0" borderId="10" xfId="44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center"/>
    </xf>
    <xf numFmtId="165" fontId="5" fillId="0" borderId="13" xfId="44" applyNumberFormat="1" applyFont="1" applyFill="1" applyBorder="1" applyAlignment="1">
      <alignment horizontal="center"/>
    </xf>
    <xf numFmtId="165" fontId="5" fillId="0" borderId="10" xfId="44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1" fontId="3" fillId="0" borderId="0" xfId="44" applyNumberFormat="1" applyFont="1" applyFill="1" applyAlignment="1">
      <alignment horizontal="center" vertical="center"/>
    </xf>
    <xf numFmtId="41" fontId="9" fillId="0" borderId="0" xfId="44" applyNumberFormat="1" applyFont="1" applyFill="1" applyAlignment="1">
      <alignment horizontal="center" vertical="center"/>
    </xf>
    <xf numFmtId="41" fontId="3" fillId="0" borderId="14" xfId="44" applyNumberFormat="1" applyFont="1" applyFill="1" applyBorder="1" applyAlignment="1">
      <alignment horizontal="center" vertical="center"/>
    </xf>
    <xf numFmtId="166" fontId="3" fillId="0" borderId="0" xfId="64" applyNumberFormat="1" applyFont="1" applyFill="1" applyAlignment="1">
      <alignment horizontal="center" vertical="center"/>
    </xf>
    <xf numFmtId="167" fontId="3" fillId="0" borderId="0" xfId="44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1" fontId="3" fillId="0" borderId="0" xfId="44" applyNumberFormat="1" applyFont="1" applyFill="1" applyAlignment="1">
      <alignment vertical="center"/>
    </xf>
    <xf numFmtId="165" fontId="3" fillId="4" borderId="10" xfId="44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165" fontId="4" fillId="4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1" fontId="3" fillId="0" borderId="0" xfId="44" applyNumberFormat="1" applyFont="1" applyFill="1" applyAlignment="1">
      <alignment horizontal="center" vertical="center"/>
    </xf>
    <xf numFmtId="41" fontId="3" fillId="0" borderId="15" xfId="44" applyNumberFormat="1" applyFont="1" applyFill="1" applyBorder="1" applyAlignment="1">
      <alignment horizontal="center" vertical="center"/>
    </xf>
    <xf numFmtId="41" fontId="3" fillId="0" borderId="12" xfId="44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3" fontId="0" fillId="0" borderId="0" xfId="42" applyFont="1" applyAlignment="1">
      <alignment/>
    </xf>
    <xf numFmtId="43" fontId="0" fillId="4" borderId="0" xfId="42" applyFont="1" applyFill="1" applyAlignment="1">
      <alignment/>
    </xf>
    <xf numFmtId="0" fontId="0" fillId="0" borderId="16" xfId="0" applyBorder="1" applyAlignment="1">
      <alignment/>
    </xf>
    <xf numFmtId="0" fontId="0" fillId="4" borderId="16" xfId="0" applyFill="1" applyBorder="1" applyAlignment="1">
      <alignment/>
    </xf>
    <xf numFmtId="44" fontId="0" fillId="0" borderId="0" xfId="47" applyFont="1" applyAlignment="1">
      <alignment/>
    </xf>
    <xf numFmtId="0" fontId="14" fillId="0" borderId="0" xfId="0" applyFont="1" applyAlignment="1">
      <alignment wrapText="1"/>
    </xf>
    <xf numFmtId="0" fontId="53" fillId="0" borderId="0" xfId="0" applyFont="1" applyAlignment="1">
      <alignment wrapText="1"/>
    </xf>
    <xf numFmtId="44" fontId="53" fillId="0" borderId="0" xfId="47" applyFont="1" applyAlignment="1">
      <alignment/>
    </xf>
    <xf numFmtId="41" fontId="3" fillId="0" borderId="0" xfId="44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1" fontId="3" fillId="0" borderId="0" xfId="44" applyNumberFormat="1" applyFont="1" applyFill="1" applyAlignment="1">
      <alignment horizontal="center" vertical="center"/>
    </xf>
    <xf numFmtId="41" fontId="3" fillId="0" borderId="16" xfId="44" applyNumberFormat="1" applyFont="1" applyFill="1" applyBorder="1" applyAlignment="1">
      <alignment horizontal="center" vertical="center"/>
    </xf>
    <xf numFmtId="41" fontId="3" fillId="4" borderId="0" xfId="44" applyNumberFormat="1" applyFont="1" applyFill="1" applyAlignment="1">
      <alignment vertical="center"/>
    </xf>
    <xf numFmtId="41" fontId="3" fillId="4" borderId="0" xfId="44" applyNumberFormat="1" applyFont="1" applyFill="1" applyAlignment="1">
      <alignment horizontal="center" vertical="center"/>
    </xf>
    <xf numFmtId="41" fontId="9" fillId="4" borderId="0" xfId="44" applyNumberFormat="1" applyFont="1" applyFill="1" applyAlignment="1">
      <alignment horizontal="center" vertical="center"/>
    </xf>
    <xf numFmtId="41" fontId="3" fillId="4" borderId="12" xfId="44" applyNumberFormat="1" applyFont="1" applyFill="1" applyBorder="1" applyAlignment="1">
      <alignment horizontal="center" vertical="center"/>
    </xf>
    <xf numFmtId="41" fontId="3" fillId="4" borderId="15" xfId="44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1" fontId="3" fillId="0" borderId="0" xfId="44" applyNumberFormat="1" applyFont="1" applyFill="1" applyAlignment="1">
      <alignment horizontal="center" vertical="center"/>
    </xf>
    <xf numFmtId="10" fontId="3" fillId="33" borderId="0" xfId="64" applyNumberFormat="1" applyFont="1" applyFill="1" applyAlignment="1">
      <alignment vertical="center"/>
    </xf>
    <xf numFmtId="41" fontId="54" fillId="0" borderId="0" xfId="44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0" fontId="3" fillId="0" borderId="0" xfId="64" applyNumberFormat="1" applyFont="1" applyFill="1" applyAlignment="1">
      <alignment horizontal="center" vertical="center" wrapText="1"/>
    </xf>
    <xf numFmtId="10" fontId="3" fillId="0" borderId="0" xfId="64" applyNumberFormat="1" applyFont="1" applyFill="1" applyAlignment="1">
      <alignment horizontal="center" vertical="center"/>
    </xf>
    <xf numFmtId="10" fontId="3" fillId="0" borderId="12" xfId="64" applyNumberFormat="1" applyFont="1" applyFill="1" applyBorder="1" applyAlignment="1">
      <alignment horizontal="center" vertical="center"/>
    </xf>
    <xf numFmtId="10" fontId="3" fillId="0" borderId="15" xfId="64" applyNumberFormat="1" applyFont="1" applyFill="1" applyBorder="1" applyAlignment="1">
      <alignment horizontal="center" vertical="center"/>
    </xf>
    <xf numFmtId="10" fontId="3" fillId="0" borderId="0" xfId="64" applyNumberFormat="1" applyFont="1" applyFill="1" applyBorder="1" applyAlignment="1">
      <alignment horizontal="center" vertical="center"/>
    </xf>
    <xf numFmtId="41" fontId="3" fillId="0" borderId="0" xfId="64" applyNumberFormat="1" applyFont="1" applyFill="1" applyAlignment="1">
      <alignment horizontal="center" vertical="center"/>
    </xf>
    <xf numFmtId="43" fontId="3" fillId="0" borderId="0" xfId="42" applyFont="1" applyFill="1" applyAlignment="1">
      <alignment horizontal="center" vertical="center"/>
    </xf>
    <xf numFmtId="43" fontId="3" fillId="0" borderId="0" xfId="42" applyFont="1" applyFill="1" applyAlignment="1">
      <alignment vertical="center"/>
    </xf>
    <xf numFmtId="10" fontId="3" fillId="0" borderId="0" xfId="64" applyNumberFormat="1" applyFont="1" applyFill="1" applyAlignment="1">
      <alignment vertical="center"/>
    </xf>
    <xf numFmtId="41" fontId="3" fillId="0" borderId="16" xfId="44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1" fontId="3" fillId="0" borderId="0" xfId="44" applyNumberFormat="1" applyFont="1" applyFill="1" applyAlignment="1">
      <alignment horizontal="center" vertical="center"/>
    </xf>
    <xf numFmtId="168" fontId="3" fillId="0" borderId="0" xfId="42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1" fontId="3" fillId="33" borderId="0" xfId="44" applyNumberFormat="1" applyFont="1" applyFill="1" applyAlignment="1">
      <alignment horizontal="center" vertical="center"/>
    </xf>
    <xf numFmtId="10" fontId="3" fillId="33" borderId="0" xfId="64" applyNumberFormat="1" applyFont="1" applyFill="1" applyAlignment="1">
      <alignment horizontal="center" vertical="center"/>
    </xf>
    <xf numFmtId="166" fontId="3" fillId="33" borderId="0" xfId="64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3" fontId="3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43" fontId="3" fillId="0" borderId="0" xfId="42" applyFont="1" applyFill="1" applyAlignment="1">
      <alignment horizontal="left" vertical="center"/>
    </xf>
    <xf numFmtId="41" fontId="3" fillId="0" borderId="0" xfId="44" applyNumberFormat="1" applyFont="1" applyFill="1" applyBorder="1" applyAlignment="1">
      <alignment horizontal="center" vertical="center"/>
    </xf>
    <xf numFmtId="41" fontId="3" fillId="0" borderId="0" xfId="44" applyNumberFormat="1" applyFont="1" applyFill="1" applyBorder="1" applyAlignment="1">
      <alignment vertical="center"/>
    </xf>
    <xf numFmtId="41" fontId="3" fillId="0" borderId="12" xfId="64" applyNumberFormat="1" applyFont="1" applyFill="1" applyBorder="1" applyAlignment="1">
      <alignment horizontal="center" vertical="center"/>
    </xf>
    <xf numFmtId="41" fontId="3" fillId="0" borderId="12" xfId="44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1" fontId="3" fillId="0" borderId="0" xfId="44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41" fontId="3" fillId="0" borderId="0" xfId="44" applyNumberFormat="1" applyFont="1" applyFill="1" applyAlignment="1">
      <alignment horizontal="center" vertical="center"/>
    </xf>
    <xf numFmtId="166" fontId="3" fillId="0" borderId="0" xfId="64" applyNumberFormat="1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1" fontId="3" fillId="0" borderId="0" xfId="44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STYLE3" xfId="66"/>
    <cellStyle name="Title" xfId="67"/>
    <cellStyle name="Total" xfId="68"/>
    <cellStyle name="Warning Text" xfId="69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aw\Local%20Settings\Temporary%20Internet%20Files\OLKBC\Exhibit%203%20Distribution%20Revenue%20Throughputs%20-%20Blan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UI%20Revenue%20Requirement%20Model%20-%202012%20for%202008%20Rebaser%20March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proctor\Revenue%20Requirement%20Model\Exhibit%208%20Rate%20Design%20Model%20-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proctor\Revenue%20Requirement%20Model\Revenue%20Requirement%20Model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proctor\Weather%20Regression\FINAL%20DSP%20May%2024%20WNRModel%20regres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8"/>
      <sheetName val="FA Continuity 2009"/>
      <sheetName val="FA Continuity 2010"/>
      <sheetName val="FA Continuity 2011"/>
      <sheetName val="FA Continuity 2012"/>
      <sheetName val="2008 Balance Sheet"/>
      <sheetName val="2008 Income Statement"/>
      <sheetName val="2009 Balance Sheet"/>
      <sheetName val="2009 Income Statement"/>
      <sheetName val="Trial Balance"/>
      <sheetName val="2010 Balance Sheet"/>
      <sheetName val="2010 Income Statement"/>
      <sheetName val="2011 Balance Sheet"/>
      <sheetName val="2011 Income Statement"/>
      <sheetName val="2012 Balance Shee"/>
      <sheetName val="2012 Income Statement"/>
      <sheetName val="Return on Capital"/>
      <sheetName val="Debt &amp; Capital Structure"/>
      <sheetName val="Tax rates"/>
      <sheetName val="CCA Continuity 2011"/>
      <sheetName val="CCA Continuity 2012"/>
      <sheetName val="Reserves Continuity"/>
      <sheetName val="Corporation Loss Continuity"/>
      <sheetName val="Tax Adjustments 2011"/>
      <sheetName val="Tax Adjustments 2012"/>
      <sheetName val="2012 Rev Deficiency"/>
      <sheetName val="Capital Tax &amp; Expense Schedules"/>
      <sheetName val="Revenue Requirement"/>
    </sheetNames>
    <sheetDataSet>
      <sheetData sheetId="28">
        <row r="10">
          <cell r="B10" t="str">
            <v>Service Revenue Requirement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2011 Existing Rates"/>
      <sheetName val="2011 Bridge Yr On Existing Ra"/>
      <sheetName val="Forecast Data For 2012"/>
      <sheetName val="Rates By Rate Class"/>
      <sheetName val="2012 Test Yr On Existing Rates"/>
      <sheetName val="Allocation Low Voltage Costs"/>
      <sheetName val="Low Voltage Rates"/>
      <sheetName val="LRAM and SSM Rate Rider"/>
      <sheetName val="2012 Rate Rider"/>
      <sheetName val="Cost Allocation Study"/>
      <sheetName val="Distribution Rate Schedule"/>
      <sheetName val="Other Electriciy Rates"/>
      <sheetName val="BILL IMPACTS"/>
      <sheetName val="Rate Schedule (Part 1)"/>
      <sheetName val="Rate Schedule (Part 2)"/>
      <sheetName val="Dist. Rev. Reconciliation"/>
      <sheetName val="Revenue Deficiency Analysis"/>
    </sheetNames>
    <sheetDataSet>
      <sheetData sheetId="3">
        <row r="9">
          <cell r="J9">
            <v>1913287.7129565743</v>
          </cell>
        </row>
        <row r="10">
          <cell r="J10">
            <v>571656.119179198</v>
          </cell>
        </row>
        <row r="11">
          <cell r="J11">
            <v>1194993.3344248603</v>
          </cell>
        </row>
        <row r="12">
          <cell r="J12">
            <v>41451.177908</v>
          </cell>
        </row>
        <row r="13">
          <cell r="J13">
            <v>5517.963098875085</v>
          </cell>
        </row>
        <row r="14">
          <cell r="J14">
            <v>208549.0277440037</v>
          </cell>
        </row>
        <row r="15">
          <cell r="J15">
            <v>31330.6739</v>
          </cell>
        </row>
      </sheetData>
      <sheetData sheetId="5">
        <row r="8">
          <cell r="B8">
            <v>2556790.201550744</v>
          </cell>
          <cell r="K8">
            <v>2653930.601417059</v>
          </cell>
        </row>
        <row r="9">
          <cell r="B9">
            <v>725309.1363613592</v>
          </cell>
        </row>
        <row r="10">
          <cell r="B10">
            <v>1181344.5724455896</v>
          </cell>
        </row>
        <row r="11">
          <cell r="B11">
            <v>61414.11740461746</v>
          </cell>
        </row>
        <row r="12">
          <cell r="B12">
            <v>5072.334916081537</v>
          </cell>
        </row>
        <row r="13">
          <cell r="B13">
            <v>178720.08051496604</v>
          </cell>
        </row>
        <row r="14">
          <cell r="B14">
            <v>44091.077799481274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8"/>
      <sheetName val="FA Continuity 2009"/>
      <sheetName val="FA Continuity 2010"/>
      <sheetName val="2008 Balance Sheet"/>
      <sheetName val="2008 Income Statement"/>
      <sheetName val="2009 Income Statement"/>
      <sheetName val="2009 Balance Sheet"/>
      <sheetName val="2010 Balance Sheet"/>
      <sheetName val="2010 Income Statement"/>
      <sheetName val="2011 Balance Sheet"/>
      <sheetName val="2011 Income Statement"/>
      <sheetName val="2012 Balance Shee"/>
      <sheetName val="2012 Income Statement"/>
      <sheetName val="CCA Continuity 2011"/>
      <sheetName val="FA Continuity 2011"/>
      <sheetName val="FA Continuity 2012"/>
      <sheetName val="CCA Continuity 2012"/>
      <sheetName val="Reserves Continuity"/>
      <sheetName val="Corporation Loss Continuity"/>
      <sheetName val="Tax Adjustments 2011"/>
      <sheetName val="Tax Adjustments 2012"/>
      <sheetName val="Tax rates"/>
      <sheetName val="Capital Tax &amp; Expense Schedules"/>
      <sheetName val="Return on Capital"/>
      <sheetName val="Debt &amp; Capital Structure"/>
      <sheetName val="Trial Balance"/>
      <sheetName val="2012 Rev Deficiency"/>
      <sheetName val="Revenue Requirement"/>
      <sheetName val="Sheet1"/>
    </sheetNames>
    <sheetDataSet>
      <sheetData sheetId="5">
        <row r="31">
          <cell r="B31">
            <v>-3765489.42</v>
          </cell>
        </row>
        <row r="43">
          <cell r="B43">
            <v>-316939</v>
          </cell>
        </row>
        <row r="66">
          <cell r="B66">
            <v>-626554.27</v>
          </cell>
        </row>
        <row r="71">
          <cell r="B71">
            <v>-195113</v>
          </cell>
        </row>
      </sheetData>
      <sheetData sheetId="6">
        <row r="31">
          <cell r="B31">
            <v>-4055737.45</v>
          </cell>
        </row>
        <row r="43">
          <cell r="B43">
            <v>-322201</v>
          </cell>
        </row>
        <row r="66">
          <cell r="B66">
            <v>-46382.19</v>
          </cell>
        </row>
        <row r="71">
          <cell r="B71">
            <v>-61929</v>
          </cell>
        </row>
      </sheetData>
      <sheetData sheetId="9">
        <row r="31">
          <cell r="B31">
            <v>-4059894.65</v>
          </cell>
        </row>
        <row r="43">
          <cell r="B43">
            <v>-298935.60000000003</v>
          </cell>
        </row>
        <row r="67">
          <cell r="B67">
            <v>-118144.28</v>
          </cell>
        </row>
        <row r="72">
          <cell r="B72">
            <v>-48939.61</v>
          </cell>
        </row>
      </sheetData>
      <sheetData sheetId="11">
        <row r="31">
          <cell r="B31">
            <v>-4019092.1067655385</v>
          </cell>
        </row>
        <row r="43">
          <cell r="B43">
            <v>-298240.01</v>
          </cell>
        </row>
        <row r="66">
          <cell r="B66">
            <v>0</v>
          </cell>
        </row>
        <row r="71">
          <cell r="B71">
            <v>-28500</v>
          </cell>
        </row>
      </sheetData>
      <sheetData sheetId="13">
        <row r="31">
          <cell r="B31">
            <v>-4805063.498127639</v>
          </cell>
        </row>
        <row r="43">
          <cell r="B43">
            <v>-297640.01</v>
          </cell>
        </row>
        <row r="66">
          <cell r="B66">
            <v>0</v>
          </cell>
        </row>
        <row r="71">
          <cell r="B71">
            <v>-28500</v>
          </cell>
        </row>
      </sheetData>
      <sheetData sheetId="26">
        <row r="225">
          <cell r="D225">
            <v>-13320</v>
          </cell>
          <cell r="F225">
            <v>-10013</v>
          </cell>
          <cell r="H225">
            <v>-10178</v>
          </cell>
          <cell r="J225">
            <v>-10015</v>
          </cell>
          <cell r="L225">
            <v>-9985</v>
          </cell>
        </row>
        <row r="226">
          <cell r="D226">
            <v>-1380</v>
          </cell>
          <cell r="F226">
            <v>-4560</v>
          </cell>
          <cell r="H226">
            <v>-4774</v>
          </cell>
          <cell r="J226">
            <v>-4560</v>
          </cell>
          <cell r="L226">
            <v>-4015</v>
          </cell>
        </row>
        <row r="229">
          <cell r="D229">
            <v>-51600</v>
          </cell>
          <cell r="F229">
            <v>-51600</v>
          </cell>
          <cell r="H229">
            <v>-51600</v>
          </cell>
          <cell r="J229">
            <v>-51600</v>
          </cell>
          <cell r="L229">
            <v>-51600</v>
          </cell>
        </row>
        <row r="230">
          <cell r="D230">
            <v>-59777</v>
          </cell>
          <cell r="F230">
            <v>-65115</v>
          </cell>
          <cell r="H230">
            <v>-56697.01</v>
          </cell>
          <cell r="J230">
            <v>-56500</v>
          </cell>
          <cell r="L230">
            <v>-56400</v>
          </cell>
        </row>
        <row r="233">
          <cell r="D233">
            <v>-72437</v>
          </cell>
          <cell r="F233">
            <v>-61033</v>
          </cell>
          <cell r="H233">
            <v>-63140.01</v>
          </cell>
          <cell r="J233">
            <v>-63140.01</v>
          </cell>
          <cell r="L233">
            <v>-63140.01</v>
          </cell>
        </row>
        <row r="235">
          <cell r="D235">
            <v>-133125</v>
          </cell>
          <cell r="F235">
            <v>-144453</v>
          </cell>
          <cell r="H235">
            <v>-127498.58</v>
          </cell>
          <cell r="J235">
            <v>-127000</v>
          </cell>
          <cell r="L235">
            <v>-126500</v>
          </cell>
        </row>
        <row r="250">
          <cell r="F250">
            <v>-10178</v>
          </cell>
        </row>
        <row r="254">
          <cell r="D254">
            <v>-626554.27</v>
          </cell>
          <cell r="F254">
            <v>-36204.19</v>
          </cell>
          <cell r="H254">
            <v>-11991.28</v>
          </cell>
        </row>
        <row r="261">
          <cell r="D261">
            <v>-195113</v>
          </cell>
          <cell r="F261">
            <v>-61929</v>
          </cell>
          <cell r="H261">
            <v>-48939.61</v>
          </cell>
          <cell r="J261">
            <v>-28500</v>
          </cell>
          <cell r="L261">
            <v>-28500</v>
          </cell>
        </row>
      </sheetData>
      <sheetData sheetId="28">
        <row r="15">
          <cell r="F15">
            <v>-38322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 DNU"/>
      <sheetName val="original data to IESO"/>
      <sheetName val="Summary for Rate App"/>
      <sheetName val="Summary"/>
      <sheetName val="Summary for Submission"/>
      <sheetName val="Purchased Power Model"/>
      <sheetName val="Rate Class Energy Model"/>
      <sheetName val="Rate Class Customer Model"/>
      <sheetName val="Rate Class Load Model"/>
      <sheetName val="Tables Used for Exhibits"/>
      <sheetName val="Exhibit 3 Energy by Rate Class"/>
      <sheetName val="2011 COP"/>
      <sheetName val="2012 COP"/>
      <sheetName val="APPENDIX A"/>
      <sheetName val="Weather data"/>
    </sheetNames>
    <sheetDataSet>
      <sheetData sheetId="7">
        <row r="13">
          <cell r="I13">
            <v>12577.032518009051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PageLayoutView="0" workbookViewId="0" topLeftCell="A1">
      <selection activeCell="M27" sqref="M27"/>
    </sheetView>
  </sheetViews>
  <sheetFormatPr defaultColWidth="16.00390625" defaultRowHeight="12.75"/>
  <cols>
    <col min="1" max="1" width="41.57421875" style="47" customWidth="1"/>
    <col min="2" max="2" width="12.57421875" style="13" customWidth="1"/>
    <col min="3" max="3" width="12.421875" style="13" customWidth="1"/>
    <col min="4" max="4" width="12.421875" style="48" hidden="1" customWidth="1"/>
    <col min="5" max="5" width="12.00390625" style="13" customWidth="1"/>
    <col min="6" max="6" width="17.7109375" style="13" customWidth="1"/>
    <col min="7" max="7" width="13.421875" style="64" hidden="1" customWidth="1"/>
    <col min="8" max="8" width="10.7109375" style="13" customWidth="1"/>
    <col min="9" max="9" width="10.28125" style="13" customWidth="1"/>
    <col min="10" max="10" width="11.140625" style="13" customWidth="1"/>
    <col min="11" max="11" width="10.421875" style="13" customWidth="1"/>
    <col min="12" max="12" width="11.421875" style="13" customWidth="1"/>
    <col min="13" max="14" width="11.28125" style="13" customWidth="1"/>
    <col min="15" max="16384" width="16.00390625" style="13" customWidth="1"/>
  </cols>
  <sheetData>
    <row r="1" spans="1:14" s="12" customFormat="1" ht="51">
      <c r="A1" s="96" t="s">
        <v>26</v>
      </c>
      <c r="B1" s="12" t="s">
        <v>45</v>
      </c>
      <c r="C1" s="12" t="s">
        <v>2</v>
      </c>
      <c r="D1" s="47" t="s">
        <v>100</v>
      </c>
      <c r="E1" s="12" t="s">
        <v>46</v>
      </c>
      <c r="F1" s="12" t="s">
        <v>38</v>
      </c>
      <c r="G1" s="63" t="s">
        <v>100</v>
      </c>
      <c r="H1" s="12" t="s">
        <v>3</v>
      </c>
      <c r="I1" s="12" t="s">
        <v>44</v>
      </c>
      <c r="J1" s="12" t="s">
        <v>39</v>
      </c>
      <c r="K1" s="12" t="s">
        <v>43</v>
      </c>
      <c r="L1" s="12" t="s">
        <v>47</v>
      </c>
      <c r="M1" s="12" t="s">
        <v>41</v>
      </c>
      <c r="N1" s="12" t="s">
        <v>42</v>
      </c>
    </row>
    <row r="2" spans="1:14" ht="12.75">
      <c r="A2" s="96"/>
      <c r="B2" s="13" t="s">
        <v>27</v>
      </c>
      <c r="C2" s="13" t="s">
        <v>27</v>
      </c>
      <c r="E2" s="13" t="s">
        <v>27</v>
      </c>
      <c r="F2" s="13" t="s">
        <v>27</v>
      </c>
      <c r="H2" s="13" t="s">
        <v>27</v>
      </c>
      <c r="I2" s="13" t="s">
        <v>27</v>
      </c>
      <c r="J2" s="13" t="s">
        <v>27</v>
      </c>
      <c r="K2" s="13" t="s">
        <v>27</v>
      </c>
      <c r="L2" s="13" t="s">
        <v>27</v>
      </c>
      <c r="M2" s="13" t="s">
        <v>27</v>
      </c>
      <c r="N2" s="13" t="s">
        <v>27</v>
      </c>
    </row>
    <row r="3" spans="1:14" ht="12.75">
      <c r="A3" s="60" t="s">
        <v>28</v>
      </c>
      <c r="B3" s="48"/>
      <c r="C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7" ht="12.75">
      <c r="A4" s="47" t="s">
        <v>29</v>
      </c>
      <c r="B4" s="51">
        <v>1917386</v>
      </c>
      <c r="C4" s="23">
        <f>1661524.62+(D4*D11)</f>
        <v>1840951.6413865902</v>
      </c>
      <c r="D4" s="58">
        <f aca="true" t="shared" si="0" ref="D4:D10">+C4/$C$12</f>
        <v>0.4951459312159604</v>
      </c>
      <c r="E4" s="49">
        <f aca="true" t="shared" si="1" ref="E4:E10">C4-B4</f>
        <v>-76434.3586134098</v>
      </c>
      <c r="F4" s="70">
        <f>1827112.99+0.492*$G$11</f>
        <v>1970658.3195999998</v>
      </c>
      <c r="G4" s="71">
        <f aca="true" t="shared" si="2" ref="G4:G9">+F4/$F$13</f>
        <v>0.530607528340324</v>
      </c>
      <c r="H4" s="49">
        <f aca="true" t="shared" si="3" ref="H4:H10">F4-C4</f>
        <v>129706.67821340961</v>
      </c>
      <c r="I4" s="23">
        <f>1773015.84+136318</f>
        <v>1909333.84</v>
      </c>
      <c r="J4" s="46">
        <f aca="true" t="shared" si="4" ref="J4:J10">I4-F4</f>
        <v>-61324.47959999973</v>
      </c>
      <c r="K4" s="23">
        <f>+'[3]2011 Bridge Yr On Existing Ra'!$J9</f>
        <v>1913287.7129565743</v>
      </c>
      <c r="L4" s="23">
        <f aca="true" t="shared" si="5" ref="L4:L11">+K4-I4</f>
        <v>3953.872956574196</v>
      </c>
      <c r="M4" s="23">
        <f>+'[3]Rates By Rate Class'!$B8</f>
        <v>2556790.201550744</v>
      </c>
      <c r="N4" s="23">
        <f aca="true" t="shared" si="6" ref="N4:N11">+M4-K4</f>
        <v>643502.4885941697</v>
      </c>
      <c r="O4" s="23"/>
      <c r="P4" s="23"/>
      <c r="Q4" s="23"/>
    </row>
    <row r="5" spans="1:14" ht="12.75">
      <c r="A5" s="47" t="s">
        <v>30</v>
      </c>
      <c r="B5" s="52">
        <v>656516</v>
      </c>
      <c r="C5" s="49">
        <f>558731.59+(D5*$D$11)</f>
        <v>619068.6706195417</v>
      </c>
      <c r="D5" s="58">
        <f t="shared" si="0"/>
        <v>0.16650591276241464</v>
      </c>
      <c r="E5" s="49">
        <f t="shared" si="1"/>
        <v>-37447.32938045834</v>
      </c>
      <c r="F5" s="49">
        <f>574603.36+0.1547*$G$11</f>
        <v>619738.44636</v>
      </c>
      <c r="G5" s="71">
        <f t="shared" si="2"/>
        <v>0.1668670220352044</v>
      </c>
      <c r="H5" s="49">
        <f t="shared" si="3"/>
        <v>669.7757404582808</v>
      </c>
      <c r="I5" s="28">
        <f>555529.51+43565</f>
        <v>599094.51</v>
      </c>
      <c r="J5" s="46">
        <f t="shared" si="4"/>
        <v>-20643.936359999934</v>
      </c>
      <c r="K5" s="23">
        <f>+'[3]2011 Bridge Yr On Existing Ra'!$J10</f>
        <v>571656.119179198</v>
      </c>
      <c r="L5" s="23">
        <f t="shared" si="5"/>
        <v>-27438.390820801957</v>
      </c>
      <c r="M5" s="23">
        <f>+'[3]Rates By Rate Class'!$B9</f>
        <v>725309.1363613592</v>
      </c>
      <c r="N5" s="23">
        <f t="shared" si="6"/>
        <v>153653.0171821611</v>
      </c>
    </row>
    <row r="6" spans="1:14" ht="15" customHeight="1">
      <c r="A6" s="47" t="s">
        <v>51</v>
      </c>
      <c r="B6" s="52">
        <v>1208240</v>
      </c>
      <c r="C6" s="49">
        <f>1050067.22+(D6*D11)</f>
        <v>1163463.332987057</v>
      </c>
      <c r="D6" s="58">
        <f t="shared" si="0"/>
        <v>0.3129273591421442</v>
      </c>
      <c r="E6" s="49">
        <f t="shared" si="1"/>
        <v>-44776.667012942955</v>
      </c>
      <c r="F6" s="49">
        <f>1143811.74+(0.308*G11)+88</f>
        <v>1233761.4504</v>
      </c>
      <c r="G6" s="71">
        <f t="shared" si="2"/>
        <v>0.3321951386738597</v>
      </c>
      <c r="H6" s="49">
        <f t="shared" si="3"/>
        <v>70298.11741294293</v>
      </c>
      <c r="I6" s="28">
        <f>87899+1192044.93</f>
        <v>1279943.93</v>
      </c>
      <c r="J6" s="46">
        <f t="shared" si="4"/>
        <v>46182.47959999996</v>
      </c>
      <c r="K6" s="23">
        <f>+'[3]2011 Bridge Yr On Existing Ra'!$J11</f>
        <v>1194993.3344248603</v>
      </c>
      <c r="L6" s="23">
        <f t="shared" si="5"/>
        <v>-84950.59557513962</v>
      </c>
      <c r="M6" s="23">
        <f>+'[3]Rates By Rate Class'!$B10</f>
        <v>1181344.5724455896</v>
      </c>
      <c r="N6" s="23">
        <f t="shared" si="6"/>
        <v>-13648.761979270726</v>
      </c>
    </row>
    <row r="7" spans="1:14" s="27" customFormat="1" ht="15" customHeight="1">
      <c r="A7" s="47" t="s">
        <v>52</v>
      </c>
      <c r="B7" s="52">
        <v>97123</v>
      </c>
      <c r="C7" s="49">
        <f>21152.94+(D7*D11)</f>
        <v>23437.23297530918</v>
      </c>
      <c r="D7" s="58">
        <f t="shared" si="0"/>
        <v>0.006303723729507744</v>
      </c>
      <c r="E7" s="49">
        <f t="shared" si="1"/>
        <v>-73685.76702469082</v>
      </c>
      <c r="F7" s="49">
        <f>57782.55+(0.0156*G11)</f>
        <v>62333.98728</v>
      </c>
      <c r="G7" s="71">
        <f t="shared" si="2"/>
        <v>0.016783672031461784</v>
      </c>
      <c r="H7" s="49">
        <f t="shared" si="3"/>
        <v>38896.754304690825</v>
      </c>
      <c r="I7" s="28">
        <f>11986+34664.2</f>
        <v>46650.2</v>
      </c>
      <c r="J7" s="46">
        <f t="shared" si="4"/>
        <v>-15683.787280000004</v>
      </c>
      <c r="K7" s="23">
        <f>+'[3]2011 Bridge Yr On Existing Ra'!$J12</f>
        <v>41451.177908</v>
      </c>
      <c r="L7" s="23">
        <f t="shared" si="5"/>
        <v>-5199.022091999999</v>
      </c>
      <c r="M7" s="23">
        <f>+'[3]Rates By Rate Class'!$B11</f>
        <v>61414.11740461746</v>
      </c>
      <c r="N7" s="23">
        <f t="shared" si="6"/>
        <v>19962.93949661746</v>
      </c>
    </row>
    <row r="8" spans="1:14" ht="12.75">
      <c r="A8" s="47" t="s">
        <v>31</v>
      </c>
      <c r="B8" s="52">
        <v>73925</v>
      </c>
      <c r="C8" s="49">
        <f>33064.37+(D8*D11)</f>
        <v>36634.970971970026</v>
      </c>
      <c r="D8" s="58">
        <f t="shared" si="0"/>
        <v>0.009853412989883391</v>
      </c>
      <c r="E8" s="49">
        <f t="shared" si="1"/>
        <v>-37290.029028029974</v>
      </c>
      <c r="F8" s="49">
        <f>75385.61+(0.0203*G11)</f>
        <v>81308.31364</v>
      </c>
      <c r="G8" s="71">
        <f t="shared" si="2"/>
        <v>0.021892584272446218</v>
      </c>
      <c r="H8" s="49">
        <f t="shared" si="3"/>
        <v>44673.34266802997</v>
      </c>
      <c r="I8" s="28">
        <f>13792+124725.42</f>
        <v>138517.41999999998</v>
      </c>
      <c r="J8" s="46">
        <f t="shared" si="4"/>
        <v>57209.10635999999</v>
      </c>
      <c r="K8" s="49">
        <f>+'[3]2011 Bridge Yr On Existing Ra'!$J$14</f>
        <v>208549.0277440037</v>
      </c>
      <c r="L8" s="23">
        <f t="shared" si="5"/>
        <v>70031.6077440037</v>
      </c>
      <c r="M8" s="23">
        <f>+'[3]Rates By Rate Class'!$B12</f>
        <v>5072.334916081537</v>
      </c>
      <c r="N8" s="23">
        <f t="shared" si="6"/>
        <v>-203476.69282792215</v>
      </c>
    </row>
    <row r="9" spans="1:14" ht="12.75">
      <c r="A9" s="47" t="s">
        <v>32</v>
      </c>
      <c r="B9" s="52">
        <v>3327</v>
      </c>
      <c r="C9" s="49">
        <f>2289.66+(D9*D11)</f>
        <v>2536.918974584451</v>
      </c>
      <c r="D9" s="58">
        <f t="shared" si="0"/>
        <v>0.0006823346577121053</v>
      </c>
      <c r="E9" s="49">
        <f t="shared" si="1"/>
        <v>-790.081025415549</v>
      </c>
      <c r="F9" s="49">
        <f>3652.02+(0.001*G11)</f>
        <v>3943.7788</v>
      </c>
      <c r="G9" s="71">
        <f t="shared" si="2"/>
        <v>0.0010618780031911978</v>
      </c>
      <c r="H9" s="49">
        <f t="shared" si="3"/>
        <v>1406.859825415549</v>
      </c>
      <c r="I9" s="28">
        <f>296+4193.32</f>
        <v>4489.32</v>
      </c>
      <c r="J9" s="46">
        <f t="shared" si="4"/>
        <v>545.5411999999997</v>
      </c>
      <c r="K9" s="49">
        <f>+'[3]2011 Bridge Yr On Existing Ra'!$J$13</f>
        <v>5517.963098875085</v>
      </c>
      <c r="L9" s="23">
        <f t="shared" si="5"/>
        <v>1028.6430988750853</v>
      </c>
      <c r="M9" s="23">
        <f>+'[3]Rates By Rate Class'!$B13</f>
        <v>178720.08051496604</v>
      </c>
      <c r="N9" s="23">
        <f t="shared" si="6"/>
        <v>173202.11741609097</v>
      </c>
    </row>
    <row r="10" spans="1:14" ht="12.75" customHeight="1">
      <c r="A10" s="47" t="s">
        <v>33</v>
      </c>
      <c r="B10" s="53">
        <v>28729</v>
      </c>
      <c r="C10" s="15">
        <f>28795.58+(D10*D11)</f>
        <v>31905.196966433676</v>
      </c>
      <c r="D10" s="58">
        <f t="shared" si="0"/>
        <v>0.008581283781400533</v>
      </c>
      <c r="E10" s="15">
        <f t="shared" si="1"/>
        <v>3176.1969664336757</v>
      </c>
      <c r="F10" s="15">
        <f>31617.95+(0.0081*G11)</f>
        <v>33981.19628</v>
      </c>
      <c r="G10" s="71">
        <f>+F10/$F$11</f>
        <v>0.008483156508056111</v>
      </c>
      <c r="H10" s="49">
        <f t="shared" si="3"/>
        <v>2075.999313566321</v>
      </c>
      <c r="I10" s="15">
        <f>2042+30788.12</f>
        <v>32830.119999999995</v>
      </c>
      <c r="J10" s="50">
        <f t="shared" si="4"/>
        <v>-1151.0762800000011</v>
      </c>
      <c r="K10" s="15">
        <f>+'[3]2011 Bridge Yr On Existing Ra'!$J$15</f>
        <v>31330.6739</v>
      </c>
      <c r="L10" s="72">
        <f t="shared" si="5"/>
        <v>-1499.4460999999937</v>
      </c>
      <c r="M10" s="23">
        <f>+'[3]Rates By Rate Class'!$B14</f>
        <v>44091.077799481274</v>
      </c>
      <c r="N10" s="72">
        <f t="shared" si="6"/>
        <v>12760.403899481273</v>
      </c>
    </row>
    <row r="11" spans="1:14" ht="12.75">
      <c r="A11" s="47" t="s">
        <v>21</v>
      </c>
      <c r="B11" s="52">
        <f>SUM(B4:B10)</f>
        <v>3985246</v>
      </c>
      <c r="C11" s="14">
        <f>SUM(C4:C10)</f>
        <v>3717997.9648814863</v>
      </c>
      <c r="D11" s="49">
        <v>362372</v>
      </c>
      <c r="E11" s="14">
        <f aca="true" t="shared" si="7" ref="E11:K11">SUM(E4:E10)</f>
        <v>-267248.0351185138</v>
      </c>
      <c r="F11" s="14">
        <f>SUM(F4:F10)</f>
        <v>4005725.492359999</v>
      </c>
      <c r="G11" s="68">
        <f>+F12-F13</f>
        <v>291758.7999999998</v>
      </c>
      <c r="H11" s="14">
        <f t="shared" si="7"/>
        <v>287727.5274785134</v>
      </c>
      <c r="I11" s="14">
        <f t="shared" si="7"/>
        <v>4010859.3400000003</v>
      </c>
      <c r="J11" s="14">
        <f t="shared" si="7"/>
        <v>5133.847640000284</v>
      </c>
      <c r="K11" s="49">
        <f t="shared" si="7"/>
        <v>3966786.0092115114</v>
      </c>
      <c r="L11" s="23">
        <f t="shared" si="5"/>
        <v>-44073.330788488965</v>
      </c>
      <c r="M11" s="14">
        <f>SUM(M4:M10)</f>
        <v>4752741.520992839</v>
      </c>
      <c r="N11" s="23">
        <f t="shared" si="6"/>
        <v>785955.5117813274</v>
      </c>
    </row>
    <row r="12" spans="1:14" s="48" customFormat="1" ht="12.75">
      <c r="A12" s="47"/>
      <c r="B12" s="52"/>
      <c r="C12" s="59">
        <v>3717998.12</v>
      </c>
      <c r="D12" s="49"/>
      <c r="E12" s="49"/>
      <c r="F12" s="59">
        <v>4005724.8</v>
      </c>
      <c r="G12" s="69"/>
      <c r="H12" s="49"/>
      <c r="I12" s="49"/>
      <c r="J12" s="49"/>
      <c r="K12" s="49"/>
      <c r="L12" s="49"/>
      <c r="M12" s="49"/>
      <c r="N12" s="49"/>
    </row>
    <row r="13" spans="1:14" s="48" customFormat="1" ht="12.75">
      <c r="A13" s="47"/>
      <c r="B13" s="52"/>
      <c r="C13" s="49"/>
      <c r="D13" s="49"/>
      <c r="E13" s="49"/>
      <c r="F13" s="59">
        <v>3713966</v>
      </c>
      <c r="G13" s="64"/>
      <c r="H13" s="49"/>
      <c r="I13" s="49"/>
      <c r="J13" s="49"/>
      <c r="K13" s="49"/>
      <c r="L13" s="49"/>
      <c r="M13" s="49"/>
      <c r="N13" s="49"/>
    </row>
    <row r="14" spans="2:14" ht="12.75">
      <c r="B14" s="14"/>
      <c r="C14" s="14"/>
      <c r="D14" s="49"/>
      <c r="E14" s="14"/>
      <c r="F14" s="14"/>
      <c r="H14" s="14"/>
      <c r="I14" s="14"/>
      <c r="J14" s="14"/>
      <c r="K14" s="14"/>
      <c r="L14" s="14"/>
      <c r="M14" s="14"/>
      <c r="N14" s="14"/>
    </row>
    <row r="15" spans="1:14" ht="12.75">
      <c r="A15" s="60" t="s">
        <v>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12.75">
      <c r="A16" s="47" t="s">
        <v>22</v>
      </c>
      <c r="B16" s="52">
        <f>+'LUI Ex 3 Sum of Other Dist Rev'!C29</f>
        <v>103267</v>
      </c>
      <c r="C16" s="28">
        <f>+'LUI Ex 3 Sum of Other Dist Rev'!D29</f>
        <v>133125</v>
      </c>
      <c r="D16" s="49"/>
      <c r="E16" s="28">
        <f>C16-B16</f>
        <v>29858</v>
      </c>
      <c r="F16" s="28">
        <f>+'LUI Ex 3 Sum of Other Dist Rev'!F29</f>
        <v>144453</v>
      </c>
      <c r="H16" s="28">
        <f>F16-C16</f>
        <v>11328</v>
      </c>
      <c r="I16" s="28">
        <f>+'LUI Ex 3 Sum of Other Dist Rev'!H29</f>
        <v>127498.58</v>
      </c>
      <c r="J16" s="28">
        <f>I16-F16</f>
        <v>-16954.42</v>
      </c>
      <c r="K16" s="28">
        <f>+'LUI Ex 3 Sum of Other Dist Rev'!J29</f>
        <v>127000</v>
      </c>
      <c r="L16" s="28">
        <f>K16-I16</f>
        <v>-498.58000000000175</v>
      </c>
      <c r="M16" s="28">
        <f>+'LUI Ex 3 Sum of Other Dist Rev'!L29</f>
        <v>126500</v>
      </c>
      <c r="N16" s="28">
        <f>M16-K16</f>
        <v>-500</v>
      </c>
    </row>
    <row r="17" spans="1:14" ht="12.75">
      <c r="A17" s="47" t="s">
        <v>23</v>
      </c>
      <c r="B17" s="52">
        <f>+'LUI Ex 3 Sum of Other Dist Rev'!C30</f>
        <v>27565</v>
      </c>
      <c r="C17" s="28">
        <f>+'LUI Ex 3 Sum of Other Dist Rev'!D30</f>
        <v>72437</v>
      </c>
      <c r="D17" s="49"/>
      <c r="E17" s="28">
        <f>C17-B17</f>
        <v>44872</v>
      </c>
      <c r="F17" s="28">
        <f>+'LUI Ex 3 Sum of Other Dist Rev'!F30</f>
        <v>61033</v>
      </c>
      <c r="H17" s="28">
        <f>F17-C17</f>
        <v>-11404</v>
      </c>
      <c r="I17" s="28">
        <f>+'LUI Ex 3 Sum of Other Dist Rev'!H30</f>
        <v>63140.01</v>
      </c>
      <c r="J17" s="28">
        <f>I17-F17</f>
        <v>2107.010000000002</v>
      </c>
      <c r="K17" s="28">
        <f>+'LUI Ex 3 Sum of Other Dist Rev'!J30</f>
        <v>63140.01</v>
      </c>
      <c r="L17" s="28">
        <f>K17-I17</f>
        <v>0</v>
      </c>
      <c r="M17" s="28">
        <f>+'LUI Ex 3 Sum of Other Dist Rev'!L30</f>
        <v>63140.01</v>
      </c>
      <c r="N17" s="28">
        <f>M17-K17</f>
        <v>0</v>
      </c>
    </row>
    <row r="18" spans="1:14" ht="12.75">
      <c r="A18" s="47" t="s">
        <v>4</v>
      </c>
      <c r="B18" s="52">
        <f>+'LUI Ex 3 Sum of Other Dist Rev'!C31</f>
        <v>149461</v>
      </c>
      <c r="C18" s="28">
        <f>+'LUI Ex 3 Sum of Other Dist Rev'!D31</f>
        <v>158868.3</v>
      </c>
      <c r="D18" s="49"/>
      <c r="E18" s="28">
        <f>C18-B18</f>
        <v>9407.299999999988</v>
      </c>
      <c r="F18" s="28">
        <f>+'LUI Ex 3 Sum of Other Dist Rev'!F31</f>
        <v>166727.65</v>
      </c>
      <c r="H18" s="28">
        <f>F18-C18</f>
        <v>7859.350000000006</v>
      </c>
      <c r="I18" s="28">
        <f>+'LUI Ex 3 Sum of Other Dist Rev'!H31</f>
        <v>157273.13</v>
      </c>
      <c r="J18" s="28">
        <f>I18-F18</f>
        <v>-9454.51999999999</v>
      </c>
      <c r="K18" s="28">
        <f>+'LUI Ex 3 Sum of Other Dist Rev'!J31</f>
        <v>160406.09755402716</v>
      </c>
      <c r="L18" s="28">
        <f>K18-I18</f>
        <v>3132.9675540271564</v>
      </c>
      <c r="M18" s="28">
        <f>+'LUI Ex 3 Sum of Other Dist Rev'!L31</f>
        <v>160322</v>
      </c>
      <c r="N18" s="28">
        <f>M18-K18</f>
        <v>-84.0975540271611</v>
      </c>
    </row>
    <row r="19" spans="1:14" ht="12.75">
      <c r="A19" s="47" t="s">
        <v>25</v>
      </c>
      <c r="B19" s="52">
        <f>+'LUI Ex 3 Sum of Other Dist Rev'!C32</f>
        <v>55271</v>
      </c>
      <c r="C19" s="28">
        <f>+'LUI Ex 3 Sum of Other Dist Rev'!D32</f>
        <v>821667.27</v>
      </c>
      <c r="D19" s="49"/>
      <c r="E19" s="28">
        <f>C19-B19</f>
        <v>766396.27</v>
      </c>
      <c r="F19" s="28">
        <f>+'LUI Ex 3 Sum of Other Dist Rev'!F32</f>
        <v>108311.19</v>
      </c>
      <c r="H19" s="28">
        <f>F19-C19</f>
        <v>-713356.0800000001</v>
      </c>
      <c r="I19" s="28">
        <f>+'LUI Ex 3 Sum of Other Dist Rev'!H32</f>
        <v>60930.89</v>
      </c>
      <c r="J19" s="28">
        <f>I19-F19</f>
        <v>-47380.3</v>
      </c>
      <c r="K19" s="28">
        <f>+'LUI Ex 3 Sum of Other Dist Rev'!J32</f>
        <v>28500</v>
      </c>
      <c r="L19" s="28">
        <f>K19-I19</f>
        <v>-32430.89</v>
      </c>
      <c r="M19" s="28">
        <f>+'LUI Ex 3 Sum of Other Dist Rev'!L32</f>
        <v>28500</v>
      </c>
      <c r="N19" s="28">
        <f>M19-K19</f>
        <v>0</v>
      </c>
    </row>
    <row r="20" spans="1:14" ht="12.75">
      <c r="A20" s="61" t="s">
        <v>21</v>
      </c>
      <c r="B20" s="54">
        <f>SUM(B16:B19)</f>
        <v>335564</v>
      </c>
      <c r="C20" s="30">
        <f aca="true" t="shared" si="8" ref="C20:N20">SUM(C16:C19)</f>
        <v>1186097.57</v>
      </c>
      <c r="D20" s="30"/>
      <c r="E20" s="30">
        <f t="shared" si="8"/>
        <v>850533.5700000001</v>
      </c>
      <c r="F20" s="30">
        <f t="shared" si="8"/>
        <v>480524.84</v>
      </c>
      <c r="G20" s="65"/>
      <c r="H20" s="30">
        <f t="shared" si="8"/>
        <v>-705572.7300000001</v>
      </c>
      <c r="I20" s="30">
        <f t="shared" si="8"/>
        <v>408842.61</v>
      </c>
      <c r="J20" s="30">
        <f t="shared" si="8"/>
        <v>-71682.22999999998</v>
      </c>
      <c r="K20" s="30">
        <f t="shared" si="8"/>
        <v>379046.10755402717</v>
      </c>
      <c r="L20" s="30">
        <f t="shared" si="8"/>
        <v>-29796.502445972845</v>
      </c>
      <c r="M20" s="30">
        <f t="shared" si="8"/>
        <v>378462.01</v>
      </c>
      <c r="N20" s="30">
        <f t="shared" si="8"/>
        <v>-584.0975540271611</v>
      </c>
    </row>
    <row r="21" spans="1:14" ht="26.25" customHeight="1" thickBot="1">
      <c r="A21" s="47" t="s">
        <v>34</v>
      </c>
      <c r="B21" s="55">
        <f aca="true" t="shared" si="9" ref="B21:N21">B20+B11</f>
        <v>4320810</v>
      </c>
      <c r="C21" s="29">
        <f t="shared" si="9"/>
        <v>4904095.534881487</v>
      </c>
      <c r="D21" s="29"/>
      <c r="E21" s="29">
        <f t="shared" si="9"/>
        <v>583285.5348814863</v>
      </c>
      <c r="F21" s="29">
        <f t="shared" si="9"/>
        <v>4486250.332359999</v>
      </c>
      <c r="G21" s="66"/>
      <c r="H21" s="29">
        <f t="shared" si="9"/>
        <v>-417845.2025214867</v>
      </c>
      <c r="I21" s="29">
        <f t="shared" si="9"/>
        <v>4419701.95</v>
      </c>
      <c r="J21" s="29">
        <f t="shared" si="9"/>
        <v>-66548.3823599997</v>
      </c>
      <c r="K21" s="29">
        <f t="shared" si="9"/>
        <v>4345832.116765538</v>
      </c>
      <c r="L21" s="29">
        <f t="shared" si="9"/>
        <v>-73869.83323446181</v>
      </c>
      <c r="M21" s="29">
        <f t="shared" si="9"/>
        <v>5131203.530992839</v>
      </c>
      <c r="N21" s="29">
        <f t="shared" si="9"/>
        <v>785371.4142273003</v>
      </c>
    </row>
    <row r="22" ht="13.5" thickTop="1"/>
    <row r="23" spans="1:13" ht="12.75">
      <c r="A23" s="47" t="s">
        <v>35</v>
      </c>
      <c r="B23" s="17">
        <f>+B11/B21</f>
        <v>0.9223377098275555</v>
      </c>
      <c r="C23" s="17">
        <f>C11/C21</f>
        <v>0.7581414224980705</v>
      </c>
      <c r="D23" s="17"/>
      <c r="F23" s="17">
        <f>F11/F21</f>
        <v>0.8928894278293161</v>
      </c>
      <c r="I23" s="17">
        <f>I11/I21</f>
        <v>0.907495434166098</v>
      </c>
      <c r="K23" s="17">
        <f>K11/K21</f>
        <v>0.9127793947465834</v>
      </c>
      <c r="M23" s="17">
        <f>M11/M21</f>
        <v>0.9262430329036722</v>
      </c>
    </row>
    <row r="24" spans="1:13" ht="12.75">
      <c r="A24" s="47" t="s">
        <v>36</v>
      </c>
      <c r="C24" s="18">
        <v>4904095</v>
      </c>
      <c r="D24" s="18"/>
      <c r="F24" s="18">
        <v>4486250</v>
      </c>
      <c r="I24" s="18">
        <f>-106153+4525914</f>
        <v>4419761</v>
      </c>
      <c r="K24" s="18">
        <v>4345832</v>
      </c>
      <c r="M24" s="18">
        <v>5131204</v>
      </c>
    </row>
    <row r="25" spans="3:13" ht="12.75">
      <c r="C25" s="19">
        <f>+C21-C24</f>
        <v>0.5348814865574241</v>
      </c>
      <c r="D25" s="19"/>
      <c r="E25" s="19"/>
      <c r="F25" s="19">
        <f>+F21-F24</f>
        <v>0.33235999941825867</v>
      </c>
      <c r="H25" s="19"/>
      <c r="I25" s="19">
        <f>+I21-I24</f>
        <v>-59.049999999813735</v>
      </c>
      <c r="J25" s="19"/>
      <c r="K25" s="19">
        <f>+K21-K24</f>
        <v>0.11676553823053837</v>
      </c>
      <c r="L25" s="19"/>
      <c r="M25" s="19">
        <f>+M21-M24</f>
        <v>-0.4690071614459157</v>
      </c>
    </row>
    <row r="26" spans="3:13" ht="12.75">
      <c r="C26" s="20"/>
      <c r="D26" s="20"/>
      <c r="E26" s="20"/>
      <c r="F26" s="20"/>
      <c r="H26" s="20"/>
      <c r="I26" s="20"/>
      <c r="J26" s="20"/>
      <c r="K26" s="20"/>
      <c r="L26" s="20"/>
      <c r="M26" s="20"/>
    </row>
    <row r="27" ht="12.75">
      <c r="M27" s="19">
        <f>M11+M26</f>
        <v>4752741.520992839</v>
      </c>
    </row>
    <row r="28" spans="1:16" ht="13.5" thickBot="1">
      <c r="A28" s="47" t="s">
        <v>37</v>
      </c>
      <c r="B28" s="16"/>
      <c r="C28" s="14">
        <f>C17</f>
        <v>72437</v>
      </c>
      <c r="D28" s="49"/>
      <c r="E28" s="14">
        <f>E17</f>
        <v>44872</v>
      </c>
      <c r="F28" s="16">
        <f>F27+F21</f>
        <v>4486250.332359999</v>
      </c>
      <c r="G28" s="67"/>
      <c r="H28" s="14">
        <f>H17</f>
        <v>-11404</v>
      </c>
      <c r="I28" s="14">
        <f>+I27-I21</f>
        <v>-4419701.95</v>
      </c>
      <c r="J28" s="14">
        <f>J17</f>
        <v>2107.010000000002</v>
      </c>
      <c r="K28" s="14">
        <f>+K27-K21</f>
        <v>-4345832.116765538</v>
      </c>
      <c r="L28" s="14">
        <f>L17</f>
        <v>0</v>
      </c>
      <c r="M28" s="14">
        <f>+M27-M21</f>
        <v>-378462.0099999998</v>
      </c>
      <c r="N28" s="14">
        <f>N17</f>
        <v>0</v>
      </c>
      <c r="P28" s="14">
        <f>P17</f>
        <v>0</v>
      </c>
    </row>
    <row r="29" spans="3:16" ht="13.5" thickTop="1">
      <c r="C29" s="14"/>
      <c r="D29" s="49"/>
      <c r="E29" s="14"/>
      <c r="H29" s="14"/>
      <c r="I29" s="14"/>
      <c r="J29" s="14"/>
      <c r="K29" s="14"/>
      <c r="L29" s="14"/>
      <c r="M29" s="14"/>
      <c r="N29" s="14"/>
      <c r="P29" s="14"/>
    </row>
    <row r="30" spans="3:16" ht="12.75">
      <c r="C30" s="14">
        <f>C8+C9+C11+C10</f>
        <v>3789075.0517944745</v>
      </c>
      <c r="D30" s="49"/>
      <c r="E30" s="14">
        <f>E8+E9+E11+E10</f>
        <v>-302151.94820552564</v>
      </c>
      <c r="F30" s="17">
        <f>F21/F28</f>
        <v>1</v>
      </c>
      <c r="H30" s="14">
        <f>H8+H9+H11+H10</f>
        <v>335883.7292855253</v>
      </c>
      <c r="I30" s="17">
        <f>I21/I28</f>
        <v>-1</v>
      </c>
      <c r="J30" s="14">
        <f>J8+J9+J11+J10</f>
        <v>61737.41892000027</v>
      </c>
      <c r="K30" s="17">
        <f>K21/K28</f>
        <v>-1</v>
      </c>
      <c r="L30" s="14">
        <f>L8+L9+L11+L10</f>
        <v>25487.473954389825</v>
      </c>
      <c r="M30" s="17">
        <f>M21/M28</f>
        <v>-13.558041217909405</v>
      </c>
      <c r="N30" s="14">
        <f>N8+N9+N11+N10</f>
        <v>768441.3402689776</v>
      </c>
      <c r="P30" s="14">
        <f>P8+P9+P11+P10</f>
        <v>0</v>
      </c>
    </row>
    <row r="31" spans="1:16" ht="25.5">
      <c r="A31" s="62" t="s">
        <v>101</v>
      </c>
      <c r="C31" s="14">
        <f>C23+C24</f>
        <v>4904095.758141423</v>
      </c>
      <c r="D31" s="49"/>
      <c r="E31" s="14">
        <f>E18+E20+E21+E23+E24</f>
        <v>1443226.4048814864</v>
      </c>
      <c r="F31" s="46">
        <f>F23+F24</f>
        <v>4486250.892889428</v>
      </c>
      <c r="H31" s="14">
        <f>H18+H20+H21+H23+H24</f>
        <v>-1115558.5825214868</v>
      </c>
      <c r="I31" s="46">
        <f>I23+I24</f>
        <v>4419761.907495434</v>
      </c>
      <c r="J31" s="14">
        <f>J18+J20+J21+J23+J24</f>
        <v>-147685.13235999967</v>
      </c>
      <c r="K31" s="46">
        <f>K23+K24</f>
        <v>4345832.912779395</v>
      </c>
      <c r="L31" s="14">
        <f>L18+L20+L21+L23+L24</f>
        <v>-100533.3681264075</v>
      </c>
      <c r="M31" s="46">
        <f>M23+M24</f>
        <v>5131204.926243033</v>
      </c>
      <c r="N31" s="14">
        <f>N18+N20+N21+N23+N24</f>
        <v>784703.219119246</v>
      </c>
      <c r="P31" s="14">
        <f>P18+P20+P21+P23+P24</f>
        <v>0</v>
      </c>
    </row>
    <row r="32" spans="2:17" ht="12.75">
      <c r="B32" s="13" t="s">
        <v>21</v>
      </c>
      <c r="C32" s="20">
        <f>SUM(C28:C31)</f>
        <v>8765607.809935898</v>
      </c>
      <c r="D32" s="20"/>
      <c r="E32" s="20">
        <f>SUM(E28:E31)</f>
        <v>1185946.4566759607</v>
      </c>
      <c r="F32" s="20">
        <f>SUM(F28:F31)</f>
        <v>8972502.225249428</v>
      </c>
      <c r="H32" s="20">
        <f aca="true" t="shared" si="10" ref="H32:N32">SUM(H28:H31)</f>
        <v>-791078.8532359615</v>
      </c>
      <c r="I32" s="20">
        <f t="shared" si="10"/>
        <v>58.957495434209704</v>
      </c>
      <c r="J32" s="20">
        <f t="shared" si="10"/>
        <v>-83840.7034399994</v>
      </c>
      <c r="K32" s="20">
        <f t="shared" si="10"/>
        <v>-0.2039861436933279</v>
      </c>
      <c r="L32" s="20">
        <f t="shared" si="10"/>
        <v>-75045.89417201767</v>
      </c>
      <c r="M32" s="20">
        <f t="shared" si="10"/>
        <v>4752729.358201816</v>
      </c>
      <c r="N32" s="21">
        <f t="shared" si="10"/>
        <v>1553144.5593882236</v>
      </c>
      <c r="O32" s="22"/>
      <c r="P32" s="21">
        <f>SUM(P28:P31)</f>
        <v>0</v>
      </c>
      <c r="Q32" s="22"/>
    </row>
    <row r="60" spans="1:14" ht="51">
      <c r="A60" s="96" t="s">
        <v>26</v>
      </c>
      <c r="B60" s="73" t="s">
        <v>45</v>
      </c>
      <c r="C60" s="73" t="s">
        <v>2</v>
      </c>
      <c r="D60" s="73" t="s">
        <v>100</v>
      </c>
      <c r="E60" s="73" t="s">
        <v>46</v>
      </c>
      <c r="F60" s="73" t="s">
        <v>38</v>
      </c>
      <c r="G60" s="63" t="s">
        <v>100</v>
      </c>
      <c r="H60" s="73" t="s">
        <v>3</v>
      </c>
      <c r="I60" s="73" t="s">
        <v>44</v>
      </c>
      <c r="J60" s="73" t="s">
        <v>39</v>
      </c>
      <c r="K60" s="73" t="s">
        <v>43</v>
      </c>
      <c r="L60" s="73" t="s">
        <v>47</v>
      </c>
      <c r="M60" s="73" t="s">
        <v>41</v>
      </c>
      <c r="N60" s="73" t="s">
        <v>42</v>
      </c>
    </row>
    <row r="61" spans="1:14" ht="12.75">
      <c r="A61" s="96"/>
      <c r="B61" s="48" t="s">
        <v>27</v>
      </c>
      <c r="C61" s="48" t="s">
        <v>27</v>
      </c>
      <c r="E61" s="48" t="s">
        <v>27</v>
      </c>
      <c r="F61" s="48" t="s">
        <v>27</v>
      </c>
      <c r="H61" s="48" t="s">
        <v>27</v>
      </c>
      <c r="I61" s="48" t="s">
        <v>27</v>
      </c>
      <c r="J61" s="48" t="s">
        <v>27</v>
      </c>
      <c r="K61" s="48" t="s">
        <v>27</v>
      </c>
      <c r="L61" s="48" t="s">
        <v>27</v>
      </c>
      <c r="M61" s="48" t="s">
        <v>27</v>
      </c>
      <c r="N61" s="48" t="s">
        <v>27</v>
      </c>
    </row>
    <row r="62" spans="1:14" ht="12.75">
      <c r="A62" s="60" t="s">
        <v>28</v>
      </c>
      <c r="B62" s="48"/>
      <c r="C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1:14" ht="12.75">
      <c r="A63" s="73" t="s">
        <v>29</v>
      </c>
      <c r="B63" s="51">
        <v>1917386</v>
      </c>
      <c r="C63" s="23">
        <v>1840951.6413865902</v>
      </c>
      <c r="D63" s="58">
        <v>0.4951459312159604</v>
      </c>
      <c r="E63" s="74">
        <v>-76434.3586134098</v>
      </c>
      <c r="F63" s="70">
        <v>1970658.3195999998</v>
      </c>
      <c r="G63" s="71">
        <v>0.530607528340324</v>
      </c>
      <c r="H63" s="74">
        <v>129706.67821340961</v>
      </c>
      <c r="I63" s="23">
        <v>1909333.84</v>
      </c>
      <c r="J63" s="74">
        <v>-61324.47959999973</v>
      </c>
      <c r="K63" s="23">
        <v>1913826.8617059912</v>
      </c>
      <c r="L63" s="23">
        <v>4493.021705991123</v>
      </c>
      <c r="M63" s="23">
        <v>2617280.592049398</v>
      </c>
      <c r="N63" s="23">
        <v>703453.7303434068</v>
      </c>
    </row>
    <row r="64" spans="1:14" ht="12.75">
      <c r="A64" s="73" t="s">
        <v>30</v>
      </c>
      <c r="B64" s="52">
        <v>656516</v>
      </c>
      <c r="C64" s="74">
        <v>619068.6706195417</v>
      </c>
      <c r="D64" s="58">
        <v>0.16650591276241464</v>
      </c>
      <c r="E64" s="74">
        <v>-37447.32938045834</v>
      </c>
      <c r="F64" s="74">
        <v>619738.44636</v>
      </c>
      <c r="G64" s="71">
        <v>0.1668670220352044</v>
      </c>
      <c r="H64" s="74">
        <v>669.7757404582808</v>
      </c>
      <c r="I64" s="74">
        <v>599094.51</v>
      </c>
      <c r="J64" s="74">
        <v>-20643.936359999934</v>
      </c>
      <c r="K64" s="23">
        <v>571811.0052235541</v>
      </c>
      <c r="L64" s="23">
        <v>-27283.504776445916</v>
      </c>
      <c r="M64" s="74">
        <v>799680.5973895122</v>
      </c>
      <c r="N64" s="23">
        <v>227869.59216595814</v>
      </c>
    </row>
    <row r="65" spans="1:14" ht="12.75">
      <c r="A65" s="73" t="s">
        <v>51</v>
      </c>
      <c r="B65" s="52">
        <v>1208240</v>
      </c>
      <c r="C65" s="74">
        <v>1163463.332987057</v>
      </c>
      <c r="D65" s="58">
        <v>0.3129273591421442</v>
      </c>
      <c r="E65" s="74">
        <v>-44776.667012942955</v>
      </c>
      <c r="F65" s="74">
        <v>1233761.4504</v>
      </c>
      <c r="G65" s="71">
        <v>0.3321951386738597</v>
      </c>
      <c r="H65" s="74">
        <v>70298.11741294293</v>
      </c>
      <c r="I65" s="74">
        <v>1279943.93</v>
      </c>
      <c r="J65" s="74">
        <v>46182.47959999996</v>
      </c>
      <c r="K65" s="23">
        <v>1195254.0765984876</v>
      </c>
      <c r="L65" s="23">
        <v>-84689.85340151237</v>
      </c>
      <c r="M65" s="74">
        <v>1821706.9566061064</v>
      </c>
      <c r="N65" s="23">
        <v>626452.8800076188</v>
      </c>
    </row>
    <row r="66" spans="1:14" ht="12.75">
      <c r="A66" s="73" t="s">
        <v>52</v>
      </c>
      <c r="B66" s="52">
        <v>97123</v>
      </c>
      <c r="C66" s="74">
        <v>23437.23297530918</v>
      </c>
      <c r="D66" s="58">
        <v>0.006303723729507744</v>
      </c>
      <c r="E66" s="74">
        <v>-73685.76702469082</v>
      </c>
      <c r="F66" s="74">
        <v>62333.98728</v>
      </c>
      <c r="G66" s="71">
        <v>0.016783672031461784</v>
      </c>
      <c r="H66" s="74">
        <v>38896.754304690825</v>
      </c>
      <c r="I66" s="74">
        <v>46650.2</v>
      </c>
      <c r="J66" s="74">
        <v>-15683.787280000004</v>
      </c>
      <c r="K66" s="23">
        <v>41451.177908</v>
      </c>
      <c r="L66" s="23">
        <v>-5199.022091999999</v>
      </c>
      <c r="M66" s="74">
        <v>139226.24069383825</v>
      </c>
      <c r="N66" s="23">
        <v>97775.06278583825</v>
      </c>
    </row>
    <row r="67" spans="1:14" ht="12.75">
      <c r="A67" s="73" t="s">
        <v>31</v>
      </c>
      <c r="B67" s="52">
        <v>73925</v>
      </c>
      <c r="C67" s="74">
        <v>36634.970971970026</v>
      </c>
      <c r="D67" s="58">
        <v>0.009853412989883391</v>
      </c>
      <c r="E67" s="74">
        <v>-37290.029028029974</v>
      </c>
      <c r="F67" s="74">
        <v>81308.31364</v>
      </c>
      <c r="G67" s="71">
        <v>0.021892584272446218</v>
      </c>
      <c r="H67" s="74">
        <v>44673.34266802997</v>
      </c>
      <c r="I67" s="74">
        <v>138517.41999999998</v>
      </c>
      <c r="J67" s="74">
        <v>57209.10635999999</v>
      </c>
      <c r="K67" s="74">
        <v>201868.76502998732</v>
      </c>
      <c r="L67" s="23">
        <v>63351.34502998734</v>
      </c>
      <c r="M67" s="74">
        <v>232955.41783902497</v>
      </c>
      <c r="N67" s="23">
        <v>31086.652809037652</v>
      </c>
    </row>
    <row r="68" spans="1:14" ht="12.75">
      <c r="A68" s="73" t="s">
        <v>32</v>
      </c>
      <c r="B68" s="52">
        <v>3327</v>
      </c>
      <c r="C68" s="74">
        <v>2536.918974584451</v>
      </c>
      <c r="D68" s="58">
        <v>0.0006823346577121053</v>
      </c>
      <c r="E68" s="74">
        <v>-790.081025415549</v>
      </c>
      <c r="F68" s="74">
        <v>3943.7788</v>
      </c>
      <c r="G68" s="71">
        <v>0.0010618780031911978</v>
      </c>
      <c r="H68" s="74">
        <v>1406.859825415549</v>
      </c>
      <c r="I68" s="74">
        <v>4489.32</v>
      </c>
      <c r="J68" s="74">
        <v>545.5411999999997</v>
      </c>
      <c r="K68" s="74">
        <v>5565.487923198427</v>
      </c>
      <c r="L68" s="23">
        <v>1076.1679231984272</v>
      </c>
      <c r="M68" s="74">
        <v>7362.851901850743</v>
      </c>
      <c r="N68" s="23">
        <v>1797.3639786523163</v>
      </c>
    </row>
    <row r="69" spans="1:14" ht="15">
      <c r="A69" s="73" t="s">
        <v>33</v>
      </c>
      <c r="B69" s="53">
        <v>28729</v>
      </c>
      <c r="C69" s="15">
        <v>31905.196966433676</v>
      </c>
      <c r="D69" s="58">
        <v>0.008581283781400533</v>
      </c>
      <c r="E69" s="15">
        <v>3176.1969664336757</v>
      </c>
      <c r="F69" s="15">
        <v>33981.19628</v>
      </c>
      <c r="G69" s="71">
        <v>0.008483156508056111</v>
      </c>
      <c r="H69" s="74">
        <v>2075.999313566321</v>
      </c>
      <c r="I69" s="15">
        <v>32830.119999999995</v>
      </c>
      <c r="J69" s="50">
        <v>-1151.0762800000011</v>
      </c>
      <c r="K69" s="15">
        <v>31330.6739</v>
      </c>
      <c r="L69" s="72">
        <v>-1499.4460999999937</v>
      </c>
      <c r="M69" s="50">
        <v>41734.78671381622</v>
      </c>
      <c r="N69" s="72">
        <v>10404.112813816217</v>
      </c>
    </row>
    <row r="70" spans="1:14" ht="12.75">
      <c r="A70" s="73" t="s">
        <v>21</v>
      </c>
      <c r="B70" s="52">
        <v>3985246</v>
      </c>
      <c r="C70" s="74">
        <v>3717997.9648814863</v>
      </c>
      <c r="D70" s="74">
        <v>362372</v>
      </c>
      <c r="E70" s="74">
        <v>-267248.0351185138</v>
      </c>
      <c r="F70" s="74">
        <v>4005725.492359999</v>
      </c>
      <c r="G70" s="68">
        <v>291758.7999999998</v>
      </c>
      <c r="H70" s="74">
        <v>287727.5274785134</v>
      </c>
      <c r="I70" s="74">
        <v>4010859.3400000003</v>
      </c>
      <c r="J70" s="74">
        <v>5133.847640000284</v>
      </c>
      <c r="K70" s="74">
        <v>3961108.0482892185</v>
      </c>
      <c r="L70" s="23">
        <v>-49751.291710781865</v>
      </c>
      <c r="M70" s="74">
        <v>5659947.4431935465</v>
      </c>
      <c r="N70" s="23">
        <v>1698839.394904328</v>
      </c>
    </row>
    <row r="71" spans="1:14" ht="12.75">
      <c r="A71" s="73"/>
      <c r="B71" s="52"/>
      <c r="C71" s="59">
        <v>3717998.12</v>
      </c>
      <c r="D71" s="74"/>
      <c r="E71" s="74"/>
      <c r="F71" s="59">
        <v>4005724.8</v>
      </c>
      <c r="G71" s="69"/>
      <c r="H71" s="74"/>
      <c r="I71" s="74"/>
      <c r="J71" s="74"/>
      <c r="K71" s="74"/>
      <c r="L71" s="74"/>
      <c r="M71" s="74"/>
      <c r="N71" s="74"/>
    </row>
    <row r="72" spans="1:14" ht="12.75">
      <c r="A72" s="73"/>
      <c r="B72" s="52"/>
      <c r="C72" s="74"/>
      <c r="D72" s="74"/>
      <c r="E72" s="74"/>
      <c r="F72" s="59">
        <v>3713966</v>
      </c>
      <c r="H72" s="64">
        <f>+H70/C70</f>
        <v>0.0773877581957431</v>
      </c>
      <c r="I72" s="74"/>
      <c r="J72" s="64">
        <f>+J70/F70</f>
        <v>0.0012816274229953896</v>
      </c>
      <c r="K72" s="74"/>
      <c r="L72" s="64">
        <f>+L70/I70</f>
        <v>-0.012404147713338125</v>
      </c>
      <c r="M72" s="74"/>
      <c r="N72" s="64">
        <f>+N70/K70</f>
        <v>0.4288798422547569</v>
      </c>
    </row>
    <row r="73" spans="1:14" ht="12.75">
      <c r="A73" s="73"/>
      <c r="B73" s="74"/>
      <c r="C73" s="74"/>
      <c r="D73" s="74"/>
      <c r="E73" s="74"/>
      <c r="F73" s="74"/>
      <c r="H73" s="74"/>
      <c r="I73" s="74"/>
      <c r="J73" s="74"/>
      <c r="K73" s="74"/>
      <c r="L73" s="74"/>
      <c r="M73" s="74"/>
      <c r="N73" s="74"/>
    </row>
    <row r="74" spans="1:14" ht="12.75">
      <c r="A74" s="60" t="s">
        <v>4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ht="12.75">
      <c r="A75" s="73" t="s">
        <v>22</v>
      </c>
      <c r="B75" s="52">
        <v>103267</v>
      </c>
      <c r="C75" s="74">
        <v>133125</v>
      </c>
      <c r="D75" s="74"/>
      <c r="E75" s="74">
        <v>29858</v>
      </c>
      <c r="F75" s="74">
        <v>144453</v>
      </c>
      <c r="H75" s="74">
        <v>11328</v>
      </c>
      <c r="I75" s="74">
        <v>127498.58</v>
      </c>
      <c r="J75" s="74">
        <v>-16954.42</v>
      </c>
      <c r="K75" s="74">
        <v>127000</v>
      </c>
      <c r="L75" s="74">
        <v>-498.58000000000175</v>
      </c>
      <c r="M75" s="74">
        <v>126500</v>
      </c>
      <c r="N75" s="74">
        <v>-500</v>
      </c>
    </row>
    <row r="76" spans="1:14" ht="12.75">
      <c r="A76" s="73" t="s">
        <v>23</v>
      </c>
      <c r="B76" s="52">
        <v>27565</v>
      </c>
      <c r="C76" s="74">
        <v>72437</v>
      </c>
      <c r="D76" s="74"/>
      <c r="E76" s="74">
        <v>44872</v>
      </c>
      <c r="F76" s="74">
        <v>61033</v>
      </c>
      <c r="H76" s="74">
        <v>-11404</v>
      </c>
      <c r="I76" s="74">
        <v>63140.01</v>
      </c>
      <c r="J76" s="74">
        <v>2107.010000000002</v>
      </c>
      <c r="K76" s="74">
        <v>63140.01</v>
      </c>
      <c r="L76" s="74">
        <v>0</v>
      </c>
      <c r="M76" s="74">
        <v>63140.01</v>
      </c>
      <c r="N76" s="74">
        <v>0</v>
      </c>
    </row>
    <row r="77" spans="1:14" ht="12.75">
      <c r="A77" s="73" t="s">
        <v>4</v>
      </c>
      <c r="B77" s="52">
        <v>149461</v>
      </c>
      <c r="C77" s="74">
        <v>158868.3</v>
      </c>
      <c r="D77" s="74"/>
      <c r="E77" s="74">
        <v>9407.299999999988</v>
      </c>
      <c r="F77" s="74">
        <v>166727.65</v>
      </c>
      <c r="H77" s="74">
        <v>7859.350000000006</v>
      </c>
      <c r="I77" s="74">
        <v>157273.13</v>
      </c>
      <c r="J77" s="74">
        <v>-9454.51999999999</v>
      </c>
      <c r="K77" s="74">
        <v>160403.09755402716</v>
      </c>
      <c r="L77" s="74">
        <v>3129.9675540271564</v>
      </c>
      <c r="M77" s="74">
        <v>160322</v>
      </c>
      <c r="N77" s="74">
        <v>-81.0975540271611</v>
      </c>
    </row>
    <row r="78" spans="1:14" ht="12.75">
      <c r="A78" s="73" t="s">
        <v>25</v>
      </c>
      <c r="B78" s="52">
        <v>55271</v>
      </c>
      <c r="C78" s="74">
        <v>821667.27</v>
      </c>
      <c r="D78" s="74"/>
      <c r="E78" s="74">
        <v>766396.27</v>
      </c>
      <c r="F78" s="74">
        <v>108311.19</v>
      </c>
      <c r="H78" s="74">
        <v>-713356.0800000001</v>
      </c>
      <c r="I78" s="74">
        <v>60930.89</v>
      </c>
      <c r="J78" s="74">
        <v>-47380.3</v>
      </c>
      <c r="K78" s="74">
        <v>28500</v>
      </c>
      <c r="L78" s="74">
        <v>-32430.89</v>
      </c>
      <c r="M78" s="74">
        <v>28500</v>
      </c>
      <c r="N78" s="74">
        <v>0</v>
      </c>
    </row>
    <row r="79" spans="1:14" ht="12.75">
      <c r="A79" s="61" t="s">
        <v>21</v>
      </c>
      <c r="B79" s="54">
        <v>335564</v>
      </c>
      <c r="C79" s="30">
        <v>1186097.57</v>
      </c>
      <c r="D79" s="30"/>
      <c r="E79" s="30">
        <v>850533.5700000001</v>
      </c>
      <c r="F79" s="30">
        <v>480524.84</v>
      </c>
      <c r="G79" s="65"/>
      <c r="H79" s="30">
        <v>-705572.7300000001</v>
      </c>
      <c r="I79" s="30">
        <v>408842.61</v>
      </c>
      <c r="J79" s="30">
        <v>-71682.22999999998</v>
      </c>
      <c r="K79" s="30">
        <v>379043.10755402717</v>
      </c>
      <c r="L79" s="30">
        <v>-29799.502445972845</v>
      </c>
      <c r="M79" s="30">
        <v>378462.01</v>
      </c>
      <c r="N79" s="30">
        <v>-581.0975540271611</v>
      </c>
    </row>
    <row r="80" spans="1:14" ht="13.5" thickBot="1">
      <c r="A80" s="73" t="s">
        <v>34</v>
      </c>
      <c r="B80" s="55">
        <v>4320810</v>
      </c>
      <c r="C80" s="29">
        <v>4904095.534881487</v>
      </c>
      <c r="D80" s="29"/>
      <c r="E80" s="29">
        <v>583285.5348814863</v>
      </c>
      <c r="F80" s="29">
        <v>4486250.332359999</v>
      </c>
      <c r="G80" s="66"/>
      <c r="H80" s="29">
        <v>-417845.2025214867</v>
      </c>
      <c r="I80" s="29">
        <v>4419701.95</v>
      </c>
      <c r="J80" s="29">
        <v>-66548.3823599997</v>
      </c>
      <c r="K80" s="29">
        <v>4340151.155843246</v>
      </c>
      <c r="L80" s="29">
        <v>-79550.79415675471</v>
      </c>
      <c r="M80" s="29">
        <v>6038409.453193546</v>
      </c>
      <c r="N80" s="29">
        <v>1698258.297350301</v>
      </c>
    </row>
    <row r="81" spans="1:14" ht="13.5" thickTop="1">
      <c r="A81" s="73"/>
      <c r="B81" s="48"/>
      <c r="C81" s="48"/>
      <c r="E81" s="48"/>
      <c r="F81" s="48"/>
      <c r="H81" s="48"/>
      <c r="I81" s="48"/>
      <c r="J81" s="48"/>
      <c r="K81" s="48"/>
      <c r="L81" s="48"/>
      <c r="M81" s="48"/>
      <c r="N81" s="48"/>
    </row>
    <row r="82" spans="1:14" ht="12.75">
      <c r="A82" s="73" t="s">
        <v>35</v>
      </c>
      <c r="B82" s="17">
        <v>0.9223377098275555</v>
      </c>
      <c r="C82" s="17">
        <v>0.7581414224980705</v>
      </c>
      <c r="D82" s="17"/>
      <c r="E82" s="48"/>
      <c r="F82" s="17">
        <v>0.8928894278293161</v>
      </c>
      <c r="H82" s="48"/>
      <c r="I82" s="17">
        <v>0.907495434166098</v>
      </c>
      <c r="J82" s="48"/>
      <c r="K82" s="17">
        <v>0.9126659201618559</v>
      </c>
      <c r="L82" s="48"/>
      <c r="M82" s="17">
        <v>0.9373242220598602</v>
      </c>
      <c r="N82" s="48"/>
    </row>
    <row r="83" spans="1:14" ht="12.75">
      <c r="A83" s="73" t="s">
        <v>36</v>
      </c>
      <c r="B83" s="48"/>
      <c r="C83" s="18">
        <v>4904095</v>
      </c>
      <c r="D83" s="18"/>
      <c r="E83" s="48"/>
      <c r="F83" s="18">
        <v>5394224.05</v>
      </c>
      <c r="H83" s="48"/>
      <c r="I83" s="18">
        <v>5463031.5</v>
      </c>
      <c r="J83" s="48"/>
      <c r="K83" s="18">
        <v>5864815.170000001</v>
      </c>
      <c r="L83" s="48"/>
      <c r="M83" s="18">
        <v>6646703.607177258</v>
      </c>
      <c r="N83" s="48"/>
    </row>
    <row r="84" spans="1:14" ht="12.75">
      <c r="A84" s="73"/>
      <c r="B84" s="48"/>
      <c r="C84" s="19">
        <v>0.5348814865574241</v>
      </c>
      <c r="D84" s="19"/>
      <c r="E84" s="19"/>
      <c r="F84" s="19">
        <v>-907973.7176400004</v>
      </c>
      <c r="H84" s="19"/>
      <c r="I84" s="19">
        <v>-1043329.5499999998</v>
      </c>
      <c r="J84" s="19"/>
      <c r="K84" s="19">
        <v>-1524664.014156755</v>
      </c>
      <c r="L84" s="19"/>
      <c r="M84" s="19">
        <v>-608294.1539837113</v>
      </c>
      <c r="N84" s="48"/>
    </row>
    <row r="85" spans="1:14" ht="12.75">
      <c r="A85" s="73"/>
      <c r="B85" s="48"/>
      <c r="C85" s="20"/>
      <c r="D85" s="20"/>
      <c r="E85" s="20"/>
      <c r="F85" s="20"/>
      <c r="H85" s="20"/>
      <c r="I85" s="20"/>
      <c r="J85" s="20"/>
      <c r="K85" s="20"/>
      <c r="L85" s="20"/>
      <c r="M85" s="20"/>
      <c r="N85" s="48"/>
    </row>
    <row r="86" spans="1:14" ht="12.75">
      <c r="A86" s="73"/>
      <c r="B86" s="48"/>
      <c r="C86" s="48"/>
      <c r="E86" s="48"/>
      <c r="F86" s="48"/>
      <c r="H86" s="48"/>
      <c r="I86" s="48"/>
      <c r="J86" s="48"/>
      <c r="K86" s="48"/>
      <c r="L86" s="48"/>
      <c r="M86" s="19">
        <v>5659947.4431935465</v>
      </c>
      <c r="N86" s="48"/>
    </row>
    <row r="87" spans="1:14" ht="13.5" thickBot="1">
      <c r="A87" s="73" t="s">
        <v>37</v>
      </c>
      <c r="B87" s="16"/>
      <c r="C87" s="74">
        <v>72437</v>
      </c>
      <c r="D87" s="74"/>
      <c r="E87" s="74">
        <v>44872</v>
      </c>
      <c r="F87" s="16">
        <v>4486250.332359999</v>
      </c>
      <c r="G87" s="67"/>
      <c r="H87" s="74">
        <v>-11404</v>
      </c>
      <c r="I87" s="74">
        <v>-4419701.95</v>
      </c>
      <c r="J87" s="74">
        <v>2107.010000000002</v>
      </c>
      <c r="K87" s="74">
        <v>-4340151.155843246</v>
      </c>
      <c r="L87" s="74">
        <v>0</v>
      </c>
      <c r="M87" s="74">
        <v>-378462.0099999998</v>
      </c>
      <c r="N87" s="74">
        <v>0</v>
      </c>
    </row>
    <row r="88" ht="13.5" thickTop="1"/>
  </sheetData>
  <sheetProtection/>
  <mergeCells count="4">
    <mergeCell ref="A1:A2"/>
    <mergeCell ref="B15:N15"/>
    <mergeCell ref="A60:A61"/>
    <mergeCell ref="B74:N74"/>
  </mergeCells>
  <printOptions horizontalCentered="1"/>
  <pageMargins left="0.7" right="0.7" top="0.75" bottom="0.75" header="0.3" footer="0.3"/>
  <pageSetup fitToHeight="1" fitToWidth="1" horizontalDpi="600" verticalDpi="600" orientation="portrait" scale="45" r:id="rId3"/>
  <headerFooter>
    <oddHeader>&amp;CSummary of Operating Revenue Table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60"/>
  <sheetViews>
    <sheetView zoomScalePageLayoutView="0" workbookViewId="0" topLeftCell="A39">
      <selection activeCell="I29" sqref="I29"/>
    </sheetView>
  </sheetViews>
  <sheetFormatPr defaultColWidth="40.00390625" defaultRowHeight="12.75"/>
  <cols>
    <col min="1" max="1" width="7.28125" style="1" customWidth="1"/>
    <col min="2" max="2" width="39.7109375" style="1" customWidth="1"/>
    <col min="3" max="3" width="10.28125" style="1" customWidth="1"/>
    <col min="4" max="4" width="10.421875" style="1" customWidth="1"/>
    <col min="5" max="5" width="10.00390625" style="1" bestFit="1" customWidth="1"/>
    <col min="6" max="6" width="10.28125" style="1" customWidth="1"/>
    <col min="7" max="7" width="10.8515625" style="1" customWidth="1"/>
    <col min="8" max="8" width="10.28125" style="1" customWidth="1"/>
    <col min="9" max="9" width="9.57421875" style="1" customWidth="1"/>
    <col min="10" max="10" width="10.28125" style="1" customWidth="1"/>
    <col min="11" max="11" width="10.421875" style="1" customWidth="1"/>
    <col min="12" max="12" width="9.8515625" style="1" customWidth="1"/>
    <col min="13" max="13" width="11.28125" style="1" customWidth="1"/>
    <col min="14" max="14" width="11.00390625" style="1" customWidth="1"/>
    <col min="15" max="16384" width="40.00390625" style="1" customWidth="1"/>
  </cols>
  <sheetData>
    <row r="1" ht="12.75"/>
    <row r="2" ht="12.75"/>
    <row r="3" ht="12.75"/>
    <row r="4" spans="2:13" ht="18.75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s="2" customFormat="1" ht="63.75" customHeight="1">
      <c r="B5" s="25" t="s">
        <v>1</v>
      </c>
      <c r="C5" s="26" t="s">
        <v>45</v>
      </c>
      <c r="D5" s="26" t="s">
        <v>2</v>
      </c>
      <c r="E5" s="26" t="s">
        <v>46</v>
      </c>
      <c r="F5" s="26" t="s">
        <v>38</v>
      </c>
      <c r="G5" s="26" t="s">
        <v>3</v>
      </c>
      <c r="H5" s="26" t="s">
        <v>44</v>
      </c>
      <c r="I5" s="26" t="s">
        <v>39</v>
      </c>
      <c r="J5" s="26" t="s">
        <v>43</v>
      </c>
      <c r="K5" s="26" t="s">
        <v>47</v>
      </c>
      <c r="L5" s="26" t="s">
        <v>41</v>
      </c>
      <c r="M5" s="26" t="s">
        <v>42</v>
      </c>
    </row>
    <row r="6" spans="2:13" ht="12.75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4" ht="12.75">
      <c r="B7" s="7" t="s">
        <v>5</v>
      </c>
      <c r="C7" s="24">
        <v>-12022</v>
      </c>
      <c r="D7" s="4">
        <f>+'[4]Trial Balance'!$D$225</f>
        <v>-13320</v>
      </c>
      <c r="E7" s="4">
        <f>D7-C7</f>
        <v>-1298</v>
      </c>
      <c r="F7" s="4">
        <f>'[4]Trial Balance'!$F$225</f>
        <v>-10013</v>
      </c>
      <c r="G7" s="4">
        <f>F7-D7</f>
        <v>3307</v>
      </c>
      <c r="H7" s="4">
        <f>'[4]Trial Balance'!$H$225</f>
        <v>-10178</v>
      </c>
      <c r="I7" s="4">
        <f aca="true" t="shared" si="0" ref="I7:I24">H7-F7</f>
        <v>-165</v>
      </c>
      <c r="J7" s="4">
        <f>'[4]Trial Balance'!$J$225</f>
        <v>-10015</v>
      </c>
      <c r="K7" s="4">
        <f aca="true" t="shared" si="1" ref="K7:M24">J7-H7</f>
        <v>163</v>
      </c>
      <c r="L7" s="4">
        <f>'[4]Trial Balance'!$L$225</f>
        <v>-9985</v>
      </c>
      <c r="M7" s="4">
        <f t="shared" si="1"/>
        <v>30</v>
      </c>
      <c r="N7" s="11"/>
    </row>
    <row r="8" spans="2:13" ht="12.75">
      <c r="B8" s="7" t="s">
        <v>6</v>
      </c>
      <c r="C8" s="24">
        <v>-347</v>
      </c>
      <c r="D8" s="4">
        <f>+'[4]Trial Balance'!$D$226</f>
        <v>-1380</v>
      </c>
      <c r="E8" s="4">
        <f aca="true" t="shared" si="2" ref="E8:E24">D8-C8</f>
        <v>-1033</v>
      </c>
      <c r="F8" s="4">
        <f>'[4]Trial Balance'!$F$226</f>
        <v>-4560</v>
      </c>
      <c r="G8" s="4">
        <f>F8-D8</f>
        <v>-3180</v>
      </c>
      <c r="H8" s="4">
        <f>'[4]Trial Balance'!$H$226</f>
        <v>-4774</v>
      </c>
      <c r="I8" s="4">
        <f t="shared" si="0"/>
        <v>-214</v>
      </c>
      <c r="J8" s="4">
        <f>'[4]Trial Balance'!$J$226</f>
        <v>-4560</v>
      </c>
      <c r="K8" s="4">
        <f t="shared" si="1"/>
        <v>214</v>
      </c>
      <c r="L8" s="4">
        <f>'[4]Trial Balance'!$L$226</f>
        <v>-4015</v>
      </c>
      <c r="M8" s="4">
        <f t="shared" si="1"/>
        <v>545</v>
      </c>
    </row>
    <row r="9" spans="2:13" ht="12.75">
      <c r="B9" s="7" t="s">
        <v>50</v>
      </c>
      <c r="C9" s="24">
        <v>-45600</v>
      </c>
      <c r="D9" s="4">
        <f>+'[4]Trial Balance'!$D$229</f>
        <v>-51600</v>
      </c>
      <c r="E9" s="4">
        <f t="shared" si="2"/>
        <v>-6000</v>
      </c>
      <c r="F9" s="4">
        <f>+'[4]Trial Balance'!$F$229</f>
        <v>-51600</v>
      </c>
      <c r="G9" s="4">
        <f>F9-D9</f>
        <v>0</v>
      </c>
      <c r="H9" s="4">
        <f>+'[4]Trial Balance'!$H$229</f>
        <v>-51600</v>
      </c>
      <c r="I9" s="4">
        <f t="shared" si="0"/>
        <v>0</v>
      </c>
      <c r="J9" s="4">
        <f>'[4]Trial Balance'!$J$229</f>
        <v>-51600</v>
      </c>
      <c r="K9" s="4">
        <f t="shared" si="1"/>
        <v>0</v>
      </c>
      <c r="L9" s="4">
        <f>'[4]Trial Balance'!$L$229</f>
        <v>-51600</v>
      </c>
      <c r="M9" s="4">
        <f t="shared" si="1"/>
        <v>0</v>
      </c>
    </row>
    <row r="10" spans="2:13" ht="12.75">
      <c r="B10" s="7" t="s">
        <v>7</v>
      </c>
      <c r="C10" s="24">
        <v>-56300</v>
      </c>
      <c r="D10" s="4">
        <f>'[4]Trial Balance'!$D$230</f>
        <v>-59777</v>
      </c>
      <c r="E10" s="4">
        <f t="shared" si="2"/>
        <v>-3477</v>
      </c>
      <c r="F10" s="4">
        <f>'[4]Trial Balance'!$F$230</f>
        <v>-65115</v>
      </c>
      <c r="G10" s="4">
        <f>F10-D10</f>
        <v>-5338</v>
      </c>
      <c r="H10" s="4">
        <f>'[4]Trial Balance'!$H$230</f>
        <v>-56697.01</v>
      </c>
      <c r="I10" s="4">
        <f t="shared" si="0"/>
        <v>8417.989999999998</v>
      </c>
      <c r="J10" s="4">
        <f>'[4]Trial Balance'!$J$230</f>
        <v>-56500</v>
      </c>
      <c r="K10" s="4">
        <f t="shared" si="1"/>
        <v>197.01000000000204</v>
      </c>
      <c r="L10" s="4">
        <f>'[4]Trial Balance'!$L$230</f>
        <v>-56400</v>
      </c>
      <c r="M10" s="4">
        <f t="shared" si="1"/>
        <v>100</v>
      </c>
    </row>
    <row r="11" spans="2:13" ht="12.75" hidden="1">
      <c r="B11" s="7" t="s">
        <v>49</v>
      </c>
      <c r="C11" s="2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2.75" hidden="1">
      <c r="B12" s="7" t="s">
        <v>40</v>
      </c>
      <c r="C12" s="24"/>
      <c r="D12" s="4"/>
      <c r="E12" s="4">
        <f t="shared" si="2"/>
        <v>0</v>
      </c>
      <c r="F12" s="4"/>
      <c r="G12" s="4">
        <f>F12-D12</f>
        <v>0</v>
      </c>
      <c r="H12" s="4"/>
      <c r="I12" s="4">
        <f t="shared" si="0"/>
        <v>0</v>
      </c>
      <c r="J12" s="4"/>
      <c r="K12" s="4">
        <f t="shared" si="1"/>
        <v>0</v>
      </c>
      <c r="L12" s="4"/>
      <c r="M12" s="4">
        <f t="shared" si="1"/>
        <v>0</v>
      </c>
    </row>
    <row r="13" spans="2:13" ht="12.75" hidden="1">
      <c r="B13" s="7" t="s">
        <v>8</v>
      </c>
      <c r="C13" s="24"/>
      <c r="D13" s="4">
        <f>'[4]Trial Balance'!$D$232</f>
        <v>0</v>
      </c>
      <c r="E13" s="4">
        <f t="shared" si="2"/>
        <v>0</v>
      </c>
      <c r="F13" s="4">
        <f>'[4]Trial Balance'!$F$232</f>
        <v>0</v>
      </c>
      <c r="G13" s="4"/>
      <c r="H13" s="4">
        <f>'[4]Trial Balance'!$H$232</f>
        <v>0</v>
      </c>
      <c r="I13" s="4"/>
      <c r="J13" s="4">
        <f>'[4]Trial Balance'!$J$232</f>
        <v>0</v>
      </c>
      <c r="K13" s="4"/>
      <c r="L13" s="4">
        <f>'[4]Trial Balance'!$L$232</f>
        <v>0</v>
      </c>
      <c r="M13" s="4"/>
    </row>
    <row r="14" spans="2:14" ht="12.75">
      <c r="B14" s="7" t="s">
        <v>9</v>
      </c>
      <c r="C14" s="24">
        <v>-27565</v>
      </c>
      <c r="D14" s="4">
        <f>'[4]Trial Balance'!$D$233</f>
        <v>-72437</v>
      </c>
      <c r="E14" s="4">
        <f t="shared" si="2"/>
        <v>-44872</v>
      </c>
      <c r="F14" s="4">
        <f>'[4]Trial Balance'!$F$233</f>
        <v>-61033</v>
      </c>
      <c r="G14" s="4">
        <f aca="true" t="shared" si="3" ref="G14:G24">F14-D14</f>
        <v>11404</v>
      </c>
      <c r="H14" s="4">
        <f>'[4]Trial Balance'!$H$233</f>
        <v>-63140.01</v>
      </c>
      <c r="I14" s="4">
        <f t="shared" si="0"/>
        <v>-2107.010000000002</v>
      </c>
      <c r="J14" s="4">
        <f>'[4]Trial Balance'!$J$233</f>
        <v>-63140.01</v>
      </c>
      <c r="K14" s="4">
        <f t="shared" si="1"/>
        <v>0</v>
      </c>
      <c r="L14" s="4">
        <f>'[4]Trial Balance'!$L$233</f>
        <v>-63140.01</v>
      </c>
      <c r="M14" s="4">
        <f t="shared" si="1"/>
        <v>0</v>
      </c>
      <c r="N14" s="11"/>
    </row>
    <row r="15" spans="2:14" ht="12.75">
      <c r="B15" s="7" t="s">
        <v>10</v>
      </c>
      <c r="C15" s="24">
        <v>-103267</v>
      </c>
      <c r="D15" s="4">
        <f>'[4]Trial Balance'!$D$235</f>
        <v>-133125</v>
      </c>
      <c r="E15" s="4">
        <f t="shared" si="2"/>
        <v>-29858</v>
      </c>
      <c r="F15" s="4">
        <f>'[4]Trial Balance'!$F$235</f>
        <v>-144453</v>
      </c>
      <c r="G15" s="4">
        <f t="shared" si="3"/>
        <v>-11328</v>
      </c>
      <c r="H15" s="4">
        <f>'[4]Trial Balance'!$H$235</f>
        <v>-127498.58</v>
      </c>
      <c r="I15" s="4">
        <f t="shared" si="0"/>
        <v>16954.42</v>
      </c>
      <c r="J15" s="4">
        <f>'[4]Trial Balance'!$J$235</f>
        <v>-127000</v>
      </c>
      <c r="K15" s="4">
        <f t="shared" si="1"/>
        <v>498.58000000000175</v>
      </c>
      <c r="L15" s="4">
        <f>'[4]Trial Balance'!$L$235</f>
        <v>-126500</v>
      </c>
      <c r="M15" s="4">
        <f t="shared" si="1"/>
        <v>500</v>
      </c>
      <c r="N15" s="11"/>
    </row>
    <row r="16" spans="2:13" ht="12.75" hidden="1">
      <c r="B16" s="7" t="s">
        <v>48</v>
      </c>
      <c r="C16" s="2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2.75" hidden="1">
      <c r="B17" s="7" t="s">
        <v>11</v>
      </c>
      <c r="C17" s="24"/>
      <c r="D17" s="4">
        <f>'[4]Trial Balance'!$D$249</f>
        <v>0</v>
      </c>
      <c r="E17" s="4">
        <f t="shared" si="2"/>
        <v>0</v>
      </c>
      <c r="F17" s="4">
        <f>'[4]Trial Balance'!$F$249</f>
        <v>0</v>
      </c>
      <c r="G17" s="4">
        <f t="shared" si="3"/>
        <v>0</v>
      </c>
      <c r="H17" s="4">
        <f>'[4]Trial Balance'!$H$249</f>
        <v>0</v>
      </c>
      <c r="I17" s="4">
        <f t="shared" si="0"/>
        <v>0</v>
      </c>
      <c r="J17" s="4">
        <f>'[4]Trial Balance'!$J$249</f>
        <v>0</v>
      </c>
      <c r="K17" s="4">
        <f t="shared" si="1"/>
        <v>0</v>
      </c>
      <c r="L17" s="4">
        <f>'[4]Trial Balance'!$L$249</f>
        <v>0</v>
      </c>
      <c r="M17" s="4">
        <f t="shared" si="1"/>
        <v>0</v>
      </c>
    </row>
    <row r="18" spans="2:13" ht="12.75">
      <c r="B18" s="7" t="s">
        <v>12</v>
      </c>
      <c r="C18" s="24"/>
      <c r="D18" s="4">
        <f>'[4]Trial Balance'!$D$250</f>
        <v>0</v>
      </c>
      <c r="E18" s="4">
        <f t="shared" si="2"/>
        <v>0</v>
      </c>
      <c r="F18" s="4">
        <f>'[4]Trial Balance'!$F$250</f>
        <v>-10178</v>
      </c>
      <c r="G18" s="4">
        <f t="shared" si="3"/>
        <v>-10178</v>
      </c>
      <c r="H18" s="4">
        <f>'[4]Trial Balance'!$H$250</f>
        <v>0</v>
      </c>
      <c r="I18" s="4">
        <f t="shared" si="0"/>
        <v>10178</v>
      </c>
      <c r="J18" s="4">
        <f>'[4]Trial Balance'!$J$250</f>
        <v>0</v>
      </c>
      <c r="K18" s="4">
        <f t="shared" si="1"/>
        <v>0</v>
      </c>
      <c r="L18" s="4">
        <f>'[4]Trial Balance'!$L$250</f>
        <v>0</v>
      </c>
      <c r="M18" s="4">
        <f t="shared" si="1"/>
        <v>0</v>
      </c>
    </row>
    <row r="19" spans="2:13" ht="12.75" hidden="1">
      <c r="B19" s="7" t="s">
        <v>13</v>
      </c>
      <c r="C19" s="24"/>
      <c r="D19" s="4">
        <f>'[4]Trial Balance'!$D$251</f>
        <v>0</v>
      </c>
      <c r="E19" s="4">
        <f t="shared" si="2"/>
        <v>0</v>
      </c>
      <c r="F19" s="4">
        <f>'[4]Trial Balance'!$F$251</f>
        <v>0</v>
      </c>
      <c r="G19" s="4">
        <f t="shared" si="3"/>
        <v>0</v>
      </c>
      <c r="H19" s="4">
        <f>'[4]Trial Balance'!$H$251</f>
        <v>0</v>
      </c>
      <c r="I19" s="4">
        <f t="shared" si="0"/>
        <v>0</v>
      </c>
      <c r="J19" s="4">
        <f>'[4]Trial Balance'!$J$251</f>
        <v>0</v>
      </c>
      <c r="K19" s="4">
        <f t="shared" si="1"/>
        <v>0</v>
      </c>
      <c r="L19" s="4">
        <f>'[4]Trial Balance'!$L$251</f>
        <v>0</v>
      </c>
      <c r="M19" s="4">
        <f t="shared" si="1"/>
        <v>0</v>
      </c>
    </row>
    <row r="20" spans="2:14" ht="12.75">
      <c r="B20" s="7" t="s">
        <v>14</v>
      </c>
      <c r="C20" s="24"/>
      <c r="D20" s="4">
        <f>'[4]Trial Balance'!$D$254</f>
        <v>-626554.27</v>
      </c>
      <c r="E20" s="4">
        <f t="shared" si="2"/>
        <v>-626554.27</v>
      </c>
      <c r="F20" s="4">
        <f>'[4]Trial Balance'!$F$254</f>
        <v>-36204.19</v>
      </c>
      <c r="G20" s="4">
        <f t="shared" si="3"/>
        <v>590350.0800000001</v>
      </c>
      <c r="H20" s="4">
        <f>'[4]Trial Balance'!$H$254</f>
        <v>-11991.28</v>
      </c>
      <c r="I20" s="4">
        <f t="shared" si="0"/>
        <v>24212.910000000003</v>
      </c>
      <c r="J20" s="4">
        <f>'[4]Trial Balance'!$J$254</f>
        <v>0</v>
      </c>
      <c r="K20" s="4">
        <f t="shared" si="1"/>
        <v>11991.28</v>
      </c>
      <c r="L20" s="4">
        <f>'[4]Trial Balance'!$L$254</f>
        <v>0</v>
      </c>
      <c r="M20" s="4">
        <f t="shared" si="1"/>
        <v>0</v>
      </c>
      <c r="N20" s="11"/>
    </row>
    <row r="21" spans="2:13" ht="12.75" hidden="1">
      <c r="B21" s="7" t="s">
        <v>15</v>
      </c>
      <c r="C21" s="24"/>
      <c r="D21" s="4">
        <f>'[4]Trial Balance'!$D$255</f>
        <v>0</v>
      </c>
      <c r="E21" s="4">
        <f t="shared" si="2"/>
        <v>0</v>
      </c>
      <c r="F21" s="4">
        <f>'[4]Trial Balance'!$F$255</f>
        <v>0</v>
      </c>
      <c r="G21" s="4">
        <f t="shared" si="3"/>
        <v>0</v>
      </c>
      <c r="H21" s="4">
        <f>'[4]Trial Balance'!$H$255</f>
        <v>0</v>
      </c>
      <c r="I21" s="4">
        <f t="shared" si="0"/>
        <v>0</v>
      </c>
      <c r="J21" s="4">
        <f>'[4]Trial Balance'!$J$255</f>
        <v>0</v>
      </c>
      <c r="K21" s="4">
        <f t="shared" si="1"/>
        <v>0</v>
      </c>
      <c r="L21" s="4">
        <f>'[4]Trial Balance'!$L$255</f>
        <v>0</v>
      </c>
      <c r="M21" s="4">
        <f t="shared" si="1"/>
        <v>0</v>
      </c>
    </row>
    <row r="22" spans="2:13" ht="12.75" hidden="1">
      <c r="B22" s="7" t="s">
        <v>16</v>
      </c>
      <c r="C22" s="24"/>
      <c r="D22" s="4">
        <f>'[4]Trial Balance'!$D$256</f>
        <v>0</v>
      </c>
      <c r="E22" s="4">
        <f t="shared" si="2"/>
        <v>0</v>
      </c>
      <c r="F22" s="4">
        <f>'[4]Trial Balance'!$F$256</f>
        <v>0</v>
      </c>
      <c r="G22" s="4">
        <f t="shared" si="3"/>
        <v>0</v>
      </c>
      <c r="H22" s="4">
        <f>'[4]Trial Balance'!$H$256</f>
        <v>0</v>
      </c>
      <c r="I22" s="4">
        <f t="shared" si="0"/>
        <v>0</v>
      </c>
      <c r="J22" s="4">
        <f>'[4]Trial Balance'!$J$256</f>
        <v>0</v>
      </c>
      <c r="K22" s="4">
        <f t="shared" si="1"/>
        <v>0</v>
      </c>
      <c r="L22" s="4">
        <f>'[4]Trial Balance'!$L$256</f>
        <v>0</v>
      </c>
      <c r="M22" s="4">
        <f t="shared" si="1"/>
        <v>0</v>
      </c>
    </row>
    <row r="23" spans="2:13" ht="12.75" hidden="1">
      <c r="B23" s="7" t="s">
        <v>17</v>
      </c>
      <c r="C23" s="24"/>
      <c r="D23" s="4">
        <f>'[4]Trial Balance'!$D$257</f>
        <v>0</v>
      </c>
      <c r="E23" s="4">
        <f t="shared" si="2"/>
        <v>0</v>
      </c>
      <c r="F23" s="4">
        <f>'[4]Trial Balance'!$F$257</f>
        <v>0</v>
      </c>
      <c r="G23" s="4">
        <f t="shared" si="3"/>
        <v>0</v>
      </c>
      <c r="H23" s="4">
        <f>'[4]Trial Balance'!$H$257</f>
        <v>0</v>
      </c>
      <c r="I23" s="4">
        <f t="shared" si="0"/>
        <v>0</v>
      </c>
      <c r="J23" s="4">
        <f>'[4]Trial Balance'!$J$257</f>
        <v>0</v>
      </c>
      <c r="K23" s="4">
        <f t="shared" si="1"/>
        <v>0</v>
      </c>
      <c r="L23" s="4">
        <f>'[4]Trial Balance'!$L$257</f>
        <v>0</v>
      </c>
      <c r="M23" s="4">
        <f t="shared" si="1"/>
        <v>0</v>
      </c>
    </row>
    <row r="24" spans="2:14" ht="12.75">
      <c r="B24" s="7" t="s">
        <v>18</v>
      </c>
      <c r="C24" s="24">
        <v>-55271</v>
      </c>
      <c r="D24" s="4">
        <f>'[4]Trial Balance'!$D$261</f>
        <v>-195113</v>
      </c>
      <c r="E24" s="4">
        <f t="shared" si="2"/>
        <v>-139842</v>
      </c>
      <c r="F24" s="4">
        <f>'[4]Trial Balance'!$F$261</f>
        <v>-61929</v>
      </c>
      <c r="G24" s="4">
        <f t="shared" si="3"/>
        <v>133184</v>
      </c>
      <c r="H24" s="4">
        <f>'[4]Trial Balance'!$H$261</f>
        <v>-48939.61</v>
      </c>
      <c r="I24" s="4">
        <f t="shared" si="0"/>
        <v>12989.39</v>
      </c>
      <c r="J24" s="4">
        <f>'[4]Trial Balance'!$J$261</f>
        <v>-28500</v>
      </c>
      <c r="K24" s="4">
        <f t="shared" si="1"/>
        <v>20439.61</v>
      </c>
      <c r="L24" s="4">
        <f>'[4]Trial Balance'!$L$261</f>
        <v>-28500</v>
      </c>
      <c r="M24" s="4">
        <f t="shared" si="1"/>
        <v>0</v>
      </c>
      <c r="N24" s="11"/>
    </row>
    <row r="25" spans="2:14" ht="12.75">
      <c r="B25" s="8" t="s">
        <v>19</v>
      </c>
      <c r="C25" s="9">
        <f aca="true" t="shared" si="4" ref="C25:M25">SUM(C7:C24)</f>
        <v>-300372</v>
      </c>
      <c r="D25" s="9">
        <f t="shared" si="4"/>
        <v>-1153306.27</v>
      </c>
      <c r="E25" s="9">
        <f t="shared" si="4"/>
        <v>-852934.27</v>
      </c>
      <c r="F25" s="9">
        <f t="shared" si="4"/>
        <v>-445085.19</v>
      </c>
      <c r="G25" s="9">
        <f t="shared" si="4"/>
        <v>708221.0800000001</v>
      </c>
      <c r="H25" s="9">
        <f t="shared" si="4"/>
        <v>-374818.49000000005</v>
      </c>
      <c r="I25" s="9">
        <f t="shared" si="4"/>
        <v>70266.7</v>
      </c>
      <c r="J25" s="9">
        <f t="shared" si="4"/>
        <v>-341315.01</v>
      </c>
      <c r="K25" s="9">
        <f t="shared" si="4"/>
        <v>33503.48</v>
      </c>
      <c r="L25" s="9">
        <f t="shared" si="4"/>
        <v>-340140.01</v>
      </c>
      <c r="M25" s="9">
        <f t="shared" si="4"/>
        <v>1175</v>
      </c>
      <c r="N25" s="11"/>
    </row>
    <row r="26" spans="1:13" ht="12.75">
      <c r="A26" s="4"/>
      <c r="B26" s="7" t="s">
        <v>20</v>
      </c>
      <c r="C26" s="24">
        <v>-35192</v>
      </c>
      <c r="D26" s="4">
        <v>-32791.3</v>
      </c>
      <c r="E26" s="4">
        <f>D26-C26</f>
        <v>2400.699999999997</v>
      </c>
      <c r="F26" s="4">
        <v>-33278.91</v>
      </c>
      <c r="G26" s="4">
        <f>F26-D26</f>
        <v>-487.6100000000006</v>
      </c>
      <c r="H26" s="4">
        <v>-34024.12</v>
      </c>
      <c r="I26" s="4">
        <f>H26-F26</f>
        <v>-745.2099999999991</v>
      </c>
      <c r="J26" s="4">
        <f>-'[5]Rate Class Customer Model'!$I$13*0.25*12</f>
        <v>-37731.097554027154</v>
      </c>
      <c r="K26" s="4">
        <f>J26-H26</f>
        <v>-3706.977554027151</v>
      </c>
      <c r="L26" s="4">
        <f>'[4]Revenue Requirement'!$F$15</f>
        <v>-38322</v>
      </c>
      <c r="M26" s="4">
        <f>L26-J26</f>
        <v>-590.9024459728462</v>
      </c>
    </row>
    <row r="27" spans="2:13" ht="12.75">
      <c r="B27" s="8" t="s">
        <v>21</v>
      </c>
      <c r="C27" s="9">
        <f>SUM(C25:C26)</f>
        <v>-335564</v>
      </c>
      <c r="D27" s="9">
        <f aca="true" t="shared" si="5" ref="D27:K27">SUM(D25:D26)</f>
        <v>-1186097.57</v>
      </c>
      <c r="E27" s="9">
        <f t="shared" si="5"/>
        <v>-850533.5700000001</v>
      </c>
      <c r="F27" s="9">
        <f t="shared" si="5"/>
        <v>-478364.1</v>
      </c>
      <c r="G27" s="9">
        <f t="shared" si="5"/>
        <v>707733.4700000001</v>
      </c>
      <c r="H27" s="9">
        <f t="shared" si="5"/>
        <v>-408842.61000000004</v>
      </c>
      <c r="I27" s="9">
        <f t="shared" si="5"/>
        <v>69521.48999999999</v>
      </c>
      <c r="J27" s="9">
        <f>SUM(J25:J26)</f>
        <v>-379046.10755402717</v>
      </c>
      <c r="K27" s="9">
        <f t="shared" si="5"/>
        <v>29796.502445972852</v>
      </c>
      <c r="L27" s="9">
        <f>SUM(L25:L26)</f>
        <v>-378462.01</v>
      </c>
      <c r="M27" s="9">
        <f>SUM(M25:M26)</f>
        <v>584.0975540271538</v>
      </c>
    </row>
    <row r="28" spans="4:7" ht="12.75">
      <c r="D28" s="3"/>
      <c r="E28" s="3"/>
      <c r="F28" s="3"/>
      <c r="G28" s="3"/>
    </row>
    <row r="29" spans="2:13" ht="12.75">
      <c r="B29" s="7" t="s">
        <v>22</v>
      </c>
      <c r="C29" s="4">
        <f aca="true" t="shared" si="6" ref="C29:M29">C15</f>
        <v>-103267</v>
      </c>
      <c r="D29" s="4">
        <f t="shared" si="6"/>
        <v>-133125</v>
      </c>
      <c r="E29" s="4">
        <f t="shared" si="6"/>
        <v>-29858</v>
      </c>
      <c r="F29" s="4">
        <f t="shared" si="6"/>
        <v>-144453</v>
      </c>
      <c r="G29" s="4">
        <f t="shared" si="6"/>
        <v>-11328</v>
      </c>
      <c r="H29" s="4">
        <f t="shared" si="6"/>
        <v>-127498.58</v>
      </c>
      <c r="I29" s="4">
        <f t="shared" si="6"/>
        <v>16954.42</v>
      </c>
      <c r="J29" s="4">
        <f t="shared" si="6"/>
        <v>-127000</v>
      </c>
      <c r="K29" s="4">
        <f t="shared" si="6"/>
        <v>498.58000000000175</v>
      </c>
      <c r="L29" s="4">
        <f t="shared" si="6"/>
        <v>-126500</v>
      </c>
      <c r="M29" s="4">
        <f t="shared" si="6"/>
        <v>500</v>
      </c>
    </row>
    <row r="30" spans="2:13" ht="12.75">
      <c r="B30" s="7" t="s">
        <v>23</v>
      </c>
      <c r="C30" s="4">
        <f aca="true" t="shared" si="7" ref="C30:M30">C14</f>
        <v>-27565</v>
      </c>
      <c r="D30" s="4">
        <f t="shared" si="7"/>
        <v>-72437</v>
      </c>
      <c r="E30" s="4">
        <f t="shared" si="7"/>
        <v>-44872</v>
      </c>
      <c r="F30" s="4">
        <f t="shared" si="7"/>
        <v>-61033</v>
      </c>
      <c r="G30" s="4">
        <f t="shared" si="7"/>
        <v>11404</v>
      </c>
      <c r="H30" s="4">
        <f t="shared" si="7"/>
        <v>-63140.01</v>
      </c>
      <c r="I30" s="4">
        <f t="shared" si="7"/>
        <v>-2107.010000000002</v>
      </c>
      <c r="J30" s="4">
        <f t="shared" si="7"/>
        <v>-63140.01</v>
      </c>
      <c r="K30" s="4">
        <f t="shared" si="7"/>
        <v>0</v>
      </c>
      <c r="L30" s="4">
        <f t="shared" si="7"/>
        <v>-63140.01</v>
      </c>
      <c r="M30" s="4">
        <f t="shared" si="7"/>
        <v>0</v>
      </c>
    </row>
    <row r="31" spans="2:13" ht="12.75">
      <c r="B31" s="7" t="s">
        <v>24</v>
      </c>
      <c r="C31" s="4">
        <f>C7+C8+C12+C10+C26+C11+C16+C9</f>
        <v>-149461</v>
      </c>
      <c r="D31" s="4">
        <f aca="true" t="shared" si="8" ref="D31:M31">D7+D8+D12+D10+D26+D11+D16+D9</f>
        <v>-158868.3</v>
      </c>
      <c r="E31" s="4">
        <f t="shared" si="8"/>
        <v>-9407.300000000003</v>
      </c>
      <c r="F31" s="4">
        <f t="shared" si="8"/>
        <v>-164566.91</v>
      </c>
      <c r="G31" s="4">
        <f t="shared" si="8"/>
        <v>-5698.610000000001</v>
      </c>
      <c r="H31" s="4">
        <f t="shared" si="8"/>
        <v>-157273.13</v>
      </c>
      <c r="I31" s="4">
        <f t="shared" si="8"/>
        <v>7293.779999999999</v>
      </c>
      <c r="J31" s="4">
        <f t="shared" si="8"/>
        <v>-160406.09755402716</v>
      </c>
      <c r="K31" s="4">
        <f t="shared" si="8"/>
        <v>-3132.967554027149</v>
      </c>
      <c r="L31" s="4">
        <f t="shared" si="8"/>
        <v>-160322</v>
      </c>
      <c r="M31" s="4">
        <f t="shared" si="8"/>
        <v>84.09755402715382</v>
      </c>
    </row>
    <row r="32" spans="2:13" ht="12.75">
      <c r="B32" s="7" t="s">
        <v>25</v>
      </c>
      <c r="C32" s="4">
        <f>C23+C24</f>
        <v>-55271</v>
      </c>
      <c r="D32" s="4">
        <f>D23+D24+D20</f>
        <v>-821667.27</v>
      </c>
      <c r="E32" s="4">
        <f aca="true" t="shared" si="9" ref="E32:M32">E23+E24+E20</f>
        <v>-766396.27</v>
      </c>
      <c r="F32" s="4">
        <f t="shared" si="9"/>
        <v>-98133.19</v>
      </c>
      <c r="G32" s="4">
        <f t="shared" si="9"/>
        <v>723534.0800000001</v>
      </c>
      <c r="H32" s="4">
        <f t="shared" si="9"/>
        <v>-60930.89</v>
      </c>
      <c r="I32" s="4">
        <f t="shared" si="9"/>
        <v>37202.3</v>
      </c>
      <c r="J32" s="4">
        <f t="shared" si="9"/>
        <v>-28500</v>
      </c>
      <c r="K32" s="4">
        <f t="shared" si="9"/>
        <v>32430.89</v>
      </c>
      <c r="L32" s="4">
        <f t="shared" si="9"/>
        <v>-28500</v>
      </c>
      <c r="M32" s="4">
        <f t="shared" si="9"/>
        <v>0</v>
      </c>
    </row>
    <row r="33" spans="2:13" ht="12.75">
      <c r="B33" s="8" t="s">
        <v>21</v>
      </c>
      <c r="C33" s="9">
        <f>SUM(C29:C32)</f>
        <v>-335564</v>
      </c>
      <c r="D33" s="9">
        <f>SUM(D29:D32)</f>
        <v>-1186097.57</v>
      </c>
      <c r="E33" s="4">
        <f>D33-C33</f>
        <v>-850533.5700000001</v>
      </c>
      <c r="F33" s="9">
        <f>SUM(F29:F32)</f>
        <v>-468186.10000000003</v>
      </c>
      <c r="G33" s="10">
        <f>F33-D33</f>
        <v>717911.47</v>
      </c>
      <c r="H33" s="9">
        <f>SUM(H29:H32)</f>
        <v>-408842.61</v>
      </c>
      <c r="I33" s="10">
        <f>H33-F33</f>
        <v>59343.49000000005</v>
      </c>
      <c r="J33" s="9">
        <f>SUM(J29:J32)</f>
        <v>-379046.10755402717</v>
      </c>
      <c r="K33" s="10">
        <f>J33-H33</f>
        <v>29796.502445972816</v>
      </c>
      <c r="L33" s="9">
        <f>SUM(L29:L32)</f>
        <v>-378462.01</v>
      </c>
      <c r="M33" s="10">
        <f>L33-J33</f>
        <v>584.0975540271611</v>
      </c>
    </row>
    <row r="36" spans="2:13" ht="12.75">
      <c r="B36" s="1" t="s">
        <v>62</v>
      </c>
      <c r="C36" s="1">
        <v>-1</v>
      </c>
      <c r="D36" s="3">
        <f>+(D33-D20)*$C$36</f>
        <v>559543.3</v>
      </c>
      <c r="E36" s="3">
        <f aca="true" t="shared" si="10" ref="E36:M36">+(E33-E20)*$C$36</f>
        <v>223979.30000000005</v>
      </c>
      <c r="F36" s="3">
        <f t="shared" si="10"/>
        <v>431981.91000000003</v>
      </c>
      <c r="G36" s="3">
        <f t="shared" si="10"/>
        <v>-127561.3899999999</v>
      </c>
      <c r="H36" s="3">
        <f t="shared" si="10"/>
        <v>396851.32999999996</v>
      </c>
      <c r="I36" s="3">
        <f t="shared" si="10"/>
        <v>-35130.580000000045</v>
      </c>
      <c r="J36" s="3">
        <f t="shared" si="10"/>
        <v>379046.10755402717</v>
      </c>
      <c r="K36" s="3">
        <f t="shared" si="10"/>
        <v>-17805.222445972817</v>
      </c>
      <c r="L36" s="3">
        <f t="shared" si="10"/>
        <v>378462.01</v>
      </c>
      <c r="M36" s="3">
        <f t="shared" si="10"/>
        <v>-584.0975540271611</v>
      </c>
    </row>
    <row r="38" spans="2:4" ht="12.75">
      <c r="B38" s="1" t="s">
        <v>63</v>
      </c>
      <c r="D38" s="3">
        <f>+D36+C33</f>
        <v>223979.30000000005</v>
      </c>
    </row>
    <row r="49" spans="2:4" ht="12.75">
      <c r="B49" s="31" t="s">
        <v>53</v>
      </c>
      <c r="C49" s="32"/>
      <c r="D49" s="31" t="s">
        <v>54</v>
      </c>
    </row>
    <row r="50" spans="2:5" ht="12.75">
      <c r="B50" s="98" t="s">
        <v>55</v>
      </c>
      <c r="C50" s="98"/>
      <c r="D50" s="35">
        <v>4235</v>
      </c>
      <c r="E50" t="s">
        <v>61</v>
      </c>
    </row>
    <row r="51" spans="2:5" ht="12.75">
      <c r="B51" s="98" t="s">
        <v>56</v>
      </c>
      <c r="C51" s="98"/>
      <c r="D51" s="35">
        <v>4225</v>
      </c>
      <c r="E51" t="s">
        <v>61</v>
      </c>
    </row>
    <row r="52" spans="2:8" ht="12.75">
      <c r="B52" s="98" t="s">
        <v>57</v>
      </c>
      <c r="C52" s="98"/>
      <c r="D52" s="98" t="s">
        <v>58</v>
      </c>
      <c r="E52" s="98"/>
      <c r="F52" s="98"/>
      <c r="G52" s="98"/>
      <c r="H52" s="98"/>
    </row>
    <row r="53" spans="2:8" ht="12.75">
      <c r="B53" s="98" t="s">
        <v>59</v>
      </c>
      <c r="C53" s="98"/>
      <c r="D53" s="99" t="s">
        <v>60</v>
      </c>
      <c r="E53" s="99"/>
      <c r="F53" s="99"/>
      <c r="G53" s="99"/>
      <c r="H53" s="99"/>
    </row>
    <row r="54" spans="4:8" ht="12.75">
      <c r="D54" s="99"/>
      <c r="E54" s="99"/>
      <c r="F54" s="99"/>
      <c r="G54" s="99"/>
      <c r="H54" s="99"/>
    </row>
    <row r="59" ht="12.75">
      <c r="B59" s="1" t="s">
        <v>64</v>
      </c>
    </row>
    <row r="60" ht="12.75">
      <c r="B60" s="1" t="s">
        <v>65</v>
      </c>
    </row>
  </sheetData>
  <sheetProtection/>
  <mergeCells count="7">
    <mergeCell ref="B53:C53"/>
    <mergeCell ref="D53:H54"/>
    <mergeCell ref="B4:M4"/>
    <mergeCell ref="B50:C50"/>
    <mergeCell ref="B51:C51"/>
    <mergeCell ref="B52:C52"/>
    <mergeCell ref="D52:H52"/>
  </mergeCells>
  <conditionalFormatting sqref="E7:E33">
    <cfRule type="cellIs" priority="10" dxfId="9" operator="lessThan">
      <formula>-10000</formula>
    </cfRule>
    <cfRule type="cellIs" priority="11" dxfId="0" operator="greaterThan">
      <formula>10000</formula>
    </cfRule>
  </conditionalFormatting>
  <conditionalFormatting sqref="G7:G33">
    <cfRule type="cellIs" priority="8" dxfId="1" operator="lessThan">
      <formula>-10000</formula>
    </cfRule>
    <cfRule type="cellIs" priority="9" dxfId="0" operator="greaterThan">
      <formula>10000</formula>
    </cfRule>
  </conditionalFormatting>
  <conditionalFormatting sqref="I7:I33">
    <cfRule type="cellIs" priority="5" dxfId="1" operator="lessThan">
      <formula>-10000</formula>
    </cfRule>
    <cfRule type="cellIs" priority="6" dxfId="1" operator="lessThan">
      <formula>-10000</formula>
    </cfRule>
    <cfRule type="cellIs" priority="7" dxfId="0" operator="greaterThan">
      <formula>10000</formula>
    </cfRule>
  </conditionalFormatting>
  <conditionalFormatting sqref="K7:K33">
    <cfRule type="cellIs" priority="3" dxfId="1" operator="lessThan">
      <formula>-10000</formula>
    </cfRule>
    <cfRule type="cellIs" priority="4" dxfId="0" operator="greaterThan">
      <formula>10000</formula>
    </cfRule>
  </conditionalFormatting>
  <conditionalFormatting sqref="M7:M33">
    <cfRule type="cellIs" priority="1" dxfId="0" operator="greaterThan">
      <formula>10000</formula>
    </cfRule>
    <cfRule type="cellIs" priority="2" dxfId="1" operator="lessThan">
      <formula>-10000</formula>
    </cfRule>
  </conditionalFormatting>
  <printOptions/>
  <pageMargins left="0.7" right="0.7" top="0.75" bottom="0.75" header="0.3" footer="0.3"/>
  <pageSetup fitToHeight="1" fitToWidth="1" horizontalDpi="600" verticalDpi="600" orientation="landscape" scale="7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30" sqref="A30:IV32"/>
    </sheetView>
  </sheetViews>
  <sheetFormatPr defaultColWidth="9.140625" defaultRowHeight="12.75"/>
  <cols>
    <col min="1" max="1" width="47.7109375" style="36" customWidth="1"/>
    <col min="2" max="2" width="10.421875" style="42" bestFit="1" customWidth="1"/>
  </cols>
  <sheetData>
    <row r="1" ht="12.75">
      <c r="A1" s="43" t="s">
        <v>69</v>
      </c>
    </row>
    <row r="2" spans="1:2" ht="12.75">
      <c r="A2" s="36" t="s">
        <v>71</v>
      </c>
      <c r="B2" s="42">
        <v>15</v>
      </c>
    </row>
    <row r="3" spans="1:2" ht="12.75">
      <c r="A3" s="36" t="s">
        <v>72</v>
      </c>
      <c r="B3" s="42">
        <v>15</v>
      </c>
    </row>
    <row r="4" spans="1:2" ht="12.75">
      <c r="A4" s="36" t="s">
        <v>73</v>
      </c>
      <c r="B4" s="42">
        <v>15</v>
      </c>
    </row>
    <row r="5" spans="1:2" ht="12.75">
      <c r="A5" s="36" t="s">
        <v>74</v>
      </c>
      <c r="B5" s="42">
        <v>15</v>
      </c>
    </row>
    <row r="6" spans="1:2" ht="12.75">
      <c r="A6" s="36" t="s">
        <v>75</v>
      </c>
      <c r="B6" s="42">
        <v>15</v>
      </c>
    </row>
    <row r="7" spans="1:2" ht="12.75">
      <c r="A7" s="36" t="s">
        <v>76</v>
      </c>
      <c r="B7" s="42">
        <v>15</v>
      </c>
    </row>
    <row r="8" spans="1:2" ht="25.5">
      <c r="A8" s="36" t="s">
        <v>77</v>
      </c>
      <c r="B8" s="42">
        <v>15</v>
      </c>
    </row>
    <row r="9" spans="1:2" ht="12.75">
      <c r="A9" s="36" t="s">
        <v>78</v>
      </c>
      <c r="B9" s="42">
        <v>15</v>
      </c>
    </row>
    <row r="10" spans="1:2" ht="12.75">
      <c r="A10" s="36" t="s">
        <v>79</v>
      </c>
      <c r="B10" s="42">
        <v>15</v>
      </c>
    </row>
    <row r="11" spans="1:2" ht="25.5">
      <c r="A11" s="36" t="s">
        <v>80</v>
      </c>
      <c r="B11" s="42">
        <v>30</v>
      </c>
    </row>
    <row r="12" spans="1:2" ht="12.75">
      <c r="A12" s="36" t="s">
        <v>81</v>
      </c>
      <c r="B12" s="42">
        <v>30</v>
      </c>
    </row>
    <row r="13" spans="1:2" ht="25.5">
      <c r="A13" s="36" t="s">
        <v>82</v>
      </c>
      <c r="B13" s="42">
        <v>30</v>
      </c>
    </row>
    <row r="14" ht="12.75">
      <c r="A14" s="43" t="s">
        <v>70</v>
      </c>
    </row>
    <row r="15" spans="1:2" ht="12.75">
      <c r="A15" s="36" t="s">
        <v>83</v>
      </c>
      <c r="B15" s="42">
        <v>30</v>
      </c>
    </row>
    <row r="16" spans="1:2" ht="25.5">
      <c r="A16" s="36" t="s">
        <v>84</v>
      </c>
      <c r="B16" s="42">
        <v>165</v>
      </c>
    </row>
    <row r="17" spans="1:2" ht="12.75">
      <c r="A17" s="36" t="s">
        <v>85</v>
      </c>
      <c r="B17" s="42">
        <v>65</v>
      </c>
    </row>
    <row r="18" spans="1:2" ht="12.75">
      <c r="A18" s="36" t="s">
        <v>86</v>
      </c>
      <c r="B18" s="42">
        <v>185</v>
      </c>
    </row>
    <row r="19" spans="1:2" ht="12.75">
      <c r="A19" s="36" t="s">
        <v>87</v>
      </c>
      <c r="B19" s="42">
        <v>185</v>
      </c>
    </row>
    <row r="20" spans="1:2" ht="12.75">
      <c r="A20" s="36" t="s">
        <v>88</v>
      </c>
      <c r="B20" s="42">
        <v>415</v>
      </c>
    </row>
    <row r="21" spans="1:2" ht="25.5">
      <c r="A21" s="36" t="s">
        <v>89</v>
      </c>
      <c r="B21" s="42">
        <v>65</v>
      </c>
    </row>
    <row r="22" spans="1:2" ht="12.75">
      <c r="A22" s="36" t="s">
        <v>90</v>
      </c>
      <c r="B22" s="42">
        <v>185</v>
      </c>
    </row>
    <row r="23" spans="1:2" ht="12.75">
      <c r="A23" s="36" t="s">
        <v>91</v>
      </c>
      <c r="B23" s="42">
        <v>30</v>
      </c>
    </row>
    <row r="24" spans="1:2" ht="12.75">
      <c r="A24" s="36" t="s">
        <v>92</v>
      </c>
      <c r="B24" s="42">
        <v>165</v>
      </c>
    </row>
    <row r="25" spans="1:2" ht="25.5">
      <c r="A25" s="36" t="s">
        <v>93</v>
      </c>
      <c r="B25" s="42">
        <v>500</v>
      </c>
    </row>
    <row r="26" spans="1:2" ht="25.5">
      <c r="A26" s="36" t="s">
        <v>94</v>
      </c>
      <c r="B26" s="42">
        <v>300</v>
      </c>
    </row>
    <row r="27" spans="1:2" ht="25.5">
      <c r="A27" s="36" t="s">
        <v>95</v>
      </c>
      <c r="B27" s="42">
        <v>1000</v>
      </c>
    </row>
    <row r="28" spans="1:2" ht="25.5">
      <c r="A28" s="36" t="s">
        <v>96</v>
      </c>
      <c r="B28" s="42">
        <v>22.35</v>
      </c>
    </row>
    <row r="29" spans="1:2" ht="12.75">
      <c r="A29" s="36" t="s">
        <v>97</v>
      </c>
      <c r="B29" s="42">
        <v>110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5.57421875" style="0" customWidth="1"/>
    <col min="2" max="2" width="11.8515625" style="0" customWidth="1"/>
  </cols>
  <sheetData>
    <row r="1" spans="1:2" ht="12.75">
      <c r="A1" s="43" t="s">
        <v>69</v>
      </c>
      <c r="B1" s="42"/>
    </row>
    <row r="2" spans="1:3" ht="12.75">
      <c r="A2" s="36" t="s">
        <v>71</v>
      </c>
      <c r="B2" s="42">
        <v>15</v>
      </c>
      <c r="C2">
        <v>4235</v>
      </c>
    </row>
    <row r="3" spans="1:3" ht="12.75">
      <c r="A3" s="44" t="s">
        <v>72</v>
      </c>
      <c r="B3" s="45">
        <v>15</v>
      </c>
      <c r="C3">
        <v>4235</v>
      </c>
    </row>
    <row r="4" spans="1:3" ht="12.75">
      <c r="A4" s="36" t="s">
        <v>73</v>
      </c>
      <c r="B4" s="42">
        <v>15</v>
      </c>
      <c r="C4">
        <v>4235</v>
      </c>
    </row>
    <row r="5" spans="1:3" ht="12.75">
      <c r="A5" s="36" t="s">
        <v>74</v>
      </c>
      <c r="B5" s="42">
        <v>15</v>
      </c>
      <c r="C5">
        <v>4235</v>
      </c>
    </row>
    <row r="6" spans="1:3" ht="12.75">
      <c r="A6" s="36" t="s">
        <v>75</v>
      </c>
      <c r="B6" s="42">
        <v>15</v>
      </c>
      <c r="C6">
        <v>4235</v>
      </c>
    </row>
    <row r="7" spans="1:3" ht="12.75">
      <c r="A7" s="36" t="s">
        <v>76</v>
      </c>
      <c r="B7" s="42">
        <v>15</v>
      </c>
      <c r="C7">
        <v>4235</v>
      </c>
    </row>
    <row r="8" spans="1:3" ht="25.5">
      <c r="A8" s="36" t="s">
        <v>77</v>
      </c>
      <c r="B8" s="42">
        <v>15</v>
      </c>
      <c r="C8">
        <v>4235</v>
      </c>
    </row>
    <row r="9" spans="1:3" ht="12.75">
      <c r="A9" s="44" t="s">
        <v>78</v>
      </c>
      <c r="B9" s="45">
        <v>15</v>
      </c>
      <c r="C9">
        <v>4235</v>
      </c>
    </row>
    <row r="10" spans="1:3" ht="12.75">
      <c r="A10" s="44" t="s">
        <v>79</v>
      </c>
      <c r="B10" s="45">
        <v>15</v>
      </c>
      <c r="C10">
        <v>4235</v>
      </c>
    </row>
    <row r="11" spans="1:3" ht="25.5">
      <c r="A11" s="44" t="s">
        <v>80</v>
      </c>
      <c r="B11" s="45">
        <v>30</v>
      </c>
      <c r="C11">
        <v>4235</v>
      </c>
    </row>
    <row r="12" spans="1:3" ht="12.75">
      <c r="A12" s="44" t="s">
        <v>81</v>
      </c>
      <c r="B12" s="45">
        <v>30</v>
      </c>
      <c r="C12">
        <v>4235</v>
      </c>
    </row>
    <row r="13" spans="1:3" ht="25.5">
      <c r="A13" s="36" t="s">
        <v>82</v>
      </c>
      <c r="B13" s="42">
        <v>30</v>
      </c>
      <c r="C13">
        <v>4235</v>
      </c>
    </row>
    <row r="14" spans="1:2" ht="12.75">
      <c r="A14" s="43" t="s">
        <v>70</v>
      </c>
      <c r="B14" s="42"/>
    </row>
    <row r="15" spans="1:3" ht="12.75">
      <c r="A15" s="44" t="s">
        <v>83</v>
      </c>
      <c r="B15" s="45">
        <v>30</v>
      </c>
      <c r="C15">
        <v>4235</v>
      </c>
    </row>
    <row r="16" spans="1:2" ht="25.5">
      <c r="A16" s="36" t="s">
        <v>84</v>
      </c>
      <c r="B16" s="42">
        <v>165</v>
      </c>
    </row>
    <row r="17" spans="1:3" ht="25.5">
      <c r="A17" s="44" t="s">
        <v>85</v>
      </c>
      <c r="B17" s="45">
        <v>65</v>
      </c>
      <c r="C17">
        <v>4235</v>
      </c>
    </row>
    <row r="18" spans="1:3" ht="12.75">
      <c r="A18" s="44" t="s">
        <v>86</v>
      </c>
      <c r="B18" s="45">
        <v>185</v>
      </c>
      <c r="C18">
        <v>4235</v>
      </c>
    </row>
    <row r="19" spans="1:3" ht="12.75">
      <c r="A19" s="44" t="s">
        <v>87</v>
      </c>
      <c r="B19" s="45">
        <v>185</v>
      </c>
      <c r="C19">
        <v>4235</v>
      </c>
    </row>
    <row r="20" spans="1:3" ht="12.75">
      <c r="A20" s="44" t="s">
        <v>88</v>
      </c>
      <c r="B20" s="45">
        <v>415</v>
      </c>
      <c r="C20">
        <v>4235</v>
      </c>
    </row>
    <row r="21" spans="1:3" ht="25.5">
      <c r="A21" s="44" t="s">
        <v>89</v>
      </c>
      <c r="B21" s="45">
        <v>65</v>
      </c>
      <c r="C21">
        <v>4235</v>
      </c>
    </row>
    <row r="22" spans="1:3" ht="25.5">
      <c r="A22" s="44" t="s">
        <v>90</v>
      </c>
      <c r="B22" s="45">
        <v>185</v>
      </c>
      <c r="C22">
        <v>4235</v>
      </c>
    </row>
    <row r="23" spans="1:2" ht="12.75">
      <c r="A23" s="36" t="s">
        <v>91</v>
      </c>
      <c r="B23" s="42">
        <v>30</v>
      </c>
    </row>
    <row r="24" spans="1:2" ht="12.75">
      <c r="A24" s="36" t="s">
        <v>92</v>
      </c>
      <c r="B24" s="42">
        <v>165</v>
      </c>
    </row>
    <row r="25" spans="1:2" ht="25.5">
      <c r="A25" s="36" t="s">
        <v>93</v>
      </c>
      <c r="B25" s="42">
        <v>500</v>
      </c>
    </row>
    <row r="26" spans="1:2" ht="25.5">
      <c r="A26" s="36" t="s">
        <v>94</v>
      </c>
      <c r="B26" s="42">
        <v>300</v>
      </c>
    </row>
    <row r="27" spans="1:2" ht="25.5">
      <c r="A27" s="36" t="s">
        <v>95</v>
      </c>
      <c r="B27" s="42">
        <v>1000</v>
      </c>
    </row>
    <row r="28" spans="1:3" ht="25.5">
      <c r="A28" s="36" t="s">
        <v>96</v>
      </c>
      <c r="B28" s="42">
        <v>22.35</v>
      </c>
      <c r="C28">
        <v>4235</v>
      </c>
    </row>
    <row r="29" spans="1:2" ht="25.5">
      <c r="A29" s="36" t="s">
        <v>97</v>
      </c>
      <c r="B29" s="42">
        <v>110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tabSelected="1" zoomScalePageLayoutView="0" workbookViewId="0" topLeftCell="B1">
      <selection activeCell="O15" sqref="O15"/>
    </sheetView>
  </sheetViews>
  <sheetFormatPr defaultColWidth="40.00390625" defaultRowHeight="12.75"/>
  <cols>
    <col min="1" max="1" width="7.28125" style="1" customWidth="1"/>
    <col min="2" max="2" width="39.7109375" style="1" customWidth="1"/>
    <col min="3" max="3" width="10.28125" style="1" customWidth="1"/>
    <col min="4" max="4" width="10.421875" style="1" customWidth="1"/>
    <col min="5" max="5" width="10.00390625" style="1" bestFit="1" customWidth="1"/>
    <col min="6" max="6" width="10.28125" style="1" customWidth="1"/>
    <col min="7" max="7" width="10.8515625" style="1" customWidth="1"/>
    <col min="8" max="8" width="10.28125" style="1" customWidth="1"/>
    <col min="9" max="9" width="9.57421875" style="1" customWidth="1"/>
    <col min="10" max="10" width="10.28125" style="1" customWidth="1"/>
    <col min="11" max="11" width="10.421875" style="1" customWidth="1"/>
    <col min="12" max="12" width="9.8515625" style="1" customWidth="1"/>
    <col min="13" max="13" width="11.28125" style="1" customWidth="1"/>
    <col min="14" max="14" width="11.00390625" style="1" customWidth="1"/>
    <col min="15" max="16384" width="40.00390625" style="1" customWidth="1"/>
  </cols>
  <sheetData>
    <row r="1" ht="12.75">
      <c r="O1" s="1">
        <v>-1</v>
      </c>
    </row>
    <row r="2" ht="12.75"/>
    <row r="3" ht="12.75"/>
    <row r="4" spans="2:13" ht="18.75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s="2" customFormat="1" ht="63.75" customHeight="1">
      <c r="B5" s="25" t="s">
        <v>1</v>
      </c>
      <c r="C5" s="26" t="s">
        <v>45</v>
      </c>
      <c r="D5" s="26" t="s">
        <v>2</v>
      </c>
      <c r="E5" s="26" t="s">
        <v>46</v>
      </c>
      <c r="F5" s="26" t="s">
        <v>38</v>
      </c>
      <c r="G5" s="26" t="s">
        <v>3</v>
      </c>
      <c r="H5" s="26" t="s">
        <v>44</v>
      </c>
      <c r="I5" s="26" t="s">
        <v>39</v>
      </c>
      <c r="J5" s="26" t="s">
        <v>43</v>
      </c>
      <c r="K5" s="26" t="s">
        <v>47</v>
      </c>
      <c r="L5" s="26" t="s">
        <v>41</v>
      </c>
      <c r="M5" s="26" t="s">
        <v>42</v>
      </c>
    </row>
    <row r="6" spans="2:13" ht="12.75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4" ht="12.75">
      <c r="B7" s="7" t="s">
        <v>5</v>
      </c>
      <c r="C7" s="24">
        <f>-12022*ops</f>
        <v>12022</v>
      </c>
      <c r="D7" s="4">
        <f>-'[4]Trial Balance'!$D$225</f>
        <v>13320</v>
      </c>
      <c r="E7" s="4">
        <f>D7-C7</f>
        <v>1298</v>
      </c>
      <c r="F7" s="4">
        <f>-'[4]Trial Balance'!$F$225</f>
        <v>10013</v>
      </c>
      <c r="G7" s="4">
        <f>F7-D7</f>
        <v>-3307</v>
      </c>
      <c r="H7" s="4">
        <f>-'[4]Trial Balance'!$H$225</f>
        <v>10178</v>
      </c>
      <c r="I7" s="4">
        <f>H7-F7</f>
        <v>165</v>
      </c>
      <c r="J7" s="4">
        <f>-'[4]Trial Balance'!$J$225</f>
        <v>10015</v>
      </c>
      <c r="K7" s="4">
        <f>J7-H7</f>
        <v>-163</v>
      </c>
      <c r="L7" s="4">
        <f>-'[4]Trial Balance'!$L$225</f>
        <v>9985</v>
      </c>
      <c r="M7" s="4">
        <f>L7-J7</f>
        <v>-30</v>
      </c>
      <c r="N7" s="11"/>
    </row>
    <row r="8" spans="2:13" ht="12.75">
      <c r="B8" s="7" t="s">
        <v>6</v>
      </c>
      <c r="C8" s="24">
        <f>-347*ops</f>
        <v>347</v>
      </c>
      <c r="D8" s="4">
        <f>-'[4]Trial Balance'!$D$226</f>
        <v>1380</v>
      </c>
      <c r="E8" s="4">
        <f>D8-C8</f>
        <v>1033</v>
      </c>
      <c r="F8" s="4">
        <f>-'[4]Trial Balance'!$F$226</f>
        <v>4560</v>
      </c>
      <c r="G8" s="4">
        <f>F8-D8</f>
        <v>3180</v>
      </c>
      <c r="H8" s="4">
        <f>-'[4]Trial Balance'!$H$226</f>
        <v>4774</v>
      </c>
      <c r="I8" s="4">
        <f>H8-F8</f>
        <v>214</v>
      </c>
      <c r="J8" s="4">
        <f>-'[4]Trial Balance'!$J$226</f>
        <v>4560</v>
      </c>
      <c r="K8" s="4">
        <f>J8-H8</f>
        <v>-214</v>
      </c>
      <c r="L8" s="4">
        <f>-'[4]Trial Balance'!$L$226</f>
        <v>4015</v>
      </c>
      <c r="M8" s="4">
        <f>L8-J8</f>
        <v>-545</v>
      </c>
    </row>
    <row r="9" spans="2:13" ht="12.75">
      <c r="B9" s="7" t="s">
        <v>50</v>
      </c>
      <c r="C9" s="24">
        <f>-45600*ops</f>
        <v>45600</v>
      </c>
      <c r="D9" s="4">
        <f>-'[4]Trial Balance'!$D$229</f>
        <v>51600</v>
      </c>
      <c r="E9" s="4">
        <f>D9-C9</f>
        <v>6000</v>
      </c>
      <c r="F9" s="4">
        <f>-'[4]Trial Balance'!$F$229</f>
        <v>51600</v>
      </c>
      <c r="G9" s="4">
        <f>F9-D9</f>
        <v>0</v>
      </c>
      <c r="H9" s="4">
        <f>-'[4]Trial Balance'!$H$229</f>
        <v>51600</v>
      </c>
      <c r="I9" s="4">
        <f>H9-F9</f>
        <v>0</v>
      </c>
      <c r="J9" s="4">
        <f>-'[4]Trial Balance'!$J$229</f>
        <v>51600</v>
      </c>
      <c r="K9" s="4">
        <f>J9-H9</f>
        <v>0</v>
      </c>
      <c r="L9" s="4">
        <f>-'[4]Trial Balance'!$L$229</f>
        <v>51600</v>
      </c>
      <c r="M9" s="4">
        <f>L9-J9</f>
        <v>0</v>
      </c>
    </row>
    <row r="10" spans="2:13" ht="12.75">
      <c r="B10" s="7" t="s">
        <v>7</v>
      </c>
      <c r="C10" s="24">
        <f>-56300*ops</f>
        <v>56300</v>
      </c>
      <c r="D10" s="4">
        <f>-'[4]Trial Balance'!$D$230</f>
        <v>59777</v>
      </c>
      <c r="E10" s="4">
        <f>D10-C10</f>
        <v>3477</v>
      </c>
      <c r="F10" s="4">
        <f>-'[4]Trial Balance'!$F$230</f>
        <v>65115</v>
      </c>
      <c r="G10" s="4">
        <f>F10-D10</f>
        <v>5338</v>
      </c>
      <c r="H10" s="4">
        <f>-'[4]Trial Balance'!$H$230</f>
        <v>56697.01</v>
      </c>
      <c r="I10" s="4">
        <f>H10-F10</f>
        <v>-8417.989999999998</v>
      </c>
      <c r="J10" s="4">
        <f>-'[4]Trial Balance'!$J$230</f>
        <v>56500</v>
      </c>
      <c r="K10" s="4">
        <f>J10-H10</f>
        <v>-197.01000000000204</v>
      </c>
      <c r="L10" s="4">
        <f>-'[4]Trial Balance'!$L$230</f>
        <v>56400</v>
      </c>
      <c r="M10" s="4">
        <f>L10-J10</f>
        <v>-100</v>
      </c>
    </row>
    <row r="11" spans="2:13" ht="12.75" hidden="1">
      <c r="B11" s="7" t="s">
        <v>49</v>
      </c>
      <c r="C11" s="2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2.75" hidden="1">
      <c r="B12" s="7" t="s">
        <v>40</v>
      </c>
      <c r="C12" s="24"/>
      <c r="D12" s="4"/>
      <c r="E12" s="4">
        <f aca="true" t="shared" si="0" ref="E12:E23">D12-C12</f>
        <v>0</v>
      </c>
      <c r="F12" s="4"/>
      <c r="G12" s="4">
        <f>F12-D12</f>
        <v>0</v>
      </c>
      <c r="H12" s="4"/>
      <c r="I12" s="4">
        <f aca="true" t="shared" si="1" ref="I12:I23">H12-F12</f>
        <v>0</v>
      </c>
      <c r="J12" s="4"/>
      <c r="K12" s="4">
        <f>J12-H12</f>
        <v>0</v>
      </c>
      <c r="L12" s="4"/>
      <c r="M12" s="4">
        <f>L12-J12</f>
        <v>0</v>
      </c>
    </row>
    <row r="13" spans="2:13" ht="12.75" hidden="1">
      <c r="B13" s="7" t="s">
        <v>8</v>
      </c>
      <c r="C13" s="24"/>
      <c r="D13" s="4">
        <f>'[4]Trial Balance'!$D$232</f>
        <v>0</v>
      </c>
      <c r="E13" s="4">
        <f t="shared" si="0"/>
        <v>0</v>
      </c>
      <c r="F13" s="4">
        <f>'[4]Trial Balance'!$F$232</f>
        <v>0</v>
      </c>
      <c r="G13" s="4"/>
      <c r="H13" s="4">
        <f>'[4]Trial Balance'!$H$232</f>
        <v>0</v>
      </c>
      <c r="I13" s="4"/>
      <c r="J13" s="4">
        <f>'[4]Trial Balance'!$J$232</f>
        <v>0</v>
      </c>
      <c r="K13" s="4"/>
      <c r="L13" s="4">
        <f>'[4]Trial Balance'!$L$232</f>
        <v>0</v>
      </c>
      <c r="M13" s="4"/>
    </row>
    <row r="14" spans="2:14" ht="12.75">
      <c r="B14" s="7" t="s">
        <v>9</v>
      </c>
      <c r="C14" s="24">
        <f>-27565*ops</f>
        <v>27565</v>
      </c>
      <c r="D14" s="4">
        <f>-'[4]Trial Balance'!$D$233</f>
        <v>72437</v>
      </c>
      <c r="E14" s="4">
        <f>D14-C14</f>
        <v>44872</v>
      </c>
      <c r="F14" s="4">
        <f>-'[4]Trial Balance'!$F$233</f>
        <v>61033</v>
      </c>
      <c r="G14" s="4">
        <f>F14-D14</f>
        <v>-11404</v>
      </c>
      <c r="H14" s="4">
        <f>-'[4]Trial Balance'!$H$233</f>
        <v>63140.01</v>
      </c>
      <c r="I14" s="4">
        <f>H14-F14</f>
        <v>2107.010000000002</v>
      </c>
      <c r="J14" s="4">
        <f>-'[4]Trial Balance'!$J$233</f>
        <v>63140.01</v>
      </c>
      <c r="K14" s="4">
        <f>J14-H14</f>
        <v>0</v>
      </c>
      <c r="L14" s="4">
        <f>-'[4]Trial Balance'!$L$233</f>
        <v>63140.01</v>
      </c>
      <c r="M14" s="4">
        <f>L14-J14</f>
        <v>0</v>
      </c>
      <c r="N14" s="11"/>
    </row>
    <row r="15" spans="2:14" ht="12.75">
      <c r="B15" s="7" t="s">
        <v>10</v>
      </c>
      <c r="C15" s="24">
        <f>-103267*ops</f>
        <v>103267</v>
      </c>
      <c r="D15" s="4">
        <f>-'[4]Trial Balance'!$D$235</f>
        <v>133125</v>
      </c>
      <c r="E15" s="4">
        <f>D15-C15</f>
        <v>29858</v>
      </c>
      <c r="F15" s="4">
        <f>-'[4]Trial Balance'!$F$235</f>
        <v>144453</v>
      </c>
      <c r="G15" s="4">
        <f>F15-D15</f>
        <v>11328</v>
      </c>
      <c r="H15" s="4">
        <f>-'[4]Trial Balance'!$H$235</f>
        <v>127498.58</v>
      </c>
      <c r="I15" s="4">
        <f>H15-F15</f>
        <v>-16954.42</v>
      </c>
      <c r="J15" s="4">
        <f>-'[4]Trial Balance'!$J$235</f>
        <v>127000</v>
      </c>
      <c r="K15" s="4">
        <f>J15-H15</f>
        <v>-498.58000000000175</v>
      </c>
      <c r="L15" s="4">
        <f>-'[4]Trial Balance'!$L$235</f>
        <v>126500</v>
      </c>
      <c r="M15" s="4">
        <f>L15-J15</f>
        <v>-500</v>
      </c>
      <c r="N15" s="11"/>
    </row>
    <row r="16" spans="2:13" ht="12.75" hidden="1">
      <c r="B16" s="7" t="s">
        <v>48</v>
      </c>
      <c r="C16" s="2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2.75" hidden="1">
      <c r="B17" s="7" t="s">
        <v>11</v>
      </c>
      <c r="C17" s="24"/>
      <c r="D17" s="4">
        <f>'[4]Trial Balance'!$D$249</f>
        <v>0</v>
      </c>
      <c r="E17" s="4">
        <f t="shared" si="0"/>
        <v>0</v>
      </c>
      <c r="F17" s="4">
        <f>'[4]Trial Balance'!$F$249</f>
        <v>0</v>
      </c>
      <c r="G17" s="4">
        <f aca="true" t="shared" si="2" ref="G17:G23">F17-D17</f>
        <v>0</v>
      </c>
      <c r="H17" s="4">
        <f>'[4]Trial Balance'!$H$249</f>
        <v>0</v>
      </c>
      <c r="I17" s="4">
        <f t="shared" si="1"/>
        <v>0</v>
      </c>
      <c r="J17" s="4">
        <f>'[4]Trial Balance'!$J$249</f>
        <v>0</v>
      </c>
      <c r="K17" s="4">
        <f>J17-H17</f>
        <v>0</v>
      </c>
      <c r="L17" s="4">
        <f>'[4]Trial Balance'!$L$249</f>
        <v>0</v>
      </c>
      <c r="M17" s="4">
        <f>L17-J17</f>
        <v>0</v>
      </c>
    </row>
    <row r="18" spans="2:13" ht="12.75">
      <c r="B18" s="7" t="s">
        <v>12</v>
      </c>
      <c r="C18" s="24"/>
      <c r="D18" s="4">
        <f>'[4]Trial Balance'!$D$250</f>
        <v>0</v>
      </c>
      <c r="E18" s="4">
        <f>D18-C18</f>
        <v>0</v>
      </c>
      <c r="F18" s="4">
        <f>-'[4]Trial Balance'!$F$250</f>
        <v>10178</v>
      </c>
      <c r="G18" s="4">
        <f>F18-D18</f>
        <v>10178</v>
      </c>
      <c r="H18" s="4">
        <f>-'[4]Trial Balance'!$H$250</f>
        <v>0</v>
      </c>
      <c r="I18" s="4">
        <f>H18-F18</f>
        <v>-10178</v>
      </c>
      <c r="J18" s="4">
        <f>-'[4]Trial Balance'!$J$250</f>
        <v>0</v>
      </c>
      <c r="K18" s="4">
        <f>J18-H18</f>
        <v>0</v>
      </c>
      <c r="L18" s="4">
        <f>-'[4]Trial Balance'!$L$250</f>
        <v>0</v>
      </c>
      <c r="M18" s="4">
        <f>L18-J18</f>
        <v>0</v>
      </c>
    </row>
    <row r="19" spans="2:13" ht="12.75" hidden="1">
      <c r="B19" s="7" t="s">
        <v>13</v>
      </c>
      <c r="C19" s="24"/>
      <c r="D19" s="4">
        <f>'[4]Trial Balance'!$D$251</f>
        <v>0</v>
      </c>
      <c r="E19" s="4">
        <f t="shared" si="0"/>
        <v>0</v>
      </c>
      <c r="F19" s="4">
        <f>'[4]Trial Balance'!$F$251</f>
        <v>0</v>
      </c>
      <c r="G19" s="4">
        <f t="shared" si="2"/>
        <v>0</v>
      </c>
      <c r="H19" s="4">
        <f>'[4]Trial Balance'!$H$251</f>
        <v>0</v>
      </c>
      <c r="I19" s="4">
        <f t="shared" si="1"/>
        <v>0</v>
      </c>
      <c r="J19" s="4">
        <f>'[4]Trial Balance'!$J$251</f>
        <v>0</v>
      </c>
      <c r="K19" s="4">
        <f>J19-H19</f>
        <v>0</v>
      </c>
      <c r="L19" s="4">
        <f>'[4]Trial Balance'!$L$251</f>
        <v>0</v>
      </c>
      <c r="M19" s="4">
        <f>L19-J19</f>
        <v>0</v>
      </c>
    </row>
    <row r="20" spans="2:14" ht="12.75">
      <c r="B20" s="7" t="s">
        <v>14</v>
      </c>
      <c r="C20" s="24"/>
      <c r="D20" s="4">
        <f>-'[4]Trial Balance'!$D$254</f>
        <v>626554.27</v>
      </c>
      <c r="E20" s="4">
        <f>D20-C20</f>
        <v>626554.27</v>
      </c>
      <c r="F20" s="4">
        <f>-'[4]Trial Balance'!$F$254</f>
        <v>36204.19</v>
      </c>
      <c r="G20" s="4">
        <f>F20-D20</f>
        <v>-590350.0800000001</v>
      </c>
      <c r="H20" s="4">
        <f>-'[4]Trial Balance'!$H$254</f>
        <v>11991.28</v>
      </c>
      <c r="I20" s="4">
        <f>H20-F20</f>
        <v>-24212.910000000003</v>
      </c>
      <c r="J20" s="4">
        <f>-'[4]Trial Balance'!$J$254</f>
        <v>0</v>
      </c>
      <c r="K20" s="4">
        <f>J20-H20</f>
        <v>-11991.28</v>
      </c>
      <c r="L20" s="4">
        <f>-'[4]Trial Balance'!$L$254</f>
        <v>0</v>
      </c>
      <c r="M20" s="4">
        <f>L20-J20</f>
        <v>0</v>
      </c>
      <c r="N20" s="11"/>
    </row>
    <row r="21" spans="2:13" ht="12.75" hidden="1">
      <c r="B21" s="7" t="s">
        <v>15</v>
      </c>
      <c r="C21" s="24"/>
      <c r="D21" s="4">
        <f>'[4]Trial Balance'!$D$255</f>
        <v>0</v>
      </c>
      <c r="E21" s="4">
        <f t="shared" si="0"/>
        <v>0</v>
      </c>
      <c r="F21" s="4">
        <f>'[4]Trial Balance'!$F$255</f>
        <v>0</v>
      </c>
      <c r="G21" s="4">
        <f t="shared" si="2"/>
        <v>0</v>
      </c>
      <c r="H21" s="4">
        <f>'[4]Trial Balance'!$H$255</f>
        <v>0</v>
      </c>
      <c r="I21" s="4">
        <f t="shared" si="1"/>
        <v>0</v>
      </c>
      <c r="J21" s="4">
        <f>'[4]Trial Balance'!$J$255</f>
        <v>0</v>
      </c>
      <c r="K21" s="4">
        <f>J21-H21</f>
        <v>0</v>
      </c>
      <c r="L21" s="4">
        <f>'[4]Trial Balance'!$L$255</f>
        <v>0</v>
      </c>
      <c r="M21" s="4">
        <f>L21-J21</f>
        <v>0</v>
      </c>
    </row>
    <row r="22" spans="2:13" ht="12.75" hidden="1">
      <c r="B22" s="7" t="s">
        <v>16</v>
      </c>
      <c r="C22" s="24"/>
      <c r="D22" s="4">
        <f>'[4]Trial Balance'!$D$256</f>
        <v>0</v>
      </c>
      <c r="E22" s="4">
        <f t="shared" si="0"/>
        <v>0</v>
      </c>
      <c r="F22" s="4">
        <f>'[4]Trial Balance'!$F$256</f>
        <v>0</v>
      </c>
      <c r="G22" s="4">
        <f t="shared" si="2"/>
        <v>0</v>
      </c>
      <c r="H22" s="4">
        <f>'[4]Trial Balance'!$H$256</f>
        <v>0</v>
      </c>
      <c r="I22" s="4">
        <f t="shared" si="1"/>
        <v>0</v>
      </c>
      <c r="J22" s="4">
        <f>'[4]Trial Balance'!$J$256</f>
        <v>0</v>
      </c>
      <c r="K22" s="4">
        <f>J22-H22</f>
        <v>0</v>
      </c>
      <c r="L22" s="4">
        <f>'[4]Trial Balance'!$L$256</f>
        <v>0</v>
      </c>
      <c r="M22" s="4">
        <f>L22-J22</f>
        <v>0</v>
      </c>
    </row>
    <row r="23" spans="2:13" ht="12.75" hidden="1">
      <c r="B23" s="7" t="s">
        <v>17</v>
      </c>
      <c r="C23" s="24"/>
      <c r="D23" s="4">
        <f>'[4]Trial Balance'!$D$257</f>
        <v>0</v>
      </c>
      <c r="E23" s="4">
        <f t="shared" si="0"/>
        <v>0</v>
      </c>
      <c r="F23" s="4">
        <f>'[4]Trial Balance'!$F$257</f>
        <v>0</v>
      </c>
      <c r="G23" s="4">
        <f t="shared" si="2"/>
        <v>0</v>
      </c>
      <c r="H23" s="4">
        <f>'[4]Trial Balance'!$H$257</f>
        <v>0</v>
      </c>
      <c r="I23" s="4">
        <f t="shared" si="1"/>
        <v>0</v>
      </c>
      <c r="J23" s="4">
        <f>'[4]Trial Balance'!$J$257</f>
        <v>0</v>
      </c>
      <c r="K23" s="4">
        <f>J23-H23</f>
        <v>0</v>
      </c>
      <c r="L23" s="4">
        <f>'[4]Trial Balance'!$L$257</f>
        <v>0</v>
      </c>
      <c r="M23" s="4">
        <f>L23-J23</f>
        <v>0</v>
      </c>
    </row>
    <row r="24" spans="2:14" ht="12.75">
      <c r="B24" s="7" t="s">
        <v>18</v>
      </c>
      <c r="C24" s="24">
        <v>55271</v>
      </c>
      <c r="D24" s="4">
        <f>-'[4]Trial Balance'!$D$261</f>
        <v>195113</v>
      </c>
      <c r="E24" s="4">
        <f>D24-C24</f>
        <v>139842</v>
      </c>
      <c r="F24" s="4">
        <f>-'[4]Trial Balance'!$F$261</f>
        <v>61929</v>
      </c>
      <c r="G24" s="4">
        <f>F24-D24</f>
        <v>-133184</v>
      </c>
      <c r="H24" s="4">
        <f>-'[4]Trial Balance'!$H$261</f>
        <v>48939.61</v>
      </c>
      <c r="I24" s="4">
        <f>H24-F24</f>
        <v>-12989.39</v>
      </c>
      <c r="J24" s="4">
        <f>-'[4]Trial Balance'!$J$261</f>
        <v>28500</v>
      </c>
      <c r="K24" s="4">
        <f>J24-H24</f>
        <v>-20439.61</v>
      </c>
      <c r="L24" s="4">
        <f>-'[4]Trial Balance'!$L$261</f>
        <v>28500</v>
      </c>
      <c r="M24" s="4">
        <f>L24-J24</f>
        <v>0</v>
      </c>
      <c r="N24" s="11"/>
    </row>
    <row r="25" spans="2:14" ht="12.75">
      <c r="B25" s="8" t="s">
        <v>19</v>
      </c>
      <c r="C25" s="9">
        <f aca="true" t="shared" si="3" ref="C25:M25">SUM(C7:C24)</f>
        <v>300372</v>
      </c>
      <c r="D25" s="9">
        <f t="shared" si="3"/>
        <v>1153306.27</v>
      </c>
      <c r="E25" s="9">
        <f t="shared" si="3"/>
        <v>852934.27</v>
      </c>
      <c r="F25" s="9">
        <f t="shared" si="3"/>
        <v>445085.19</v>
      </c>
      <c r="G25" s="9">
        <f t="shared" si="3"/>
        <v>-708221.0800000001</v>
      </c>
      <c r="H25" s="9">
        <f t="shared" si="3"/>
        <v>374818.49000000005</v>
      </c>
      <c r="I25" s="9">
        <f t="shared" si="3"/>
        <v>-70266.7</v>
      </c>
      <c r="J25" s="9">
        <f t="shared" si="3"/>
        <v>341315.01</v>
      </c>
      <c r="K25" s="9">
        <f t="shared" si="3"/>
        <v>-33503.48</v>
      </c>
      <c r="L25" s="9">
        <f t="shared" si="3"/>
        <v>340140.01</v>
      </c>
      <c r="M25" s="9">
        <f t="shared" si="3"/>
        <v>-1175</v>
      </c>
      <c r="N25" s="11"/>
    </row>
    <row r="26" spans="1:13" ht="12.75">
      <c r="A26" s="4"/>
      <c r="B26" s="7" t="s">
        <v>20</v>
      </c>
      <c r="C26" s="24">
        <v>35192</v>
      </c>
      <c r="D26" s="4">
        <v>32791.3</v>
      </c>
      <c r="E26" s="4">
        <f>D26-C26</f>
        <v>-2400.699999999997</v>
      </c>
      <c r="F26" s="4">
        <v>35439.65</v>
      </c>
      <c r="G26" s="4">
        <f>F26-D26</f>
        <v>2648.3499999999985</v>
      </c>
      <c r="H26" s="4">
        <v>34024.12</v>
      </c>
      <c r="I26" s="4">
        <f>H26-F26</f>
        <v>-1415.5299999999988</v>
      </c>
      <c r="J26" s="4">
        <f>'[5]Rate Class Customer Model'!$I$13*0.25*12</f>
        <v>37731.097554027154</v>
      </c>
      <c r="K26" s="4">
        <f>J26-H26</f>
        <v>3706.977554027151</v>
      </c>
      <c r="L26" s="4">
        <f>-'[4]Revenue Requirement'!$F$15</f>
        <v>38322</v>
      </c>
      <c r="M26" s="4">
        <f>L26-J26</f>
        <v>590.9024459728462</v>
      </c>
    </row>
    <row r="27" spans="2:13" ht="12.75">
      <c r="B27" s="8" t="s">
        <v>21</v>
      </c>
      <c r="C27" s="9">
        <f aca="true" t="shared" si="4" ref="C27:M27">SUM(C25:C26)</f>
        <v>335564</v>
      </c>
      <c r="D27" s="9">
        <f t="shared" si="4"/>
        <v>1186097.57</v>
      </c>
      <c r="E27" s="9">
        <f t="shared" si="4"/>
        <v>850533.5700000001</v>
      </c>
      <c r="F27" s="9">
        <f t="shared" si="4"/>
        <v>480524.84</v>
      </c>
      <c r="G27" s="9">
        <f t="shared" si="4"/>
        <v>-705572.7300000001</v>
      </c>
      <c r="H27" s="9">
        <f t="shared" si="4"/>
        <v>408842.61000000004</v>
      </c>
      <c r="I27" s="9">
        <f t="shared" si="4"/>
        <v>-71682.23</v>
      </c>
      <c r="J27" s="9">
        <f t="shared" si="4"/>
        <v>379046.10755402717</v>
      </c>
      <c r="K27" s="9">
        <f t="shared" si="4"/>
        <v>-29796.502445972852</v>
      </c>
      <c r="L27" s="9">
        <f t="shared" si="4"/>
        <v>378462.01</v>
      </c>
      <c r="M27" s="9">
        <f t="shared" si="4"/>
        <v>-584.0975540271538</v>
      </c>
    </row>
    <row r="28" spans="4:7" ht="12.75">
      <c r="D28" s="3"/>
      <c r="E28" s="3"/>
      <c r="F28" s="3"/>
      <c r="G28" s="3"/>
    </row>
    <row r="29" spans="2:13" ht="12.75">
      <c r="B29" s="7" t="s">
        <v>22</v>
      </c>
      <c r="C29" s="4">
        <f aca="true" t="shared" si="5" ref="C29:M29">C15</f>
        <v>103267</v>
      </c>
      <c r="D29" s="4">
        <f t="shared" si="5"/>
        <v>133125</v>
      </c>
      <c r="E29" s="4">
        <f t="shared" si="5"/>
        <v>29858</v>
      </c>
      <c r="F29" s="4">
        <f t="shared" si="5"/>
        <v>144453</v>
      </c>
      <c r="G29" s="4">
        <f t="shared" si="5"/>
        <v>11328</v>
      </c>
      <c r="H29" s="4">
        <f t="shared" si="5"/>
        <v>127498.58</v>
      </c>
      <c r="I29" s="4">
        <f t="shared" si="5"/>
        <v>-16954.42</v>
      </c>
      <c r="J29" s="4">
        <f t="shared" si="5"/>
        <v>127000</v>
      </c>
      <c r="K29" s="4">
        <f t="shared" si="5"/>
        <v>-498.58000000000175</v>
      </c>
      <c r="L29" s="4">
        <f t="shared" si="5"/>
        <v>126500</v>
      </c>
      <c r="M29" s="4">
        <f t="shared" si="5"/>
        <v>-500</v>
      </c>
    </row>
    <row r="30" spans="2:13" ht="12.75">
      <c r="B30" s="7" t="s">
        <v>23</v>
      </c>
      <c r="C30" s="4">
        <f aca="true" t="shared" si="6" ref="C30:M30">C14</f>
        <v>27565</v>
      </c>
      <c r="D30" s="4">
        <f t="shared" si="6"/>
        <v>72437</v>
      </c>
      <c r="E30" s="4">
        <f t="shared" si="6"/>
        <v>44872</v>
      </c>
      <c r="F30" s="4">
        <f t="shared" si="6"/>
        <v>61033</v>
      </c>
      <c r="G30" s="4">
        <f t="shared" si="6"/>
        <v>-11404</v>
      </c>
      <c r="H30" s="4">
        <f t="shared" si="6"/>
        <v>63140.01</v>
      </c>
      <c r="I30" s="4">
        <f t="shared" si="6"/>
        <v>2107.010000000002</v>
      </c>
      <c r="J30" s="4">
        <f t="shared" si="6"/>
        <v>63140.01</v>
      </c>
      <c r="K30" s="4">
        <f t="shared" si="6"/>
        <v>0</v>
      </c>
      <c r="L30" s="4">
        <f t="shared" si="6"/>
        <v>63140.01</v>
      </c>
      <c r="M30" s="4">
        <f t="shared" si="6"/>
        <v>0</v>
      </c>
    </row>
    <row r="31" spans="2:13" ht="12.75">
      <c r="B31" s="7" t="s">
        <v>24</v>
      </c>
      <c r="C31" s="4">
        <f aca="true" t="shared" si="7" ref="C31:M31">C7+C8+C12+C10+C26+C11+C16+C9</f>
        <v>149461</v>
      </c>
      <c r="D31" s="4">
        <f t="shared" si="7"/>
        <v>158868.3</v>
      </c>
      <c r="E31" s="4">
        <f t="shared" si="7"/>
        <v>9407.300000000003</v>
      </c>
      <c r="F31" s="4">
        <f t="shared" si="7"/>
        <v>166727.65</v>
      </c>
      <c r="G31" s="4">
        <f t="shared" si="7"/>
        <v>7859.3499999999985</v>
      </c>
      <c r="H31" s="4">
        <f t="shared" si="7"/>
        <v>157273.13</v>
      </c>
      <c r="I31" s="4">
        <f t="shared" si="7"/>
        <v>-9454.519999999997</v>
      </c>
      <c r="J31" s="4">
        <f t="shared" si="7"/>
        <v>160406.09755402716</v>
      </c>
      <c r="K31" s="4">
        <f t="shared" si="7"/>
        <v>3132.967554027149</v>
      </c>
      <c r="L31" s="4">
        <f t="shared" si="7"/>
        <v>160322</v>
      </c>
      <c r="M31" s="4">
        <f t="shared" si="7"/>
        <v>-84.09755402715382</v>
      </c>
    </row>
    <row r="32" spans="2:13" ht="12.75">
      <c r="B32" s="7" t="s">
        <v>25</v>
      </c>
      <c r="C32" s="4">
        <f>C23+C24</f>
        <v>55271</v>
      </c>
      <c r="D32" s="4">
        <f>D23+D24+D20</f>
        <v>821667.27</v>
      </c>
      <c r="E32" s="4">
        <f>E23+E24+E20</f>
        <v>766396.27</v>
      </c>
      <c r="F32" s="4">
        <f>F23+F24+F20+F18</f>
        <v>108311.19</v>
      </c>
      <c r="G32" s="4">
        <f>G23+G24+G20+G18</f>
        <v>-713356.0800000001</v>
      </c>
      <c r="H32" s="4">
        <f>H23+H24+H20</f>
        <v>60930.89</v>
      </c>
      <c r="I32" s="4">
        <f>I23+I24+I20+I18</f>
        <v>-47380.3</v>
      </c>
      <c r="J32" s="4">
        <f>J23+J24+J20</f>
        <v>28500</v>
      </c>
      <c r="K32" s="4">
        <f>K23+K24+K20</f>
        <v>-32430.89</v>
      </c>
      <c r="L32" s="4">
        <f>L23+L24+L20</f>
        <v>28500</v>
      </c>
      <c r="M32" s="4">
        <f>M23+M24+M20</f>
        <v>0</v>
      </c>
    </row>
    <row r="33" spans="2:13" ht="12.75">
      <c r="B33" s="8" t="s">
        <v>21</v>
      </c>
      <c r="C33" s="9">
        <f>SUM(C29:C32)</f>
        <v>335564</v>
      </c>
      <c r="D33" s="9">
        <f>SUM(D29:D32)</f>
        <v>1186097.57</v>
      </c>
      <c r="E33" s="4">
        <f>D33-C33</f>
        <v>850533.5700000001</v>
      </c>
      <c r="F33" s="9">
        <f>SUM(F29:F32)</f>
        <v>480524.84</v>
      </c>
      <c r="G33" s="10">
        <f>F33-D33</f>
        <v>-705572.73</v>
      </c>
      <c r="H33" s="9">
        <f>SUM(H29:H32)</f>
        <v>408842.61</v>
      </c>
      <c r="I33" s="10">
        <f>H33-F33</f>
        <v>-71682.23000000004</v>
      </c>
      <c r="J33" s="9">
        <f>SUM(J29:J32)</f>
        <v>379046.10755402717</v>
      </c>
      <c r="K33" s="10">
        <f>J33-H33</f>
        <v>-29796.502445972816</v>
      </c>
      <c r="L33" s="9">
        <f>SUM(L29:L32)</f>
        <v>378462.01</v>
      </c>
      <c r="M33" s="10">
        <f>L33-J33</f>
        <v>-584.0975540271611</v>
      </c>
    </row>
    <row r="36" spans="2:13" ht="12.75">
      <c r="B36" s="1" t="s">
        <v>62</v>
      </c>
      <c r="C36" s="1">
        <v>-1</v>
      </c>
      <c r="D36" s="3">
        <f>+(D33-D20)*$C$36</f>
        <v>-559543.3</v>
      </c>
      <c r="E36" s="3">
        <f aca="true" t="shared" si="8" ref="E36:M36">+(E33-E20)*$C$36</f>
        <v>-223979.30000000005</v>
      </c>
      <c r="F36" s="3">
        <f t="shared" si="8"/>
        <v>-444320.65</v>
      </c>
      <c r="G36" s="3">
        <f t="shared" si="8"/>
        <v>115222.6499999999</v>
      </c>
      <c r="H36" s="3">
        <f t="shared" si="8"/>
        <v>-396851.32999999996</v>
      </c>
      <c r="I36" s="3">
        <f t="shared" si="8"/>
        <v>47469.320000000036</v>
      </c>
      <c r="J36" s="3">
        <f t="shared" si="8"/>
        <v>-379046.10755402717</v>
      </c>
      <c r="K36" s="3">
        <f>+(K33-K20)*$C$36</f>
        <v>17805.222445972817</v>
      </c>
      <c r="L36" s="3">
        <f t="shared" si="8"/>
        <v>-378462.01</v>
      </c>
      <c r="M36" s="3">
        <f t="shared" si="8"/>
        <v>584.0975540271611</v>
      </c>
    </row>
    <row r="38" spans="2:4" ht="12.75">
      <c r="B38" s="1" t="s">
        <v>63</v>
      </c>
      <c r="D38" s="3">
        <f>+D36+C33</f>
        <v>-223979.30000000005</v>
      </c>
    </row>
    <row r="41" ht="12.75">
      <c r="D41" s="3"/>
    </row>
    <row r="44" ht="12.75">
      <c r="B44" s="1" t="s">
        <v>111</v>
      </c>
    </row>
    <row r="45" ht="12.75">
      <c r="B45" s="1" t="s">
        <v>110</v>
      </c>
    </row>
    <row r="49" spans="2:4" ht="12.75">
      <c r="B49" s="31" t="s">
        <v>53</v>
      </c>
      <c r="C49" s="32"/>
      <c r="D49" s="31" t="s">
        <v>54</v>
      </c>
    </row>
    <row r="50" spans="2:5" ht="12.75">
      <c r="B50" s="98" t="s">
        <v>55</v>
      </c>
      <c r="C50" s="98"/>
      <c r="D50" s="33">
        <v>4235</v>
      </c>
      <c r="E50" t="s">
        <v>61</v>
      </c>
    </row>
    <row r="51" spans="2:5" ht="12.75">
      <c r="B51" s="98" t="s">
        <v>56</v>
      </c>
      <c r="C51" s="98"/>
      <c r="D51" s="33">
        <v>4225</v>
      </c>
      <c r="E51" t="s">
        <v>61</v>
      </c>
    </row>
    <row r="52" spans="2:8" ht="12.75">
      <c r="B52" s="98" t="s">
        <v>57</v>
      </c>
      <c r="C52" s="98"/>
      <c r="D52" s="98" t="s">
        <v>58</v>
      </c>
      <c r="E52" s="98"/>
      <c r="F52" s="98"/>
      <c r="G52" s="98"/>
      <c r="H52" s="98"/>
    </row>
    <row r="53" spans="2:8" ht="12.75">
      <c r="B53" s="98" t="s">
        <v>59</v>
      </c>
      <c r="C53" s="98"/>
      <c r="D53" s="99" t="s">
        <v>60</v>
      </c>
      <c r="E53" s="99"/>
      <c r="F53" s="99"/>
      <c r="G53" s="99"/>
      <c r="H53" s="99"/>
    </row>
    <row r="54" spans="4:8" ht="12.75">
      <c r="D54" s="99"/>
      <c r="E54" s="99"/>
      <c r="F54" s="99"/>
      <c r="G54" s="99"/>
      <c r="H54" s="99"/>
    </row>
    <row r="59" ht="12.75">
      <c r="B59" s="1" t="s">
        <v>64</v>
      </c>
    </row>
    <row r="60" ht="12.75">
      <c r="B60" s="1" t="s">
        <v>65</v>
      </c>
    </row>
  </sheetData>
  <sheetProtection/>
  <mergeCells count="7">
    <mergeCell ref="B53:C53"/>
    <mergeCell ref="D53:H54"/>
    <mergeCell ref="B4:M4"/>
    <mergeCell ref="B50:C50"/>
    <mergeCell ref="B51:C51"/>
    <mergeCell ref="B52:C52"/>
    <mergeCell ref="D52:H52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34" sqref="A34"/>
    </sheetView>
  </sheetViews>
  <sheetFormatPr defaultColWidth="16.00390625" defaultRowHeight="12.75"/>
  <cols>
    <col min="1" max="1" width="41.57421875" style="47" customWidth="1"/>
    <col min="2" max="2" width="12.57421875" style="48" customWidth="1"/>
    <col min="3" max="3" width="12.421875" style="48" customWidth="1"/>
    <col min="4" max="4" width="12.421875" style="48" hidden="1" customWidth="1"/>
    <col min="5" max="5" width="12.00390625" style="48" customWidth="1"/>
    <col min="6" max="6" width="13.7109375" style="48" customWidth="1"/>
    <col min="7" max="7" width="13.421875" style="64" hidden="1" customWidth="1"/>
    <col min="8" max="8" width="10.7109375" style="48" customWidth="1"/>
    <col min="9" max="9" width="10.28125" style="48" customWidth="1"/>
    <col min="10" max="10" width="11.140625" style="48" customWidth="1"/>
    <col min="11" max="11" width="10.421875" style="48" customWidth="1"/>
    <col min="12" max="12" width="11.421875" style="48" customWidth="1"/>
    <col min="13" max="14" width="11.28125" style="48" customWidth="1"/>
    <col min="15" max="16384" width="16.00390625" style="48" customWidth="1"/>
  </cols>
  <sheetData>
    <row r="1" spans="1:8" ht="27" customHeight="1">
      <c r="A1" s="101"/>
      <c r="B1" s="101"/>
      <c r="C1" s="101"/>
      <c r="D1" s="101"/>
      <c r="E1" s="101"/>
      <c r="F1" s="101"/>
      <c r="G1" s="101"/>
      <c r="H1" s="101"/>
    </row>
    <row r="2" spans="1:14" s="47" customFormat="1" ht="51">
      <c r="A2" s="96" t="s">
        <v>26</v>
      </c>
      <c r="B2" s="47" t="s">
        <v>45</v>
      </c>
      <c r="C2" s="47" t="s">
        <v>2</v>
      </c>
      <c r="D2" s="47" t="s">
        <v>100</v>
      </c>
      <c r="E2" s="47" t="s">
        <v>46</v>
      </c>
      <c r="F2" s="47" t="s">
        <v>38</v>
      </c>
      <c r="G2" s="63" t="s">
        <v>100</v>
      </c>
      <c r="H2" s="47" t="s">
        <v>3</v>
      </c>
      <c r="I2" s="47" t="s">
        <v>44</v>
      </c>
      <c r="J2" s="47" t="s">
        <v>39</v>
      </c>
      <c r="K2" s="47" t="s">
        <v>43</v>
      </c>
      <c r="L2" s="47" t="s">
        <v>47</v>
      </c>
      <c r="M2" s="47" t="s">
        <v>41</v>
      </c>
      <c r="N2" s="47" t="s">
        <v>42</v>
      </c>
    </row>
    <row r="3" spans="1:14" ht="12.75">
      <c r="A3" s="96"/>
      <c r="B3" s="48" t="s">
        <v>27</v>
      </c>
      <c r="C3" s="48" t="s">
        <v>27</v>
      </c>
      <c r="E3" s="48" t="s">
        <v>27</v>
      </c>
      <c r="F3" s="48" t="s">
        <v>27</v>
      </c>
      <c r="H3" s="48" t="s">
        <v>27</v>
      </c>
      <c r="I3" s="48" t="s">
        <v>27</v>
      </c>
      <c r="J3" s="48" t="s">
        <v>27</v>
      </c>
      <c r="K3" s="48" t="s">
        <v>27</v>
      </c>
      <c r="L3" s="48" t="s">
        <v>27</v>
      </c>
      <c r="M3" s="48" t="s">
        <v>27</v>
      </c>
      <c r="N3" s="48" t="s">
        <v>27</v>
      </c>
    </row>
    <row r="4" spans="1:7" ht="12.75">
      <c r="A4" s="60" t="s">
        <v>28</v>
      </c>
      <c r="G4" s="48"/>
    </row>
    <row r="5" spans="1:17" ht="12.75">
      <c r="A5" s="47" t="s">
        <v>29</v>
      </c>
      <c r="B5" s="51">
        <v>1917386</v>
      </c>
      <c r="C5" s="23">
        <f>1661524.62+(D5*D12)</f>
        <v>1840951.6413865902</v>
      </c>
      <c r="D5" s="58">
        <f aca="true" t="shared" si="0" ref="D5:D11">+C5/$C$13</f>
        <v>0.4951459312159604</v>
      </c>
      <c r="E5" s="49">
        <f aca="true" t="shared" si="1" ref="E5:E11">C5-B5</f>
        <v>-76434.3586134098</v>
      </c>
      <c r="F5" s="75">
        <f>1827112.99+0.492*$G$12</f>
        <v>1970658.3195999998</v>
      </c>
      <c r="G5" s="71">
        <f aca="true" t="shared" si="2" ref="G5:G10">+F5/$F$14</f>
        <v>0.530607528340324</v>
      </c>
      <c r="H5" s="49">
        <f aca="true" t="shared" si="3" ref="H5:H11">F5-C5</f>
        <v>129706.67821340961</v>
      </c>
      <c r="I5" s="23">
        <f>1773015.84+136318</f>
        <v>1909333.84</v>
      </c>
      <c r="J5" s="49">
        <f aca="true" t="shared" si="4" ref="J5:J11">I5-F5</f>
        <v>-61324.47959999973</v>
      </c>
      <c r="K5" s="23">
        <f>+'[3]2011 Bridge Yr On Existing Ra'!$J9</f>
        <v>1913287.7129565743</v>
      </c>
      <c r="L5" s="23">
        <f aca="true" t="shared" si="5" ref="L5:L12">+K5-I5</f>
        <v>3953.872956574196</v>
      </c>
      <c r="M5" s="23">
        <f>+'[3]Rates By Rate Class'!$B$8</f>
        <v>2556790.201550744</v>
      </c>
      <c r="N5" s="23">
        <f aca="true" t="shared" si="6" ref="N5:N11">+M5-K5</f>
        <v>643502.4885941697</v>
      </c>
      <c r="O5" s="23"/>
      <c r="P5" s="23">
        <v>1913287.7129565743</v>
      </c>
      <c r="Q5" s="23">
        <v>2556790.201550744</v>
      </c>
    </row>
    <row r="6" spans="1:14" ht="12.75">
      <c r="A6" s="47" t="s">
        <v>30</v>
      </c>
      <c r="B6" s="52">
        <v>656516</v>
      </c>
      <c r="C6" s="49">
        <f>558731.59+(D6*$D$12)</f>
        <v>619068.6706195417</v>
      </c>
      <c r="D6" s="58">
        <f t="shared" si="0"/>
        <v>0.16650591276241464</v>
      </c>
      <c r="E6" s="49">
        <f t="shared" si="1"/>
        <v>-37447.32938045834</v>
      </c>
      <c r="F6" s="49">
        <f>574603.36+0.1547*$G$12</f>
        <v>619738.44636</v>
      </c>
      <c r="G6" s="71">
        <f t="shared" si="2"/>
        <v>0.1668670220352044</v>
      </c>
      <c r="H6" s="49">
        <f t="shared" si="3"/>
        <v>669.7757404582808</v>
      </c>
      <c r="I6" s="49">
        <f>555529.51+43565</f>
        <v>599094.51</v>
      </c>
      <c r="J6" s="49">
        <f t="shared" si="4"/>
        <v>-20643.936359999934</v>
      </c>
      <c r="K6" s="23">
        <f>+'[3]2011 Bridge Yr On Existing Ra'!$J10</f>
        <v>571656.119179198</v>
      </c>
      <c r="L6" s="23">
        <f t="shared" si="5"/>
        <v>-27438.390820801957</v>
      </c>
      <c r="M6" s="49">
        <f>+'[3]Rates By Rate Class'!$B9</f>
        <v>725309.1363613592</v>
      </c>
      <c r="N6" s="23">
        <f t="shared" si="6"/>
        <v>153653.0171821611</v>
      </c>
    </row>
    <row r="7" spans="1:14" ht="15" customHeight="1">
      <c r="A7" s="47" t="s">
        <v>51</v>
      </c>
      <c r="B7" s="52">
        <v>1208240</v>
      </c>
      <c r="C7" s="49">
        <f>1050067.22+(D7*D12)</f>
        <v>1163463.332987057</v>
      </c>
      <c r="D7" s="58">
        <f t="shared" si="0"/>
        <v>0.3129273591421442</v>
      </c>
      <c r="E7" s="49">
        <f t="shared" si="1"/>
        <v>-44776.667012942955</v>
      </c>
      <c r="F7" s="49">
        <f>1143811.74+(0.308*G12)+88</f>
        <v>1233761.4504</v>
      </c>
      <c r="G7" s="71">
        <f t="shared" si="2"/>
        <v>0.3321951386738597</v>
      </c>
      <c r="H7" s="49">
        <f t="shared" si="3"/>
        <v>70298.11741294293</v>
      </c>
      <c r="I7" s="49">
        <f>87899+1192044.93</f>
        <v>1279943.93</v>
      </c>
      <c r="J7" s="49">
        <f t="shared" si="4"/>
        <v>46182.47959999996</v>
      </c>
      <c r="K7" s="23">
        <f>+'[3]2011 Bridge Yr On Existing Ra'!$J11</f>
        <v>1194993.3344248603</v>
      </c>
      <c r="L7" s="23">
        <f t="shared" si="5"/>
        <v>-84950.59557513962</v>
      </c>
      <c r="M7" s="49">
        <f>+'[3]Rates By Rate Class'!$B10</f>
        <v>1181344.5724455896</v>
      </c>
      <c r="N7" s="23">
        <f t="shared" si="6"/>
        <v>-13648.761979270726</v>
      </c>
    </row>
    <row r="8" spans="1:14" ht="15" customHeight="1">
      <c r="A8" s="47" t="s">
        <v>52</v>
      </c>
      <c r="B8" s="52">
        <v>97123</v>
      </c>
      <c r="C8" s="49">
        <f>21152.94+(D8*D12)</f>
        <v>23437.23297530918</v>
      </c>
      <c r="D8" s="58">
        <f t="shared" si="0"/>
        <v>0.006303723729507744</v>
      </c>
      <c r="E8" s="49">
        <f t="shared" si="1"/>
        <v>-73685.76702469082</v>
      </c>
      <c r="F8" s="49">
        <f>57782.55+(0.0156*G12)</f>
        <v>62333.98728</v>
      </c>
      <c r="G8" s="71">
        <f t="shared" si="2"/>
        <v>0.016783672031461784</v>
      </c>
      <c r="H8" s="49">
        <f t="shared" si="3"/>
        <v>38896.754304690825</v>
      </c>
      <c r="I8" s="49">
        <f>11986+34664.2</f>
        <v>46650.2</v>
      </c>
      <c r="J8" s="49">
        <f t="shared" si="4"/>
        <v>-15683.787280000004</v>
      </c>
      <c r="K8" s="23">
        <f>+'[3]2011 Bridge Yr On Existing Ra'!$J12</f>
        <v>41451.177908</v>
      </c>
      <c r="L8" s="23">
        <f t="shared" si="5"/>
        <v>-5199.022091999999</v>
      </c>
      <c r="M8" s="49">
        <f>+'[3]Rates By Rate Class'!$B11</f>
        <v>61414.11740461746</v>
      </c>
      <c r="N8" s="23">
        <f t="shared" si="6"/>
        <v>19962.93949661746</v>
      </c>
    </row>
    <row r="9" spans="1:14" ht="12.75">
      <c r="A9" s="47" t="s">
        <v>31</v>
      </c>
      <c r="B9" s="52">
        <v>73925</v>
      </c>
      <c r="C9" s="49">
        <f>33064.37+(D9*D12)</f>
        <v>36634.970971970026</v>
      </c>
      <c r="D9" s="58">
        <f t="shared" si="0"/>
        <v>0.009853412989883391</v>
      </c>
      <c r="E9" s="49">
        <f t="shared" si="1"/>
        <v>-37290.029028029974</v>
      </c>
      <c r="F9" s="49">
        <f>75385.61+(0.0203*G12)</f>
        <v>81308.31364</v>
      </c>
      <c r="G9" s="71">
        <f t="shared" si="2"/>
        <v>0.021892584272446218</v>
      </c>
      <c r="H9" s="49">
        <f t="shared" si="3"/>
        <v>44673.34266802997</v>
      </c>
      <c r="I9" s="49">
        <f>13792+124725.42</f>
        <v>138517.41999999998</v>
      </c>
      <c r="J9" s="49">
        <f t="shared" si="4"/>
        <v>57209.10635999999</v>
      </c>
      <c r="K9" s="49">
        <f>+'[3]2011 Bridge Yr On Existing Ra'!$J$14</f>
        <v>208549.0277440037</v>
      </c>
      <c r="L9" s="23">
        <f t="shared" si="5"/>
        <v>70031.6077440037</v>
      </c>
      <c r="M9" s="49">
        <f>+'[3]Rates By Rate Class'!$B13</f>
        <v>178720.08051496604</v>
      </c>
      <c r="N9" s="23">
        <f t="shared" si="6"/>
        <v>-29828.947229037643</v>
      </c>
    </row>
    <row r="10" spans="1:14" ht="12.75">
      <c r="A10" s="47" t="s">
        <v>32</v>
      </c>
      <c r="B10" s="52">
        <v>3327</v>
      </c>
      <c r="C10" s="49">
        <f>2289.66+(D10*D12)</f>
        <v>2536.918974584451</v>
      </c>
      <c r="D10" s="58">
        <f t="shared" si="0"/>
        <v>0.0006823346577121053</v>
      </c>
      <c r="E10" s="49">
        <f t="shared" si="1"/>
        <v>-790.081025415549</v>
      </c>
      <c r="F10" s="49">
        <f>3652.02+(0.001*G12)</f>
        <v>3943.7788</v>
      </c>
      <c r="G10" s="71">
        <f t="shared" si="2"/>
        <v>0.0010618780031911978</v>
      </c>
      <c r="H10" s="49">
        <f t="shared" si="3"/>
        <v>1406.859825415549</v>
      </c>
      <c r="I10" s="49">
        <f>296+4193.32</f>
        <v>4489.32</v>
      </c>
      <c r="J10" s="49">
        <f t="shared" si="4"/>
        <v>545.5411999999997</v>
      </c>
      <c r="K10" s="49">
        <f>+'[3]2011 Bridge Yr On Existing Ra'!$J$13</f>
        <v>5517.963098875085</v>
      </c>
      <c r="L10" s="23">
        <f t="shared" si="5"/>
        <v>1028.6430988750853</v>
      </c>
      <c r="M10" s="49">
        <f>+'[3]Rates By Rate Class'!$B12</f>
        <v>5072.334916081537</v>
      </c>
      <c r="N10" s="23">
        <f t="shared" si="6"/>
        <v>-445.62818279354815</v>
      </c>
    </row>
    <row r="11" spans="1:14" ht="12.75" customHeight="1">
      <c r="A11" s="47" t="s">
        <v>33</v>
      </c>
      <c r="B11" s="53">
        <v>28729</v>
      </c>
      <c r="C11" s="15">
        <f>28795.58+(D11*D12)</f>
        <v>31905.196966433676</v>
      </c>
      <c r="D11" s="58">
        <f t="shared" si="0"/>
        <v>0.008581283781400533</v>
      </c>
      <c r="E11" s="15">
        <f t="shared" si="1"/>
        <v>3176.1969664336757</v>
      </c>
      <c r="F11" s="15">
        <f>31617.95+(0.0081*G12)</f>
        <v>33981.19628</v>
      </c>
      <c r="G11" s="71">
        <f>+F11/$F$12</f>
        <v>0.008483156508056111</v>
      </c>
      <c r="H11" s="85">
        <f t="shared" si="3"/>
        <v>2075.999313566321</v>
      </c>
      <c r="I11" s="15">
        <f>2042+30788.12</f>
        <v>32830.119999999995</v>
      </c>
      <c r="J11" s="85">
        <f t="shared" si="4"/>
        <v>-1151.0762800000011</v>
      </c>
      <c r="K11" s="15">
        <f>+'[3]2011 Bridge Yr On Existing Ra'!$J$15</f>
        <v>31330.6739</v>
      </c>
      <c r="L11" s="86">
        <f t="shared" si="5"/>
        <v>-1499.4460999999937</v>
      </c>
      <c r="M11" s="85">
        <f>+'[3]Rates By Rate Class'!$B14</f>
        <v>44091.077799481274</v>
      </c>
      <c r="N11" s="86">
        <f t="shared" si="6"/>
        <v>12760.403899481273</v>
      </c>
    </row>
    <row r="12" spans="1:14" ht="12.75">
      <c r="A12" s="61" t="s">
        <v>21</v>
      </c>
      <c r="B12" s="54">
        <f>SUM(B5:B11)</f>
        <v>3985246</v>
      </c>
      <c r="C12" s="30">
        <f>SUM(C5:C11)</f>
        <v>3717997.9648814863</v>
      </c>
      <c r="D12" s="30">
        <v>362372</v>
      </c>
      <c r="E12" s="30">
        <f aca="true" t="shared" si="7" ref="E12:K12">SUM(E5:E11)</f>
        <v>-267248.0351185138</v>
      </c>
      <c r="F12" s="30">
        <f>SUM(F5:F11)</f>
        <v>4005725.492359999</v>
      </c>
      <c r="G12" s="87">
        <f>+F13-F14</f>
        <v>291758.7999999998</v>
      </c>
      <c r="H12" s="30">
        <f t="shared" si="7"/>
        <v>287727.5274785134</v>
      </c>
      <c r="I12" s="30">
        <f t="shared" si="7"/>
        <v>4010859.3400000003</v>
      </c>
      <c r="J12" s="30">
        <f t="shared" si="7"/>
        <v>5133.847640000284</v>
      </c>
      <c r="K12" s="30">
        <f t="shared" si="7"/>
        <v>3966786.0092115114</v>
      </c>
      <c r="L12" s="88">
        <f t="shared" si="5"/>
        <v>-44073.330788488965</v>
      </c>
      <c r="M12" s="30">
        <f>SUM(M5:M11)</f>
        <v>4752741.520992839</v>
      </c>
      <c r="N12" s="88">
        <f>+M12-K12</f>
        <v>785955.5117813274</v>
      </c>
    </row>
    <row r="13" spans="2:14" ht="12.75">
      <c r="B13" s="52"/>
      <c r="C13" s="59">
        <v>3717998.12</v>
      </c>
      <c r="D13" s="49"/>
      <c r="E13" s="49"/>
      <c r="F13" s="59">
        <v>4005724.8</v>
      </c>
      <c r="G13" s="69"/>
      <c r="H13" s="49"/>
      <c r="I13" s="49"/>
      <c r="J13" s="49"/>
      <c r="K13" s="49"/>
      <c r="L13" s="49"/>
      <c r="M13" s="49"/>
      <c r="N13" s="49"/>
    </row>
    <row r="14" spans="2:14" ht="12.75">
      <c r="B14" s="52"/>
      <c r="C14" s="49"/>
      <c r="D14" s="49"/>
      <c r="E14" s="49"/>
      <c r="F14" s="59">
        <v>3713966</v>
      </c>
      <c r="H14" s="49"/>
      <c r="I14" s="49"/>
      <c r="J14" s="49"/>
      <c r="K14" s="49"/>
      <c r="L14" s="49"/>
      <c r="M14" s="49"/>
      <c r="N14" s="49"/>
    </row>
    <row r="15" spans="2:14" ht="12.75">
      <c r="B15" s="49"/>
      <c r="C15" s="49"/>
      <c r="D15" s="49"/>
      <c r="E15" s="49"/>
      <c r="F15" s="49"/>
      <c r="H15" s="49"/>
      <c r="I15" s="49"/>
      <c r="J15" s="49"/>
      <c r="K15" s="49"/>
      <c r="L15" s="49"/>
      <c r="M15" s="49"/>
      <c r="N15" s="49"/>
    </row>
    <row r="16" spans="1:14" ht="12.75">
      <c r="A16" s="60" t="s">
        <v>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12.75">
      <c r="A17" s="47" t="s">
        <v>22</v>
      </c>
      <c r="B17" s="52">
        <f>+'LUI Ex 3 Sum of Other Dist Rev'!C29</f>
        <v>103267</v>
      </c>
      <c r="C17" s="49">
        <f>+'LUI Ex 3 Sum of Other Dist Rev'!D29</f>
        <v>133125</v>
      </c>
      <c r="D17" s="49"/>
      <c r="E17" s="49">
        <f>C17-B17</f>
        <v>29858</v>
      </c>
      <c r="F17" s="49">
        <f>+'LUI Ex 3 Sum of Other Dist Rev'!F29</f>
        <v>144453</v>
      </c>
      <c r="H17" s="49">
        <f>F17-C17</f>
        <v>11328</v>
      </c>
      <c r="I17" s="49">
        <f>+'LUI Ex 3 Sum of Other Dist Rev'!H29</f>
        <v>127498.58</v>
      </c>
      <c r="J17" s="49">
        <f>I17-F17</f>
        <v>-16954.42</v>
      </c>
      <c r="K17" s="49">
        <f>+'LUI Ex 3 Sum of Other Dist Rev'!J29</f>
        <v>127000</v>
      </c>
      <c r="L17" s="49">
        <f>K17-I17</f>
        <v>-498.58000000000175</v>
      </c>
      <c r="M17" s="49">
        <f>+'LUI Ex 3 Sum of Other Dist Rev'!L29</f>
        <v>126500</v>
      </c>
      <c r="N17" s="49">
        <f>M17-K17</f>
        <v>-500</v>
      </c>
    </row>
    <row r="18" spans="1:14" ht="12.75">
      <c r="A18" s="47" t="s">
        <v>23</v>
      </c>
      <c r="B18" s="52">
        <f>+'LUI Ex 3 Sum of Other Dist Rev'!C30</f>
        <v>27565</v>
      </c>
      <c r="C18" s="49">
        <f>+'LUI Ex 3 Sum of Other Dist Rev'!D30</f>
        <v>72437</v>
      </c>
      <c r="D18" s="49"/>
      <c r="E18" s="49">
        <f>C18-B18</f>
        <v>44872</v>
      </c>
      <c r="F18" s="49">
        <f>+'LUI Ex 3 Sum of Other Dist Rev'!F30</f>
        <v>61033</v>
      </c>
      <c r="H18" s="49">
        <f>F18-C18</f>
        <v>-11404</v>
      </c>
      <c r="I18" s="49">
        <f>+'LUI Ex 3 Sum of Other Dist Rev'!H30</f>
        <v>63140.01</v>
      </c>
      <c r="J18" s="49">
        <f>I18-F18</f>
        <v>2107.010000000002</v>
      </c>
      <c r="K18" s="49">
        <f>+'LUI Ex 3 Sum of Other Dist Rev'!J30</f>
        <v>63140.01</v>
      </c>
      <c r="L18" s="49">
        <f>K18-I18</f>
        <v>0</v>
      </c>
      <c r="M18" s="49">
        <f>+'LUI Ex 3 Sum of Other Dist Rev'!L30</f>
        <v>63140.01</v>
      </c>
      <c r="N18" s="49">
        <f>M18-K18</f>
        <v>0</v>
      </c>
    </row>
    <row r="19" spans="1:14" ht="12.75">
      <c r="A19" s="47" t="s">
        <v>4</v>
      </c>
      <c r="B19" s="52">
        <f>+'LUI Ex 3 Sum of Other Dist Rev'!C31</f>
        <v>149461</v>
      </c>
      <c r="C19" s="49">
        <f>+'LUI Ex 3 Sum of Other Dist Rev'!D31</f>
        <v>158868.3</v>
      </c>
      <c r="D19" s="49"/>
      <c r="E19" s="49">
        <f>C19-B19</f>
        <v>9407.299999999988</v>
      </c>
      <c r="F19" s="49">
        <f>+'LUI Ex 3 Sum of Other Dist Rev'!F31</f>
        <v>166727.65</v>
      </c>
      <c r="H19" s="49">
        <f>F19-C19</f>
        <v>7859.350000000006</v>
      </c>
      <c r="I19" s="49">
        <f>+'LUI Ex 3 Sum of Other Dist Rev'!H31</f>
        <v>157273.13</v>
      </c>
      <c r="J19" s="49">
        <f>I19-F19</f>
        <v>-9454.51999999999</v>
      </c>
      <c r="K19" s="49">
        <f>+'LUI Ex 3 Sum of Other Dist Rev'!J31</f>
        <v>160406.09755402716</v>
      </c>
      <c r="L19" s="49">
        <f>K19-I19</f>
        <v>3132.9675540271564</v>
      </c>
      <c r="M19" s="49">
        <f>+'LUI Ex 3 Sum of Other Dist Rev'!L31</f>
        <v>160322</v>
      </c>
      <c r="N19" s="49">
        <f>M19-K19</f>
        <v>-84.0975540271611</v>
      </c>
    </row>
    <row r="20" spans="1:14" ht="12.75">
      <c r="A20" s="47" t="s">
        <v>25</v>
      </c>
      <c r="B20" s="52">
        <f>+'LUI Ex 3 Sum of Other Dist Rev'!C32</f>
        <v>55271</v>
      </c>
      <c r="C20" s="49">
        <f>+'LUI Ex 3 Sum of Other Dist Rev'!D32</f>
        <v>821667.27</v>
      </c>
      <c r="D20" s="49"/>
      <c r="E20" s="49">
        <f>C20-B20</f>
        <v>766396.27</v>
      </c>
      <c r="F20" s="49">
        <f>+'LUI Ex 3 Sum of Other Dist Rev'!F32</f>
        <v>108311.19</v>
      </c>
      <c r="H20" s="49">
        <f>F20-C20</f>
        <v>-713356.0800000001</v>
      </c>
      <c r="I20" s="49">
        <f>+'LUI Ex 3 Sum of Other Dist Rev'!H32</f>
        <v>60930.89</v>
      </c>
      <c r="J20" s="49">
        <f>I20-F20</f>
        <v>-47380.3</v>
      </c>
      <c r="K20" s="49">
        <f>+'LUI Ex 3 Sum of Other Dist Rev'!J32</f>
        <v>28500</v>
      </c>
      <c r="L20" s="49">
        <f>K20-I20</f>
        <v>-32430.89</v>
      </c>
      <c r="M20" s="49">
        <f>+'LUI Ex 3 Sum of Other Dist Rev'!L32</f>
        <v>28500</v>
      </c>
      <c r="N20" s="49">
        <f>M20-K20</f>
        <v>0</v>
      </c>
    </row>
    <row r="21" spans="1:14" ht="12.75">
      <c r="A21" s="61" t="s">
        <v>21</v>
      </c>
      <c r="B21" s="54">
        <f>SUM(B17:B20)</f>
        <v>335564</v>
      </c>
      <c r="C21" s="30">
        <f aca="true" t="shared" si="8" ref="C21:N21">SUM(C17:C20)</f>
        <v>1186097.57</v>
      </c>
      <c r="D21" s="30"/>
      <c r="E21" s="30">
        <f t="shared" si="8"/>
        <v>850533.5700000001</v>
      </c>
      <c r="F21" s="30">
        <f t="shared" si="8"/>
        <v>480524.84</v>
      </c>
      <c r="G21" s="65"/>
      <c r="H21" s="30">
        <f t="shared" si="8"/>
        <v>-705572.7300000001</v>
      </c>
      <c r="I21" s="30">
        <f t="shared" si="8"/>
        <v>408842.61</v>
      </c>
      <c r="J21" s="30">
        <f t="shared" si="8"/>
        <v>-71682.22999999998</v>
      </c>
      <c r="K21" s="30">
        <f t="shared" si="8"/>
        <v>379046.10755402717</v>
      </c>
      <c r="L21" s="30">
        <f t="shared" si="8"/>
        <v>-29796.502445972845</v>
      </c>
      <c r="M21" s="30">
        <f t="shared" si="8"/>
        <v>378462.01</v>
      </c>
      <c r="N21" s="30">
        <f t="shared" si="8"/>
        <v>-584.0975540271611</v>
      </c>
    </row>
    <row r="22" spans="1:14" ht="26.25" customHeight="1" thickBot="1">
      <c r="A22" s="47" t="s">
        <v>34</v>
      </c>
      <c r="B22" s="55">
        <f aca="true" t="shared" si="9" ref="B22:N22">B21+B12</f>
        <v>4320810</v>
      </c>
      <c r="C22" s="29">
        <f t="shared" si="9"/>
        <v>4904095.534881487</v>
      </c>
      <c r="D22" s="29"/>
      <c r="E22" s="29">
        <f t="shared" si="9"/>
        <v>583285.5348814863</v>
      </c>
      <c r="F22" s="29">
        <f t="shared" si="9"/>
        <v>4486250.332359999</v>
      </c>
      <c r="G22" s="66"/>
      <c r="H22" s="29">
        <f t="shared" si="9"/>
        <v>-417845.2025214867</v>
      </c>
      <c r="I22" s="29">
        <f t="shared" si="9"/>
        <v>4419701.95</v>
      </c>
      <c r="J22" s="29">
        <f t="shared" si="9"/>
        <v>-66548.3823599997</v>
      </c>
      <c r="K22" s="29">
        <f t="shared" si="9"/>
        <v>4345832.116765538</v>
      </c>
      <c r="L22" s="29">
        <f t="shared" si="9"/>
        <v>-73869.83323446181</v>
      </c>
      <c r="M22" s="29">
        <f t="shared" si="9"/>
        <v>5131203.530992839</v>
      </c>
      <c r="N22" s="29">
        <f t="shared" si="9"/>
        <v>785371.4142273003</v>
      </c>
    </row>
    <row r="23" ht="13.5" thickTop="1"/>
    <row r="24" spans="1:14" ht="12.75">
      <c r="A24" s="47" t="s">
        <v>35</v>
      </c>
      <c r="B24" s="17">
        <f>+B12/B22</f>
        <v>0.9223377098275555</v>
      </c>
      <c r="C24" s="17">
        <f>C12/C22</f>
        <v>0.7581414224980705</v>
      </c>
      <c r="D24" s="17"/>
      <c r="E24" s="17">
        <f>E12/E22</f>
        <v>-0.4581770318936746</v>
      </c>
      <c r="F24" s="17">
        <f>F12/F22</f>
        <v>0.8928894278293161</v>
      </c>
      <c r="H24" s="17">
        <f aca="true" t="shared" si="10" ref="H24:N24">H12/H22</f>
        <v>-0.6885983750494724</v>
      </c>
      <c r="I24" s="17">
        <f t="shared" si="10"/>
        <v>0.907495434166098</v>
      </c>
      <c r="J24" s="17">
        <f t="shared" si="10"/>
        <v>-0.07714458951426129</v>
      </c>
      <c r="K24" s="17">
        <f t="shared" si="10"/>
        <v>0.9127793947465834</v>
      </c>
      <c r="L24" s="17">
        <f t="shared" si="10"/>
        <v>0.596635038400599</v>
      </c>
      <c r="M24" s="17">
        <f t="shared" si="10"/>
        <v>0.9262430329036722</v>
      </c>
      <c r="N24" s="17">
        <f t="shared" si="10"/>
        <v>1.0007437214335102</v>
      </c>
    </row>
    <row r="25" spans="1:13" ht="12.75">
      <c r="A25" s="56" t="s">
        <v>103</v>
      </c>
      <c r="C25" s="18">
        <f>+-('[4]2008 Income Statement'!$B$31+'[4]2008 Income Statement'!$B$43+'[4]2008 Income Statement'!$B$66+'[4]2008 Income Statement'!$B$71)</f>
        <v>4904095.6899999995</v>
      </c>
      <c r="D25" s="18"/>
      <c r="F25" s="18">
        <f>-(+'[4]2009 Income Statement'!$B$31+'[4]2009 Income Statement'!$B$43+'[4]2009 Income Statement'!$B$66+'[4]2009 Income Statement'!$B$71)</f>
        <v>4486249.640000001</v>
      </c>
      <c r="I25" s="18">
        <f>-('[4]2010 Income Statement'!$B$31+'[4]2010 Income Statement'!$B$43+'[4]2010 Income Statement'!$B$67+'[4]2010 Income Statement'!$B$72)</f>
        <v>4525914.140000001</v>
      </c>
      <c r="K25" s="18">
        <f>-('[4]2011 Income Statement'!$B$31+'[4]2011 Income Statement'!$B$43+'[4]2011 Income Statement'!$B$66+'[4]2011 Income Statement'!$B$71)</f>
        <v>4345832.116765538</v>
      </c>
      <c r="M25" s="18">
        <f>-('[4]2012 Income Statement'!$B$31+'[4]2012 Income Statement'!$B$43+'[4]2012 Income Statement'!$B$66+'[4]2012 Income Statement'!$B$71)</f>
        <v>5131203.508127639</v>
      </c>
    </row>
    <row r="26" spans="1:13" ht="12.75">
      <c r="A26" s="56" t="s">
        <v>102</v>
      </c>
      <c r="C26" s="19">
        <f>+C22-C25</f>
        <v>-0.1551185129210353</v>
      </c>
      <c r="D26" s="19"/>
      <c r="E26" s="19"/>
      <c r="F26" s="19">
        <f>+F22-F25</f>
        <v>0.6923599988222122</v>
      </c>
      <c r="H26" s="19"/>
      <c r="I26" s="19">
        <f>+I22-I25</f>
        <v>-106212.19000000041</v>
      </c>
      <c r="J26" s="19"/>
      <c r="K26" s="19">
        <f>+K22-K25</f>
        <v>0</v>
      </c>
      <c r="L26" s="19"/>
      <c r="M26" s="19">
        <f>+M22-M25</f>
        <v>0.022865199483931065</v>
      </c>
    </row>
    <row r="27" spans="3:13" ht="12.75">
      <c r="C27" s="20"/>
      <c r="D27" s="20"/>
      <c r="E27" s="20"/>
      <c r="F27" s="20"/>
      <c r="H27" s="20"/>
      <c r="I27" s="20"/>
      <c r="J27" s="20"/>
      <c r="K27" s="20"/>
      <c r="L27" s="20"/>
      <c r="M27" s="20"/>
    </row>
    <row r="28" spans="1:13" ht="12.75">
      <c r="A28" s="56" t="s">
        <v>105</v>
      </c>
      <c r="C28" s="84">
        <f>+'LUI Ex 3 Sum of Other Dist Rev'!D20</f>
        <v>626554.27</v>
      </c>
      <c r="F28" s="69">
        <f>+'LUI Ex 3 Sum of Other Dist Rev'!F20</f>
        <v>36204.19</v>
      </c>
      <c r="I28" s="69">
        <f>+'LUI Ex 3 Sum of Other Dist Rev'!H20</f>
        <v>11991.28</v>
      </c>
      <c r="K28" s="69">
        <v>0</v>
      </c>
      <c r="M28" s="69">
        <v>0</v>
      </c>
    </row>
    <row r="29" spans="1:13" ht="12.75">
      <c r="A29" s="56"/>
      <c r="M29" s="19"/>
    </row>
    <row r="30" spans="1:16" ht="26.25" thickBot="1">
      <c r="A30" s="47" t="s">
        <v>37</v>
      </c>
      <c r="B30" s="16"/>
      <c r="C30" s="49">
        <f>+C22-C28</f>
        <v>4277541.264881486</v>
      </c>
      <c r="D30" s="49"/>
      <c r="E30" s="49">
        <f>E18</f>
        <v>44872</v>
      </c>
      <c r="F30" s="16">
        <f>F28+F22</f>
        <v>4522454.52236</v>
      </c>
      <c r="G30" s="67"/>
      <c r="H30" s="49"/>
      <c r="I30" s="16">
        <f>I28+I22</f>
        <v>4431693.23</v>
      </c>
      <c r="J30" s="49"/>
      <c r="K30" s="16">
        <f>K28+K22</f>
        <v>4345832.116765538</v>
      </c>
      <c r="L30" s="49"/>
      <c r="M30" s="16">
        <f>M28+M22</f>
        <v>5131203.530992839</v>
      </c>
      <c r="N30" s="49"/>
      <c r="P30" s="49">
        <f>P18</f>
        <v>0</v>
      </c>
    </row>
    <row r="31" spans="3:16" ht="13.5" thickTop="1">
      <c r="C31" s="49"/>
      <c r="D31" s="49"/>
      <c r="E31" s="49"/>
      <c r="H31" s="49"/>
      <c r="I31" s="49"/>
      <c r="J31" s="49"/>
      <c r="K31" s="49"/>
      <c r="L31" s="49"/>
      <c r="M31" s="49"/>
      <c r="N31" s="49"/>
      <c r="P31" s="49"/>
    </row>
    <row r="32" spans="1:16" ht="12.75">
      <c r="A32" s="56"/>
      <c r="C32" s="57"/>
      <c r="D32" s="57"/>
      <c r="E32" s="57"/>
      <c r="H32" s="57"/>
      <c r="I32" s="57"/>
      <c r="J32" s="57"/>
      <c r="K32" s="57"/>
      <c r="L32" s="57"/>
      <c r="M32" s="57"/>
      <c r="N32" s="57"/>
      <c r="P32" s="57"/>
    </row>
    <row r="33" spans="1:16" ht="12.75">
      <c r="A33" s="95" t="s">
        <v>109</v>
      </c>
      <c r="C33" s="57"/>
      <c r="D33" s="57"/>
      <c r="E33" s="57"/>
      <c r="H33" s="57"/>
      <c r="I33" s="57"/>
      <c r="J33" s="57"/>
      <c r="K33" s="57"/>
      <c r="L33" s="57"/>
      <c r="M33" s="57"/>
      <c r="N33" s="57"/>
      <c r="P33" s="57"/>
    </row>
    <row r="34" spans="1:16" ht="12.75">
      <c r="A34" s="76" t="s">
        <v>104</v>
      </c>
      <c r="B34" s="77"/>
      <c r="C34" s="78"/>
      <c r="D34" s="78"/>
      <c r="E34" s="78"/>
      <c r="F34" s="77"/>
      <c r="G34" s="79"/>
      <c r="H34" s="78"/>
      <c r="I34" s="78"/>
      <c r="J34" s="78"/>
      <c r="K34" s="78"/>
      <c r="L34" s="78"/>
      <c r="M34" s="78"/>
      <c r="N34" s="78"/>
      <c r="P34" s="57"/>
    </row>
    <row r="35" spans="1:16" ht="12.75">
      <c r="A35" s="76"/>
      <c r="B35" s="77"/>
      <c r="C35" s="78">
        <f>C9+C10+C12+C11</f>
        <v>3789075.0517944745</v>
      </c>
      <c r="D35" s="78"/>
      <c r="E35" s="78">
        <f>E9+E10+E12+E11</f>
        <v>-302151.94820552564</v>
      </c>
      <c r="F35" s="80">
        <f>F22/F30</f>
        <v>0.9919945706870021</v>
      </c>
      <c r="G35" s="79"/>
      <c r="H35" s="78">
        <f>H9+H10+H12+H11</f>
        <v>335883.7292855253</v>
      </c>
      <c r="I35" s="80">
        <f>I22/I30</f>
        <v>0.9972941989940038</v>
      </c>
      <c r="J35" s="78">
        <f>J9+J10+J12+J11</f>
        <v>61737.41892000027</v>
      </c>
      <c r="K35" s="80">
        <f>K22/K30</f>
        <v>1</v>
      </c>
      <c r="L35" s="78">
        <f>L9+L10+L12+L11</f>
        <v>25487.473954389825</v>
      </c>
      <c r="M35" s="80">
        <f>M22/M30</f>
        <v>1</v>
      </c>
      <c r="N35" s="78">
        <f>N9+N10+N12+N11</f>
        <v>768441.3402689776</v>
      </c>
      <c r="P35" s="49">
        <f>P9+P10+P12+P11</f>
        <v>0</v>
      </c>
    </row>
    <row r="36" spans="1:16" ht="12.75">
      <c r="A36" s="76"/>
      <c r="B36" s="77"/>
      <c r="C36" s="78"/>
      <c r="D36" s="78"/>
      <c r="E36" s="78"/>
      <c r="F36" s="80"/>
      <c r="G36" s="79"/>
      <c r="H36" s="78"/>
      <c r="I36" s="80"/>
      <c r="J36" s="78"/>
      <c r="K36" s="80"/>
      <c r="L36" s="78"/>
      <c r="M36" s="80"/>
      <c r="N36" s="78"/>
      <c r="P36" s="57"/>
    </row>
    <row r="37" spans="1:16" ht="12.75">
      <c r="A37" s="76"/>
      <c r="B37" s="77"/>
      <c r="C37" s="78"/>
      <c r="D37" s="78"/>
      <c r="E37" s="78"/>
      <c r="F37" s="80"/>
      <c r="G37" s="79"/>
      <c r="H37" s="78"/>
      <c r="I37" s="80"/>
      <c r="J37" s="78"/>
      <c r="K37" s="80"/>
      <c r="L37" s="78"/>
      <c r="M37" s="80"/>
      <c r="N37" s="78"/>
      <c r="P37" s="57"/>
    </row>
    <row r="38" spans="1:16" ht="12.75">
      <c r="A38" s="76"/>
      <c r="B38" s="77"/>
      <c r="C38" s="78"/>
      <c r="D38" s="78"/>
      <c r="E38" s="78"/>
      <c r="F38" s="80"/>
      <c r="G38" s="79"/>
      <c r="H38" s="78"/>
      <c r="I38" s="80"/>
      <c r="J38" s="78"/>
      <c r="K38" s="80"/>
      <c r="L38" s="78"/>
      <c r="M38" s="80"/>
      <c r="N38" s="78"/>
      <c r="P38" s="57"/>
    </row>
    <row r="39" spans="1:16" ht="25.5">
      <c r="A39" s="81" t="s">
        <v>101</v>
      </c>
      <c r="B39" s="77"/>
      <c r="C39" s="78">
        <f>C24+C25</f>
        <v>4904096.448141422</v>
      </c>
      <c r="D39" s="78"/>
      <c r="E39" s="78">
        <f>E19+E21+E22+E24+E25</f>
        <v>1443225.9467044545</v>
      </c>
      <c r="F39" s="78">
        <f>F24+F25</f>
        <v>4486250.532889429</v>
      </c>
      <c r="G39" s="79"/>
      <c r="H39" s="78">
        <f>H19+H21+H22+H24+H25</f>
        <v>-1115559.2711198619</v>
      </c>
      <c r="I39" s="78">
        <f>I24+I25</f>
        <v>4525915.047495435</v>
      </c>
      <c r="J39" s="78">
        <f>J19+J21+J22+J24+J25</f>
        <v>-147685.20950458918</v>
      </c>
      <c r="K39" s="78">
        <f>K24+K25</f>
        <v>4345833.029544933</v>
      </c>
      <c r="L39" s="78">
        <f>L19+L21+L22+L24+L25</f>
        <v>-100532.7714913691</v>
      </c>
      <c r="M39" s="78">
        <f>M24+M25</f>
        <v>5131204.434370672</v>
      </c>
      <c r="N39" s="78">
        <f>N19+N21+N22+N24+N25</f>
        <v>784704.2198629674</v>
      </c>
      <c r="P39" s="49">
        <f>P19+P21+P22+P24+P25</f>
        <v>0</v>
      </c>
    </row>
    <row r="40" spans="1:17" ht="12.75">
      <c r="A40" s="76"/>
      <c r="B40" s="77" t="s">
        <v>21</v>
      </c>
      <c r="C40" s="82">
        <f>SUM(C30:C39)</f>
        <v>12970712.764817383</v>
      </c>
      <c r="D40" s="82"/>
      <c r="E40" s="82">
        <f>SUM(E30:E39)</f>
        <v>1185945.9984989287</v>
      </c>
      <c r="F40" s="82">
        <f>SUM(F30:F39)</f>
        <v>9008706.047244</v>
      </c>
      <c r="G40" s="79"/>
      <c r="H40" s="82">
        <f aca="true" t="shared" si="11" ref="H40:N40">SUM(H30:H39)</f>
        <v>-779675.5418343366</v>
      </c>
      <c r="I40" s="82">
        <f t="shared" si="11"/>
        <v>8957609.274789635</v>
      </c>
      <c r="J40" s="82">
        <f t="shared" si="11"/>
        <v>-85947.7905845889</v>
      </c>
      <c r="K40" s="82">
        <f t="shared" si="11"/>
        <v>8691666.146310471</v>
      </c>
      <c r="L40" s="82">
        <f t="shared" si="11"/>
        <v>-75045.29753697928</v>
      </c>
      <c r="M40" s="82">
        <f t="shared" si="11"/>
        <v>10262408.96536351</v>
      </c>
      <c r="N40" s="83">
        <f t="shared" si="11"/>
        <v>1553145.560131945</v>
      </c>
      <c r="O40" s="22"/>
      <c r="P40" s="21">
        <f>SUM(P30:P39)</f>
        <v>0</v>
      </c>
      <c r="Q40" s="22"/>
    </row>
    <row r="41" spans="1:14" ht="12.75">
      <c r="A41" s="76"/>
      <c r="B41" s="77"/>
      <c r="C41" s="77"/>
      <c r="D41" s="77"/>
      <c r="E41" s="77"/>
      <c r="F41" s="77"/>
      <c r="G41" s="79"/>
      <c r="H41" s="77"/>
      <c r="I41" s="77"/>
      <c r="J41" s="77"/>
      <c r="K41" s="77"/>
      <c r="L41" s="77"/>
      <c r="M41" s="77"/>
      <c r="N41" s="77"/>
    </row>
    <row r="42" ht="12.75"/>
    <row r="43" ht="12.75"/>
    <row r="44" ht="12.75"/>
    <row r="45" ht="12.75"/>
    <row r="46" ht="12.75"/>
    <row r="47" ht="12.75"/>
    <row r="48" ht="12.75"/>
    <row r="49" spans="1:8" ht="15.75">
      <c r="A49" s="101"/>
      <c r="B49" s="101"/>
      <c r="C49" s="101"/>
      <c r="D49" s="101"/>
      <c r="E49" s="101"/>
      <c r="F49" s="101"/>
      <c r="G49" s="101"/>
      <c r="H49" s="101"/>
    </row>
    <row r="50" spans="1:14" ht="51">
      <c r="A50" s="96" t="s">
        <v>26</v>
      </c>
      <c r="B50" s="47" t="s">
        <v>45</v>
      </c>
      <c r="C50" s="47" t="s">
        <v>2</v>
      </c>
      <c r="D50" s="47" t="s">
        <v>100</v>
      </c>
      <c r="E50" s="47" t="s">
        <v>46</v>
      </c>
      <c r="F50" s="47" t="s">
        <v>38</v>
      </c>
      <c r="G50" s="63" t="s">
        <v>100</v>
      </c>
      <c r="H50" s="47" t="s">
        <v>3</v>
      </c>
      <c r="I50" s="47" t="s">
        <v>44</v>
      </c>
      <c r="J50" s="47" t="s">
        <v>39</v>
      </c>
      <c r="K50" s="47" t="s">
        <v>43</v>
      </c>
      <c r="L50" s="47" t="s">
        <v>47</v>
      </c>
      <c r="M50" s="47" t="s">
        <v>41</v>
      </c>
      <c r="N50" s="47" t="s">
        <v>42</v>
      </c>
    </row>
    <row r="51" spans="1:14" ht="12.75">
      <c r="A51" s="96"/>
      <c r="B51" s="48" t="s">
        <v>27</v>
      </c>
      <c r="C51" s="48" t="s">
        <v>27</v>
      </c>
      <c r="E51" s="48" t="s">
        <v>27</v>
      </c>
      <c r="F51" s="48" t="s">
        <v>27</v>
      </c>
      <c r="H51" s="48" t="s">
        <v>27</v>
      </c>
      <c r="I51" s="48" t="s">
        <v>27</v>
      </c>
      <c r="J51" s="48" t="s">
        <v>27</v>
      </c>
      <c r="K51" s="48" t="s">
        <v>27</v>
      </c>
      <c r="L51" s="48" t="s">
        <v>27</v>
      </c>
      <c r="M51" s="48" t="s">
        <v>27</v>
      </c>
      <c r="N51" s="48" t="s">
        <v>27</v>
      </c>
    </row>
    <row r="52" spans="1:7" ht="12.75">
      <c r="A52" s="60" t="s">
        <v>28</v>
      </c>
      <c r="G52" s="48"/>
    </row>
    <row r="53" spans="1:14" ht="12.75">
      <c r="A53" s="47" t="s">
        <v>29</v>
      </c>
      <c r="B53" s="51">
        <v>1917386</v>
      </c>
      <c r="C53" s="23">
        <f>1661524.62+(D53*D60)</f>
        <v>1840951.6413865902</v>
      </c>
      <c r="D53" s="58">
        <f aca="true" t="shared" si="12" ref="D53:D59">+C53/$C$13</f>
        <v>0.4951459312159604</v>
      </c>
      <c r="E53" s="49">
        <f aca="true" t="shared" si="13" ref="E53:E59">C53-B53</f>
        <v>-76434.3586134098</v>
      </c>
      <c r="F53" s="70">
        <f>1827112.99+0.492*$G$12</f>
        <v>1970658.3195999998</v>
      </c>
      <c r="G53" s="71">
        <f aca="true" t="shared" si="14" ref="G53:G58">+F53/$F$14</f>
        <v>0.530607528340324</v>
      </c>
      <c r="H53" s="49">
        <f aca="true" t="shared" si="15" ref="H53:H59">F53-C53</f>
        <v>129706.67821340961</v>
      </c>
      <c r="I53" s="23">
        <f>1773015.84+136318</f>
        <v>1909333.84</v>
      </c>
      <c r="J53" s="49">
        <f aca="true" t="shared" si="16" ref="J53:J59">I53-F53</f>
        <v>-61324.47959999973</v>
      </c>
      <c r="K53" s="23">
        <f>+'[3]2011 Bridge Yr On Existing Ra'!$J50</f>
        <v>0</v>
      </c>
      <c r="L53" s="23">
        <f aca="true" t="shared" si="17" ref="L53:L60">+K53-I53</f>
        <v>-1909333.84</v>
      </c>
      <c r="M53" s="23">
        <f>+'[3]Rates By Rate Class'!$K$8</f>
        <v>2653930.601417059</v>
      </c>
      <c r="N53" s="23">
        <f aca="true" t="shared" si="18" ref="N53:N60">+M53-K53</f>
        <v>2653930.601417059</v>
      </c>
    </row>
    <row r="54" spans="1:14" ht="12.75">
      <c r="A54" s="47" t="s">
        <v>30</v>
      </c>
      <c r="B54" s="52">
        <v>656516</v>
      </c>
      <c r="C54" s="49">
        <f>558731.59+(D54*$D$12)</f>
        <v>619068.6706195417</v>
      </c>
      <c r="D54" s="58">
        <f t="shared" si="12"/>
        <v>0.16650591276241464</v>
      </c>
      <c r="E54" s="49">
        <f t="shared" si="13"/>
        <v>-37447.32938045834</v>
      </c>
      <c r="F54" s="49">
        <f>574603.36+0.1547*$G$12</f>
        <v>619738.44636</v>
      </c>
      <c r="G54" s="71">
        <f t="shared" si="14"/>
        <v>0.1668670220352044</v>
      </c>
      <c r="H54" s="49">
        <f t="shared" si="15"/>
        <v>669.7757404582808</v>
      </c>
      <c r="I54" s="49">
        <f>555529.51+43565</f>
        <v>599094.51</v>
      </c>
      <c r="J54" s="49">
        <f t="shared" si="16"/>
        <v>-20643.936359999934</v>
      </c>
      <c r="K54" s="23">
        <f>+'[3]2011 Bridge Yr On Existing Ra'!$J51</f>
        <v>0</v>
      </c>
      <c r="L54" s="23">
        <f t="shared" si="17"/>
        <v>-599094.51</v>
      </c>
      <c r="M54" s="49">
        <f>+'[3]Rates By Rate Class'!$K50</f>
        <v>0</v>
      </c>
      <c r="N54" s="23">
        <f t="shared" si="18"/>
        <v>0</v>
      </c>
    </row>
    <row r="55" spans="1:14" ht="12.75">
      <c r="A55" s="47" t="s">
        <v>51</v>
      </c>
      <c r="B55" s="52">
        <v>1208240</v>
      </c>
      <c r="C55" s="49">
        <f>1050067.22+(D55*D60)</f>
        <v>1163463.332987057</v>
      </c>
      <c r="D55" s="58">
        <f t="shared" si="12"/>
        <v>0.3129273591421442</v>
      </c>
      <c r="E55" s="49">
        <f t="shared" si="13"/>
        <v>-44776.667012942955</v>
      </c>
      <c r="F55" s="49">
        <f>1143811.74+(0.308*G60)+88</f>
        <v>2377662.9784</v>
      </c>
      <c r="G55" s="71">
        <f t="shared" si="14"/>
        <v>0.6401951386738597</v>
      </c>
      <c r="H55" s="49">
        <f t="shared" si="15"/>
        <v>1214199.6454129429</v>
      </c>
      <c r="I55" s="49">
        <f>87899+1192044.93</f>
        <v>1279943.93</v>
      </c>
      <c r="J55" s="49">
        <f t="shared" si="16"/>
        <v>-1097719.0484</v>
      </c>
      <c r="K55" s="23">
        <f>+'[3]2011 Bridge Yr On Existing Ra'!$J52</f>
        <v>0</v>
      </c>
      <c r="L55" s="23">
        <f t="shared" si="17"/>
        <v>-1279943.93</v>
      </c>
      <c r="M55" s="49">
        <f>+'[3]Rates By Rate Class'!$K51</f>
        <v>0</v>
      </c>
      <c r="N55" s="23">
        <f t="shared" si="18"/>
        <v>0</v>
      </c>
    </row>
    <row r="56" spans="1:14" ht="12.75">
      <c r="A56" s="47" t="s">
        <v>52</v>
      </c>
      <c r="B56" s="52">
        <v>97123</v>
      </c>
      <c r="C56" s="49">
        <f>21152.94+(D56*D60)</f>
        <v>23437.23297530918</v>
      </c>
      <c r="D56" s="58">
        <f t="shared" si="12"/>
        <v>0.006303723729507744</v>
      </c>
      <c r="E56" s="49">
        <f t="shared" si="13"/>
        <v>-73685.76702469082</v>
      </c>
      <c r="F56" s="49">
        <f>57782.55+(0.0156*G60)</f>
        <v>120271.85688</v>
      </c>
      <c r="G56" s="71">
        <f t="shared" si="14"/>
        <v>0.03238367203146179</v>
      </c>
      <c r="H56" s="49">
        <f t="shared" si="15"/>
        <v>96834.62390469083</v>
      </c>
      <c r="I56" s="49">
        <f>11986+34664.2</f>
        <v>46650.2</v>
      </c>
      <c r="J56" s="49">
        <f t="shared" si="16"/>
        <v>-73621.65688000001</v>
      </c>
      <c r="K56" s="23">
        <f>+'[3]2011 Bridge Yr On Existing Ra'!$J53</f>
        <v>0</v>
      </c>
      <c r="L56" s="23">
        <f t="shared" si="17"/>
        <v>-46650.2</v>
      </c>
      <c r="M56" s="49">
        <f>+'[3]Rates By Rate Class'!$K52</f>
        <v>0</v>
      </c>
      <c r="N56" s="23">
        <f t="shared" si="18"/>
        <v>0</v>
      </c>
    </row>
    <row r="57" spans="1:14" ht="12.75">
      <c r="A57" s="47" t="s">
        <v>31</v>
      </c>
      <c r="B57" s="52">
        <v>73925</v>
      </c>
      <c r="C57" s="49">
        <f>33064.37+(D57*D60)</f>
        <v>36634.970971970026</v>
      </c>
      <c r="D57" s="58">
        <f t="shared" si="12"/>
        <v>0.009853412989883391</v>
      </c>
      <c r="E57" s="49">
        <f t="shared" si="13"/>
        <v>-37290.029028029974</v>
      </c>
      <c r="F57" s="49">
        <f>75385.61+(0.0203*G60)</f>
        <v>156701.82344</v>
      </c>
      <c r="G57" s="71">
        <f t="shared" si="14"/>
        <v>0.042192584272446224</v>
      </c>
      <c r="H57" s="49">
        <f t="shared" si="15"/>
        <v>120066.85246802997</v>
      </c>
      <c r="I57" s="49">
        <f>13792+124725.42</f>
        <v>138517.41999999998</v>
      </c>
      <c r="J57" s="49">
        <f t="shared" si="16"/>
        <v>-18184.403440000024</v>
      </c>
      <c r="K57" s="49">
        <f>+'[3]2011 Bridge Yr On Existing Ra'!$J$14</f>
        <v>208549.0277440037</v>
      </c>
      <c r="L57" s="23">
        <f t="shared" si="17"/>
        <v>70031.6077440037</v>
      </c>
      <c r="M57" s="49">
        <f>+'[3]Rates By Rate Class'!$K54</f>
        <v>0</v>
      </c>
      <c r="N57" s="23">
        <f t="shared" si="18"/>
        <v>-208549.0277440037</v>
      </c>
    </row>
    <row r="58" spans="1:14" ht="12.75">
      <c r="A58" s="47" t="s">
        <v>32</v>
      </c>
      <c r="B58" s="52">
        <v>3327</v>
      </c>
      <c r="C58" s="49">
        <f>2289.66+(D58*D60)</f>
        <v>2536.918974584451</v>
      </c>
      <c r="D58" s="58">
        <f t="shared" si="12"/>
        <v>0.0006823346577121053</v>
      </c>
      <c r="E58" s="49">
        <f t="shared" si="13"/>
        <v>-790.081025415549</v>
      </c>
      <c r="F58" s="49">
        <f>3652.02+(0.001*G60)</f>
        <v>7657.7448</v>
      </c>
      <c r="G58" s="71">
        <f t="shared" si="14"/>
        <v>0.002061878003191198</v>
      </c>
      <c r="H58" s="49">
        <f t="shared" si="15"/>
        <v>5120.82582541555</v>
      </c>
      <c r="I58" s="49">
        <f>296+4193.32</f>
        <v>4489.32</v>
      </c>
      <c r="J58" s="49">
        <f t="shared" si="16"/>
        <v>-3168.4248000000007</v>
      </c>
      <c r="K58" s="49">
        <f>+'[3]2011 Bridge Yr On Existing Ra'!$J$13</f>
        <v>5517.963098875085</v>
      </c>
      <c r="L58" s="23">
        <f t="shared" si="17"/>
        <v>1028.6430988750853</v>
      </c>
      <c r="M58" s="49">
        <f>+'[3]Rates By Rate Class'!$K53</f>
        <v>0</v>
      </c>
      <c r="N58" s="23">
        <f t="shared" si="18"/>
        <v>-5517.963098875085</v>
      </c>
    </row>
    <row r="59" spans="1:14" ht="15">
      <c r="A59" s="47" t="s">
        <v>33</v>
      </c>
      <c r="B59" s="53">
        <v>28729</v>
      </c>
      <c r="C59" s="15">
        <f>28795.58+(D59*D60)</f>
        <v>31905.196966433676</v>
      </c>
      <c r="D59" s="58">
        <f t="shared" si="12"/>
        <v>0.008581283781400533</v>
      </c>
      <c r="E59" s="15">
        <f t="shared" si="13"/>
        <v>3176.1969664336757</v>
      </c>
      <c r="F59" s="15">
        <f>31617.95+(0.0081*G60)</f>
        <v>64064.32088</v>
      </c>
      <c r="G59" s="71">
        <f>+F59/$F$12</f>
        <v>0.015993188001071957</v>
      </c>
      <c r="H59" s="50">
        <f t="shared" si="15"/>
        <v>32159.123913566324</v>
      </c>
      <c r="I59" s="15">
        <f>2042+30788.12</f>
        <v>32830.119999999995</v>
      </c>
      <c r="J59" s="50">
        <f t="shared" si="16"/>
        <v>-31234.200880000004</v>
      </c>
      <c r="K59" s="15">
        <f>+'[3]2011 Bridge Yr On Existing Ra'!$J$15</f>
        <v>31330.6739</v>
      </c>
      <c r="L59" s="72">
        <f t="shared" si="17"/>
        <v>-1499.4460999999937</v>
      </c>
      <c r="M59" s="50">
        <f>+'[3]Rates By Rate Class'!$K55</f>
        <v>0</v>
      </c>
      <c r="N59" s="72">
        <f t="shared" si="18"/>
        <v>-31330.6739</v>
      </c>
    </row>
    <row r="60" spans="1:14" ht="12.75">
      <c r="A60" s="47" t="s">
        <v>21</v>
      </c>
      <c r="B60" s="52">
        <f>SUM(B53:B59)</f>
        <v>3985246</v>
      </c>
      <c r="C60" s="49">
        <f>SUM(C53:C59)</f>
        <v>3717997.9648814863</v>
      </c>
      <c r="D60" s="49">
        <v>362372</v>
      </c>
      <c r="E60" s="49">
        <f>SUM(E53:E59)</f>
        <v>-267248.0351185138</v>
      </c>
      <c r="F60" s="49">
        <f>SUM(F53:F59)</f>
        <v>5316755.49036</v>
      </c>
      <c r="G60" s="68">
        <f>+F61-F62</f>
        <v>4005724.8</v>
      </c>
      <c r="H60" s="49">
        <f>SUM(H53:H59)</f>
        <v>1598757.5254785134</v>
      </c>
      <c r="I60" s="49">
        <f>SUM(I53:I59)</f>
        <v>4010859.3400000003</v>
      </c>
      <c r="J60" s="49">
        <f>SUM(J53:J59)</f>
        <v>-1305896.1503599994</v>
      </c>
      <c r="K60" s="49">
        <f>SUM(K53:K59)</f>
        <v>245397.66474287875</v>
      </c>
      <c r="L60" s="23">
        <f t="shared" si="17"/>
        <v>-3765461.6752571217</v>
      </c>
      <c r="M60" s="49">
        <f>SUM(M53:M59)</f>
        <v>2653930.601417059</v>
      </c>
      <c r="N60" s="23">
        <f t="shared" si="18"/>
        <v>2408532.9366741804</v>
      </c>
    </row>
    <row r="61" spans="2:14" ht="12.75">
      <c r="B61" s="52"/>
      <c r="C61" s="59">
        <v>3717998.12</v>
      </c>
      <c r="D61" s="49"/>
      <c r="E61" s="49"/>
      <c r="F61" s="59">
        <v>4005724.8</v>
      </c>
      <c r="G61" s="69"/>
      <c r="H61" s="49"/>
      <c r="I61" s="49"/>
      <c r="J61" s="49"/>
      <c r="K61" s="49"/>
      <c r="L61" s="49"/>
      <c r="M61" s="49"/>
      <c r="N61" s="49"/>
    </row>
  </sheetData>
  <sheetProtection/>
  <mergeCells count="4">
    <mergeCell ref="A2:A3"/>
    <mergeCell ref="A1:H1"/>
    <mergeCell ref="A49:H49"/>
    <mergeCell ref="A50:A51"/>
  </mergeCells>
  <printOptions/>
  <pageMargins left="0.7" right="0.7" top="0.75" bottom="0.75" header="0.3" footer="0.3"/>
  <pageSetup fitToHeight="1" fitToWidth="1" horizontalDpi="600" verticalDpi="600" orientation="landscape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V43" sqref="V43"/>
    </sheetView>
  </sheetViews>
  <sheetFormatPr defaultColWidth="40.00390625" defaultRowHeight="12.75"/>
  <cols>
    <col min="1" max="1" width="11.140625" style="1" customWidth="1"/>
    <col min="2" max="2" width="39.7109375" style="1" customWidth="1"/>
    <col min="3" max="3" width="10.28125" style="1" customWidth="1"/>
    <col min="4" max="4" width="10.421875" style="1" customWidth="1"/>
    <col min="5" max="5" width="10.00390625" style="1" bestFit="1" customWidth="1"/>
    <col min="6" max="6" width="10.28125" style="1" hidden="1" customWidth="1"/>
    <col min="7" max="7" width="10.8515625" style="1" hidden="1" customWidth="1"/>
    <col min="8" max="8" width="10.28125" style="1" hidden="1" customWidth="1"/>
    <col min="9" max="9" width="9.57421875" style="1" hidden="1" customWidth="1"/>
    <col min="10" max="10" width="10.28125" style="1" hidden="1" customWidth="1"/>
    <col min="11" max="11" width="10.421875" style="1" hidden="1" customWidth="1"/>
    <col min="12" max="12" width="9.8515625" style="1" hidden="1" customWidth="1"/>
    <col min="13" max="13" width="11.28125" style="1" hidden="1" customWidth="1"/>
    <col min="14" max="14" width="11.00390625" style="1" hidden="1" customWidth="1"/>
    <col min="15" max="15" width="0" style="1" hidden="1" customWidth="1"/>
    <col min="16" max="16" width="17.8515625" style="1" customWidth="1"/>
    <col min="17" max="17" width="15.7109375" style="1" customWidth="1"/>
    <col min="18" max="19" width="40.00390625" style="1" customWidth="1"/>
    <col min="20" max="22" width="12.140625" style="1" customWidth="1"/>
    <col min="23" max="16384" width="40.00390625" style="1" customWidth="1"/>
  </cols>
  <sheetData>
    <row r="1" ht="12.75">
      <c r="P1" s="1">
        <v>-1</v>
      </c>
    </row>
    <row r="2" ht="12.75"/>
    <row r="3" ht="12.75"/>
    <row r="4" spans="2:13" ht="18.75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22" s="2" customFormat="1" ht="63.75" customHeight="1">
      <c r="B5" s="25" t="s">
        <v>1</v>
      </c>
      <c r="C5" s="26" t="s">
        <v>45</v>
      </c>
      <c r="D5" s="26" t="s">
        <v>2</v>
      </c>
      <c r="E5" s="26" t="s">
        <v>46</v>
      </c>
      <c r="F5" s="26" t="s">
        <v>38</v>
      </c>
      <c r="G5" s="26" t="s">
        <v>3</v>
      </c>
      <c r="H5" s="26" t="s">
        <v>44</v>
      </c>
      <c r="I5" s="26" t="s">
        <v>39</v>
      </c>
      <c r="J5" s="26" t="s">
        <v>43</v>
      </c>
      <c r="K5" s="26" t="s">
        <v>47</v>
      </c>
      <c r="L5" s="26" t="s">
        <v>41</v>
      </c>
      <c r="M5" s="26" t="s">
        <v>42</v>
      </c>
      <c r="S5" s="96" t="s">
        <v>26</v>
      </c>
      <c r="T5" s="92" t="s">
        <v>45</v>
      </c>
      <c r="U5" s="92" t="s">
        <v>2</v>
      </c>
      <c r="V5" s="92" t="s">
        <v>46</v>
      </c>
    </row>
    <row r="6" spans="2:22" ht="12.75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S6" s="96"/>
      <c r="T6" s="48" t="s">
        <v>27</v>
      </c>
      <c r="U6" s="48" t="s">
        <v>27</v>
      </c>
      <c r="V6" s="48" t="s">
        <v>27</v>
      </c>
    </row>
    <row r="7" spans="2:22" ht="12.75">
      <c r="B7" s="7" t="s">
        <v>5</v>
      </c>
      <c r="C7" s="24">
        <f>-12022*ops</f>
        <v>12022</v>
      </c>
      <c r="D7" s="4">
        <f>-'[4]Trial Balance'!$D$225</f>
        <v>13320</v>
      </c>
      <c r="E7" s="4">
        <f>D7-C7</f>
        <v>1298</v>
      </c>
      <c r="F7" s="4">
        <f>'[4]Trial Balance'!$F$225</f>
        <v>-10013</v>
      </c>
      <c r="G7" s="4">
        <f>F7-D7</f>
        <v>-23333</v>
      </c>
      <c r="H7" s="4">
        <f>'[4]Trial Balance'!$H$225</f>
        <v>-10178</v>
      </c>
      <c r="I7" s="4">
        <f aca="true" t="shared" si="0" ref="I7:I24">H7-F7</f>
        <v>-165</v>
      </c>
      <c r="J7" s="4">
        <f>'[4]Trial Balance'!$J$225</f>
        <v>-10015</v>
      </c>
      <c r="K7" s="4">
        <f aca="true" t="shared" si="1" ref="K7:M24">J7-H7</f>
        <v>163</v>
      </c>
      <c r="L7" s="4">
        <f>'[4]Trial Balance'!$L$225</f>
        <v>-9985</v>
      </c>
      <c r="M7" s="4">
        <f t="shared" si="1"/>
        <v>30</v>
      </c>
      <c r="N7" s="11"/>
      <c r="S7" s="60" t="s">
        <v>28</v>
      </c>
      <c r="T7" s="48"/>
      <c r="U7" s="48"/>
      <c r="V7" s="48"/>
    </row>
    <row r="8" spans="2:22" ht="12.75">
      <c r="B8" s="7" t="s">
        <v>6</v>
      </c>
      <c r="C8" s="24">
        <f>-347*ops</f>
        <v>347</v>
      </c>
      <c r="D8" s="4">
        <f>-'[4]Trial Balance'!$D$226</f>
        <v>1380</v>
      </c>
      <c r="E8" s="4">
        <f>D8-C8</f>
        <v>1033</v>
      </c>
      <c r="F8" s="4">
        <f>'[4]Trial Balance'!$F$226</f>
        <v>-4560</v>
      </c>
      <c r="G8" s="4">
        <f>F8-D8</f>
        <v>-5940</v>
      </c>
      <c r="H8" s="4">
        <f>'[4]Trial Balance'!$H$226</f>
        <v>-4774</v>
      </c>
      <c r="I8" s="4">
        <f t="shared" si="0"/>
        <v>-214</v>
      </c>
      <c r="J8" s="4">
        <f>'[4]Trial Balance'!$J$226</f>
        <v>-4560</v>
      </c>
      <c r="K8" s="4">
        <f t="shared" si="1"/>
        <v>214</v>
      </c>
      <c r="L8" s="4">
        <f>'[4]Trial Balance'!$L$226</f>
        <v>-4015</v>
      </c>
      <c r="M8" s="4">
        <f t="shared" si="1"/>
        <v>545</v>
      </c>
      <c r="S8" s="92" t="s">
        <v>29</v>
      </c>
      <c r="T8" s="51">
        <v>1917386</v>
      </c>
      <c r="U8" s="23">
        <v>1840951.6413865902</v>
      </c>
      <c r="V8" s="93">
        <v>-76434.3586134098</v>
      </c>
    </row>
    <row r="9" spans="2:22" ht="12.75">
      <c r="B9" s="7" t="s">
        <v>50</v>
      </c>
      <c r="C9" s="24">
        <f>-45600*ops</f>
        <v>45600</v>
      </c>
      <c r="D9" s="4">
        <f>-'[4]Trial Balance'!$D$229</f>
        <v>51600</v>
      </c>
      <c r="E9" s="4">
        <f>D9-C9</f>
        <v>6000</v>
      </c>
      <c r="F9" s="4">
        <f>+'[4]Trial Balance'!$F$229</f>
        <v>-51600</v>
      </c>
      <c r="G9" s="4">
        <f>F9-D9</f>
        <v>-103200</v>
      </c>
      <c r="H9" s="4">
        <f>+'[4]Trial Balance'!$H$229</f>
        <v>-51600</v>
      </c>
      <c r="I9" s="4">
        <f t="shared" si="0"/>
        <v>0</v>
      </c>
      <c r="J9" s="4">
        <f>'[4]Trial Balance'!$J$229</f>
        <v>-51600</v>
      </c>
      <c r="K9" s="4">
        <f t="shared" si="1"/>
        <v>0</v>
      </c>
      <c r="L9" s="4">
        <f>'[4]Trial Balance'!$L$229</f>
        <v>-51600</v>
      </c>
      <c r="M9" s="4">
        <f t="shared" si="1"/>
        <v>0</v>
      </c>
      <c r="S9" s="92" t="s">
        <v>30</v>
      </c>
      <c r="T9" s="52">
        <v>656516</v>
      </c>
      <c r="U9" s="93">
        <v>619068.6706195417</v>
      </c>
      <c r="V9" s="93">
        <v>-37447.32938045834</v>
      </c>
    </row>
    <row r="10" spans="2:22" ht="12.75">
      <c r="B10" s="7" t="s">
        <v>7</v>
      </c>
      <c r="C10" s="24">
        <f>-56300*ops</f>
        <v>56300</v>
      </c>
      <c r="D10" s="4">
        <f>-'[4]Trial Balance'!$D$230</f>
        <v>59777</v>
      </c>
      <c r="E10" s="4">
        <f>D10-C10</f>
        <v>3477</v>
      </c>
      <c r="F10" s="4">
        <f>'[4]Trial Balance'!$F$230</f>
        <v>-65115</v>
      </c>
      <c r="G10" s="4">
        <f>F10-D10</f>
        <v>-124892</v>
      </c>
      <c r="H10" s="4">
        <f>'[4]Trial Balance'!$H$230</f>
        <v>-56697.01</v>
      </c>
      <c r="I10" s="4">
        <f t="shared" si="0"/>
        <v>8417.989999999998</v>
      </c>
      <c r="J10" s="4">
        <f>'[4]Trial Balance'!$J$230</f>
        <v>-56500</v>
      </c>
      <c r="K10" s="4">
        <f t="shared" si="1"/>
        <v>197.01000000000204</v>
      </c>
      <c r="L10" s="4">
        <f>'[4]Trial Balance'!$L$230</f>
        <v>-56400</v>
      </c>
      <c r="M10" s="4">
        <f t="shared" si="1"/>
        <v>100</v>
      </c>
      <c r="S10" s="92" t="s">
        <v>51</v>
      </c>
      <c r="T10" s="52">
        <v>1208240</v>
      </c>
      <c r="U10" s="93">
        <v>1163463.332987057</v>
      </c>
      <c r="V10" s="93">
        <v>-44776.667012942955</v>
      </c>
    </row>
    <row r="11" spans="2:22" ht="13.5" customHeight="1" hidden="1">
      <c r="B11" s="7" t="s">
        <v>49</v>
      </c>
      <c r="C11" s="24"/>
      <c r="D11" s="4"/>
      <c r="E11" s="4"/>
      <c r="F11" s="4"/>
      <c r="G11" s="4"/>
      <c r="H11" s="4"/>
      <c r="I11" s="4"/>
      <c r="J11" s="4"/>
      <c r="K11" s="4"/>
      <c r="L11" s="4"/>
      <c r="M11" s="4"/>
      <c r="S11" s="92" t="s">
        <v>52</v>
      </c>
      <c r="T11" s="52">
        <v>97123</v>
      </c>
      <c r="U11" s="93">
        <v>23437.23297530918</v>
      </c>
      <c r="V11" s="93">
        <v>-73685.76702469082</v>
      </c>
    </row>
    <row r="12" spans="2:22" ht="13.5" customHeight="1" hidden="1">
      <c r="B12" s="7" t="s">
        <v>40</v>
      </c>
      <c r="C12" s="24"/>
      <c r="D12" s="4"/>
      <c r="E12" s="4">
        <f aca="true" t="shared" si="2" ref="E12:E23">D12-C12</f>
        <v>0</v>
      </c>
      <c r="F12" s="4"/>
      <c r="G12" s="4">
        <f>F12-D12</f>
        <v>0</v>
      </c>
      <c r="H12" s="4"/>
      <c r="I12" s="4">
        <f t="shared" si="0"/>
        <v>0</v>
      </c>
      <c r="J12" s="4"/>
      <c r="K12" s="4">
        <f t="shared" si="1"/>
        <v>0</v>
      </c>
      <c r="L12" s="4"/>
      <c r="M12" s="4">
        <f t="shared" si="1"/>
        <v>0</v>
      </c>
      <c r="S12" s="92" t="s">
        <v>31</v>
      </c>
      <c r="T12" s="52">
        <v>73925</v>
      </c>
      <c r="U12" s="93">
        <v>36634.970971970026</v>
      </c>
      <c r="V12" s="93">
        <v>-37290.029028029974</v>
      </c>
    </row>
    <row r="13" spans="2:22" ht="13.5" customHeight="1" hidden="1">
      <c r="B13" s="7" t="s">
        <v>8</v>
      </c>
      <c r="C13" s="24"/>
      <c r="D13" s="4">
        <f>'[4]Trial Balance'!$D$232</f>
        <v>0</v>
      </c>
      <c r="E13" s="4">
        <f t="shared" si="2"/>
        <v>0</v>
      </c>
      <c r="F13" s="4">
        <f>'[4]Trial Balance'!$F$232</f>
        <v>0</v>
      </c>
      <c r="G13" s="4"/>
      <c r="H13" s="4">
        <f>'[4]Trial Balance'!$H$232</f>
        <v>0</v>
      </c>
      <c r="I13" s="4"/>
      <c r="J13" s="4">
        <f>'[4]Trial Balance'!$J$232</f>
        <v>0</v>
      </c>
      <c r="K13" s="4"/>
      <c r="L13" s="4">
        <f>'[4]Trial Balance'!$L$232</f>
        <v>0</v>
      </c>
      <c r="M13" s="4"/>
      <c r="S13" s="92" t="s">
        <v>32</v>
      </c>
      <c r="T13" s="52">
        <v>3327</v>
      </c>
      <c r="U13" s="93">
        <v>2536.918974584451</v>
      </c>
      <c r="V13" s="93">
        <v>-790.081025415549</v>
      </c>
    </row>
    <row r="14" spans="2:22" ht="15">
      <c r="B14" s="7" t="s">
        <v>9</v>
      </c>
      <c r="C14" s="24">
        <f>-27565*ops</f>
        <v>27565</v>
      </c>
      <c r="D14" s="4">
        <f>-'[4]Trial Balance'!$D$233</f>
        <v>72437</v>
      </c>
      <c r="E14" s="4">
        <f>D14-C14</f>
        <v>44872</v>
      </c>
      <c r="F14" s="4">
        <f>'[4]Trial Balance'!$F$233</f>
        <v>-61033</v>
      </c>
      <c r="G14" s="4">
        <f aca="true" t="shared" si="3" ref="G14:G24">F14-D14</f>
        <v>-133470</v>
      </c>
      <c r="H14" s="4">
        <f>'[4]Trial Balance'!$H$233</f>
        <v>-63140.01</v>
      </c>
      <c r="I14" s="4">
        <f t="shared" si="0"/>
        <v>-2107.010000000002</v>
      </c>
      <c r="J14" s="4">
        <f>'[4]Trial Balance'!$J$233</f>
        <v>-63140.01</v>
      </c>
      <c r="K14" s="4">
        <f t="shared" si="1"/>
        <v>0</v>
      </c>
      <c r="L14" s="4">
        <f>'[4]Trial Balance'!$L$233</f>
        <v>-63140.01</v>
      </c>
      <c r="M14" s="4">
        <f t="shared" si="1"/>
        <v>0</v>
      </c>
      <c r="N14" s="11"/>
      <c r="S14" s="92" t="s">
        <v>33</v>
      </c>
      <c r="T14" s="53">
        <v>28729</v>
      </c>
      <c r="U14" s="15">
        <v>31905.196966433676</v>
      </c>
      <c r="V14" s="15">
        <v>3176.1969664336757</v>
      </c>
    </row>
    <row r="15" spans="2:22" ht="12.75">
      <c r="B15" s="7" t="s">
        <v>10</v>
      </c>
      <c r="C15" s="24">
        <f>-103267*ops</f>
        <v>103267</v>
      </c>
      <c r="D15" s="4">
        <f>-'[4]Trial Balance'!$D$235</f>
        <v>133125</v>
      </c>
      <c r="E15" s="4">
        <f>D15-C15</f>
        <v>29858</v>
      </c>
      <c r="F15" s="4">
        <f>'[4]Trial Balance'!$F$235</f>
        <v>-144453</v>
      </c>
      <c r="G15" s="4">
        <f t="shared" si="3"/>
        <v>-277578</v>
      </c>
      <c r="H15" s="4">
        <f>'[4]Trial Balance'!$H$235</f>
        <v>-127498.58</v>
      </c>
      <c r="I15" s="4">
        <f t="shared" si="0"/>
        <v>16954.42</v>
      </c>
      <c r="J15" s="4">
        <f>'[4]Trial Balance'!$J$235</f>
        <v>-127000</v>
      </c>
      <c r="K15" s="4">
        <f t="shared" si="1"/>
        <v>498.58000000000175</v>
      </c>
      <c r="L15" s="4">
        <f>'[4]Trial Balance'!$L$235</f>
        <v>-126500</v>
      </c>
      <c r="M15" s="4">
        <f t="shared" si="1"/>
        <v>500</v>
      </c>
      <c r="N15" s="11"/>
      <c r="S15" s="61" t="s">
        <v>21</v>
      </c>
      <c r="T15" s="54">
        <v>3985246</v>
      </c>
      <c r="U15" s="30">
        <v>3717997.9648814863</v>
      </c>
      <c r="V15" s="30">
        <v>-267248.0351185138</v>
      </c>
    </row>
    <row r="16" spans="2:22" ht="13.5" customHeight="1" hidden="1">
      <c r="B16" s="7" t="s">
        <v>48</v>
      </c>
      <c r="C16" s="24"/>
      <c r="D16" s="4"/>
      <c r="E16" s="4"/>
      <c r="F16" s="4"/>
      <c r="G16" s="4"/>
      <c r="H16" s="4"/>
      <c r="I16" s="4"/>
      <c r="J16" s="4"/>
      <c r="K16" s="4"/>
      <c r="L16" s="4"/>
      <c r="M16" s="4"/>
      <c r="S16" s="92"/>
      <c r="T16" s="52"/>
      <c r="U16" s="59">
        <v>3717998.12</v>
      </c>
      <c r="V16" s="93"/>
    </row>
    <row r="17" spans="2:22" ht="13.5" customHeight="1" hidden="1">
      <c r="B17" s="7" t="s">
        <v>11</v>
      </c>
      <c r="C17" s="24"/>
      <c r="D17" s="4">
        <f>'[4]Trial Balance'!$D$249</f>
        <v>0</v>
      </c>
      <c r="E17" s="4">
        <f t="shared" si="2"/>
        <v>0</v>
      </c>
      <c r="F17" s="4">
        <f>'[4]Trial Balance'!$F$249</f>
        <v>0</v>
      </c>
      <c r="G17" s="4">
        <f t="shared" si="3"/>
        <v>0</v>
      </c>
      <c r="H17" s="4">
        <f>'[4]Trial Balance'!$H$249</f>
        <v>0</v>
      </c>
      <c r="I17" s="4">
        <f t="shared" si="0"/>
        <v>0</v>
      </c>
      <c r="J17" s="4">
        <f>'[4]Trial Balance'!$J$249</f>
        <v>0</v>
      </c>
      <c r="K17" s="4">
        <f t="shared" si="1"/>
        <v>0</v>
      </c>
      <c r="L17" s="4">
        <f>'[4]Trial Balance'!$L$249</f>
        <v>0</v>
      </c>
      <c r="M17" s="4">
        <f t="shared" si="1"/>
        <v>0</v>
      </c>
      <c r="S17" s="92"/>
      <c r="T17" s="52"/>
      <c r="U17" s="93"/>
      <c r="V17" s="93"/>
    </row>
    <row r="18" spans="2:22" ht="12.75">
      <c r="B18" s="7" t="s">
        <v>12</v>
      </c>
      <c r="C18" s="24"/>
      <c r="D18" s="4">
        <f>'[4]Trial Balance'!$D$250</f>
        <v>0</v>
      </c>
      <c r="E18" s="4">
        <f>D18-C18</f>
        <v>0</v>
      </c>
      <c r="F18" s="4">
        <f>'[4]Trial Balance'!$F$250</f>
        <v>-10178</v>
      </c>
      <c r="G18" s="4">
        <f t="shared" si="3"/>
        <v>-10178</v>
      </c>
      <c r="H18" s="4">
        <f>'[4]Trial Balance'!$H$250</f>
        <v>0</v>
      </c>
      <c r="I18" s="4">
        <f t="shared" si="0"/>
        <v>10178</v>
      </c>
      <c r="J18" s="4">
        <f>'[4]Trial Balance'!$J$250</f>
        <v>0</v>
      </c>
      <c r="K18" s="4">
        <f t="shared" si="1"/>
        <v>0</v>
      </c>
      <c r="L18" s="4">
        <f>'[4]Trial Balance'!$L$250</f>
        <v>0</v>
      </c>
      <c r="M18" s="4">
        <f t="shared" si="1"/>
        <v>0</v>
      </c>
      <c r="S18" s="92"/>
      <c r="T18" s="93"/>
      <c r="U18" s="93"/>
      <c r="V18" s="93"/>
    </row>
    <row r="19" spans="2:22" ht="13.5" customHeight="1" hidden="1">
      <c r="B19" s="7" t="s">
        <v>13</v>
      </c>
      <c r="C19" s="24"/>
      <c r="D19" s="4">
        <f>'[4]Trial Balance'!$D$251</f>
        <v>0</v>
      </c>
      <c r="E19" s="4">
        <f t="shared" si="2"/>
        <v>0</v>
      </c>
      <c r="F19" s="4">
        <f>'[4]Trial Balance'!$F$251</f>
        <v>0</v>
      </c>
      <c r="G19" s="4">
        <f t="shared" si="3"/>
        <v>0</v>
      </c>
      <c r="H19" s="4">
        <f>'[4]Trial Balance'!$H$251</f>
        <v>0</v>
      </c>
      <c r="I19" s="4">
        <f t="shared" si="0"/>
        <v>0</v>
      </c>
      <c r="J19" s="4">
        <f>'[4]Trial Balance'!$J$251</f>
        <v>0</v>
      </c>
      <c r="K19" s="4">
        <f t="shared" si="1"/>
        <v>0</v>
      </c>
      <c r="L19" s="4">
        <f>'[4]Trial Balance'!$L$251</f>
        <v>0</v>
      </c>
      <c r="M19" s="4">
        <f t="shared" si="1"/>
        <v>0</v>
      </c>
      <c r="S19" s="60" t="s">
        <v>4</v>
      </c>
      <c r="T19" s="93"/>
      <c r="U19" s="93"/>
      <c r="V19" s="93"/>
    </row>
    <row r="20" spans="2:22" ht="12.75">
      <c r="B20" s="7" t="s">
        <v>14</v>
      </c>
      <c r="C20" s="24"/>
      <c r="D20" s="4">
        <f>-'[4]Trial Balance'!$D$254</f>
        <v>626554.27</v>
      </c>
      <c r="E20" s="4">
        <f>D20-C20</f>
        <v>626554.27</v>
      </c>
      <c r="F20" s="4">
        <f>'[4]Trial Balance'!$F$254</f>
        <v>-36204.19</v>
      </c>
      <c r="G20" s="4">
        <f t="shared" si="3"/>
        <v>-662758.46</v>
      </c>
      <c r="H20" s="4">
        <f>'[4]Trial Balance'!$H$254</f>
        <v>-11991.28</v>
      </c>
      <c r="I20" s="4">
        <f t="shared" si="0"/>
        <v>24212.910000000003</v>
      </c>
      <c r="J20" s="4">
        <f>'[4]Trial Balance'!$J$254</f>
        <v>0</v>
      </c>
      <c r="K20" s="4">
        <f t="shared" si="1"/>
        <v>11991.28</v>
      </c>
      <c r="L20" s="4">
        <f>'[4]Trial Balance'!$L$254</f>
        <v>0</v>
      </c>
      <c r="M20" s="4">
        <f t="shared" si="1"/>
        <v>0</v>
      </c>
      <c r="N20" s="11"/>
      <c r="S20" s="92" t="s">
        <v>22</v>
      </c>
      <c r="T20" s="52">
        <v>103267</v>
      </c>
      <c r="U20" s="93">
        <v>133125</v>
      </c>
      <c r="V20" s="93">
        <v>29858</v>
      </c>
    </row>
    <row r="21" spans="2:22" ht="13.5" customHeight="1" hidden="1">
      <c r="B21" s="7" t="s">
        <v>15</v>
      </c>
      <c r="C21" s="24"/>
      <c r="D21" s="4">
        <f>'[4]Trial Balance'!$D$255</f>
        <v>0</v>
      </c>
      <c r="E21" s="4">
        <f t="shared" si="2"/>
        <v>0</v>
      </c>
      <c r="F21" s="4">
        <f>'[4]Trial Balance'!$F$255</f>
        <v>0</v>
      </c>
      <c r="G21" s="4">
        <f t="shared" si="3"/>
        <v>0</v>
      </c>
      <c r="H21" s="4">
        <f>'[4]Trial Balance'!$H$255</f>
        <v>0</v>
      </c>
      <c r="I21" s="4">
        <f t="shared" si="0"/>
        <v>0</v>
      </c>
      <c r="J21" s="4">
        <f>'[4]Trial Balance'!$J$255</f>
        <v>0</v>
      </c>
      <c r="K21" s="4">
        <f t="shared" si="1"/>
        <v>0</v>
      </c>
      <c r="L21" s="4">
        <f>'[4]Trial Balance'!$L$255</f>
        <v>0</v>
      </c>
      <c r="M21" s="4">
        <f t="shared" si="1"/>
        <v>0</v>
      </c>
      <c r="S21" s="92" t="s">
        <v>23</v>
      </c>
      <c r="T21" s="52">
        <v>27565</v>
      </c>
      <c r="U21" s="93">
        <v>72437</v>
      </c>
      <c r="V21" s="93">
        <v>44872</v>
      </c>
    </row>
    <row r="22" spans="2:22" ht="13.5" customHeight="1" hidden="1">
      <c r="B22" s="7" t="s">
        <v>16</v>
      </c>
      <c r="C22" s="24"/>
      <c r="D22" s="4">
        <f>'[4]Trial Balance'!$D$256</f>
        <v>0</v>
      </c>
      <c r="E22" s="4">
        <f t="shared" si="2"/>
        <v>0</v>
      </c>
      <c r="F22" s="4">
        <f>'[4]Trial Balance'!$F$256</f>
        <v>0</v>
      </c>
      <c r="G22" s="4">
        <f t="shared" si="3"/>
        <v>0</v>
      </c>
      <c r="H22" s="4">
        <f>'[4]Trial Balance'!$H$256</f>
        <v>0</v>
      </c>
      <c r="I22" s="4">
        <f t="shared" si="0"/>
        <v>0</v>
      </c>
      <c r="J22" s="4">
        <f>'[4]Trial Balance'!$J$256</f>
        <v>0</v>
      </c>
      <c r="K22" s="4">
        <f t="shared" si="1"/>
        <v>0</v>
      </c>
      <c r="L22" s="4">
        <f>'[4]Trial Balance'!$L$256</f>
        <v>0</v>
      </c>
      <c r="M22" s="4">
        <f t="shared" si="1"/>
        <v>0</v>
      </c>
      <c r="S22" s="92" t="s">
        <v>4</v>
      </c>
      <c r="T22" s="52">
        <v>149461</v>
      </c>
      <c r="U22" s="93">
        <v>158868.3</v>
      </c>
      <c r="V22" s="93">
        <v>9407.299999999988</v>
      </c>
    </row>
    <row r="23" spans="2:22" ht="13.5" customHeight="1" hidden="1">
      <c r="B23" s="7" t="s">
        <v>17</v>
      </c>
      <c r="C23" s="24"/>
      <c r="D23" s="4">
        <f>'[4]Trial Balance'!$D$257</f>
        <v>0</v>
      </c>
      <c r="E23" s="4">
        <f t="shared" si="2"/>
        <v>0</v>
      </c>
      <c r="F23" s="4">
        <f>'[4]Trial Balance'!$F$257</f>
        <v>0</v>
      </c>
      <c r="G23" s="4">
        <f t="shared" si="3"/>
        <v>0</v>
      </c>
      <c r="H23" s="4">
        <f>'[4]Trial Balance'!$H$257</f>
        <v>0</v>
      </c>
      <c r="I23" s="4">
        <f t="shared" si="0"/>
        <v>0</v>
      </c>
      <c r="J23" s="4">
        <f>'[4]Trial Balance'!$J$257</f>
        <v>0</v>
      </c>
      <c r="K23" s="4">
        <f t="shared" si="1"/>
        <v>0</v>
      </c>
      <c r="L23" s="4">
        <f>'[4]Trial Balance'!$L$257</f>
        <v>0</v>
      </c>
      <c r="M23" s="4">
        <f t="shared" si="1"/>
        <v>0</v>
      </c>
      <c r="S23" s="92" t="s">
        <v>25</v>
      </c>
      <c r="T23" s="52">
        <v>55271</v>
      </c>
      <c r="U23" s="93">
        <v>821667.27</v>
      </c>
      <c r="V23" s="93">
        <v>766396.27</v>
      </c>
    </row>
    <row r="24" spans="2:22" ht="12.75">
      <c r="B24" s="7" t="s">
        <v>18</v>
      </c>
      <c r="C24" s="24">
        <v>55271</v>
      </c>
      <c r="D24" s="4">
        <f>-'[4]Trial Balance'!$D$261</f>
        <v>195113</v>
      </c>
      <c r="E24" s="4">
        <f>D24-C24</f>
        <v>139842</v>
      </c>
      <c r="F24" s="4">
        <f>'[4]Trial Balance'!$F$261</f>
        <v>-61929</v>
      </c>
      <c r="G24" s="4">
        <f t="shared" si="3"/>
        <v>-257042</v>
      </c>
      <c r="H24" s="4">
        <f>'[4]Trial Balance'!$H$261</f>
        <v>-48939.61</v>
      </c>
      <c r="I24" s="4">
        <f t="shared" si="0"/>
        <v>12989.39</v>
      </c>
      <c r="J24" s="4">
        <f>'[4]Trial Balance'!$J$261</f>
        <v>-28500</v>
      </c>
      <c r="K24" s="4">
        <f t="shared" si="1"/>
        <v>20439.61</v>
      </c>
      <c r="L24" s="4">
        <f>'[4]Trial Balance'!$L$261</f>
        <v>-28500</v>
      </c>
      <c r="M24" s="4">
        <f t="shared" si="1"/>
        <v>0</v>
      </c>
      <c r="N24" s="11"/>
      <c r="S24" s="61" t="s">
        <v>21</v>
      </c>
      <c r="T24" s="54">
        <v>335564</v>
      </c>
      <c r="U24" s="30">
        <v>1186097.57</v>
      </c>
      <c r="V24" s="30">
        <v>850533.5700000001</v>
      </c>
    </row>
    <row r="25" spans="2:22" ht="13.5" thickBot="1">
      <c r="B25" s="8" t="s">
        <v>19</v>
      </c>
      <c r="C25" s="9">
        <f>SUM(C7:C24)</f>
        <v>300372</v>
      </c>
      <c r="D25" s="9">
        <f>SUM(D7:D24)</f>
        <v>1153306.27</v>
      </c>
      <c r="E25" s="9">
        <f>SUM(E7:E24)</f>
        <v>852934.27</v>
      </c>
      <c r="F25" s="9">
        <f>SUM(F7:F24)</f>
        <v>-445085.19</v>
      </c>
      <c r="G25" s="9">
        <f>SUM(G7:G24)</f>
        <v>-1598391.46</v>
      </c>
      <c r="H25" s="9">
        <f>SUM(H7:H24)</f>
        <v>-374818.49000000005</v>
      </c>
      <c r="I25" s="9">
        <f>SUM(I7:I24)</f>
        <v>70266.7</v>
      </c>
      <c r="J25" s="9">
        <f>SUM(J7:J24)</f>
        <v>-341315.01</v>
      </c>
      <c r="K25" s="9">
        <f>SUM(K7:K24)</f>
        <v>33503.48</v>
      </c>
      <c r="L25" s="9">
        <f>SUM(L7:L24)</f>
        <v>-340140.01</v>
      </c>
      <c r="M25" s="9">
        <f>SUM(M7:M24)</f>
        <v>1175</v>
      </c>
      <c r="N25" s="11"/>
      <c r="S25" s="92" t="s">
        <v>34</v>
      </c>
      <c r="T25" s="55">
        <v>4320810</v>
      </c>
      <c r="U25" s="29">
        <v>4904095.534881487</v>
      </c>
      <c r="V25" s="29">
        <v>583285.5348814863</v>
      </c>
    </row>
    <row r="26" spans="1:13" ht="13.5" thickTop="1">
      <c r="A26" s="4"/>
      <c r="B26" s="7" t="s">
        <v>20</v>
      </c>
      <c r="C26" s="24">
        <v>35192</v>
      </c>
      <c r="D26" s="4">
        <v>32791.3</v>
      </c>
      <c r="E26" s="4">
        <f>D26-C26</f>
        <v>-2400.699999999997</v>
      </c>
      <c r="F26" s="4">
        <v>-33278.91</v>
      </c>
      <c r="G26" s="4">
        <f>F26-D26</f>
        <v>-66070.21</v>
      </c>
      <c r="H26" s="4">
        <v>-34024.12</v>
      </c>
      <c r="I26" s="4">
        <f>H26-F26</f>
        <v>-745.2099999999991</v>
      </c>
      <c r="J26" s="4">
        <f>-'[5]Rate Class Customer Model'!$I$13*0.25*12</f>
        <v>-37731.097554027154</v>
      </c>
      <c r="K26" s="4">
        <f>J26-H26</f>
        <v>-3706.977554027151</v>
      </c>
      <c r="L26" s="4">
        <f>'[4]Revenue Requirement'!$F$15</f>
        <v>-38322</v>
      </c>
      <c r="M26" s="4">
        <f>L26-J26</f>
        <v>-590.9024459728462</v>
      </c>
    </row>
    <row r="27" spans="2:21" ht="12.75">
      <c r="B27" s="8" t="s">
        <v>21</v>
      </c>
      <c r="C27" s="9">
        <f>SUM(C25:C26)</f>
        <v>335564</v>
      </c>
      <c r="D27" s="9">
        <f>SUM(D25:D26)</f>
        <v>1186097.57</v>
      </c>
      <c r="E27" s="9">
        <f>SUM(E25:E26)</f>
        <v>850533.5700000001</v>
      </c>
      <c r="F27" s="9">
        <f aca="true" t="shared" si="4" ref="F27:K27">SUM(F25:F26)</f>
        <v>-478364.1</v>
      </c>
      <c r="G27" s="9">
        <f t="shared" si="4"/>
        <v>-1664461.67</v>
      </c>
      <c r="H27" s="9">
        <f t="shared" si="4"/>
        <v>-408842.61000000004</v>
      </c>
      <c r="I27" s="9">
        <f t="shared" si="4"/>
        <v>69521.48999999999</v>
      </c>
      <c r="J27" s="9">
        <f>SUM(J25:J26)</f>
        <v>-379046.10755402717</v>
      </c>
      <c r="K27" s="9">
        <f t="shared" si="4"/>
        <v>29796.502445972852</v>
      </c>
      <c r="L27" s="9">
        <f>SUM(L25:L26)</f>
        <v>-378462.01</v>
      </c>
      <c r="M27" s="9">
        <f>SUM(M25:M26)</f>
        <v>584.0975540271538</v>
      </c>
      <c r="U27" s="94">
        <f>+U15/U25</f>
        <v>0.7581414224980705</v>
      </c>
    </row>
    <row r="28" spans="4:7" ht="12.75">
      <c r="D28" s="3"/>
      <c r="E28" s="3"/>
      <c r="F28" s="3"/>
      <c r="G28" s="3"/>
    </row>
    <row r="29" spans="1:18" ht="12.75">
      <c r="A29" s="1">
        <v>4235</v>
      </c>
      <c r="B29" s="7" t="s">
        <v>22</v>
      </c>
      <c r="C29" s="4">
        <f>C15</f>
        <v>103267</v>
      </c>
      <c r="D29" s="4">
        <f>D15</f>
        <v>133125</v>
      </c>
      <c r="E29" s="4">
        <f>E15</f>
        <v>29858</v>
      </c>
      <c r="F29" s="4">
        <f aca="true" t="shared" si="5" ref="F29:M29">F15</f>
        <v>-144453</v>
      </c>
      <c r="G29" s="4">
        <f t="shared" si="5"/>
        <v>-277578</v>
      </c>
      <c r="H29" s="4">
        <f t="shared" si="5"/>
        <v>-127498.58</v>
      </c>
      <c r="I29" s="4">
        <f t="shared" si="5"/>
        <v>16954.42</v>
      </c>
      <c r="J29" s="4">
        <f t="shared" si="5"/>
        <v>-127000</v>
      </c>
      <c r="K29" s="4">
        <f t="shared" si="5"/>
        <v>498.58000000000175</v>
      </c>
      <c r="L29" s="4">
        <f t="shared" si="5"/>
        <v>-126500</v>
      </c>
      <c r="M29" s="4">
        <f t="shared" si="5"/>
        <v>500</v>
      </c>
      <c r="P29" s="3">
        <f>-D29+C29</f>
        <v>-29858</v>
      </c>
      <c r="Q29" s="1">
        <v>4235</v>
      </c>
      <c r="R29" s="1" t="s">
        <v>98</v>
      </c>
    </row>
    <row r="30" spans="1:18" ht="12.75">
      <c r="A30" s="1">
        <v>4225</v>
      </c>
      <c r="B30" s="7" t="s">
        <v>23</v>
      </c>
      <c r="C30" s="4">
        <f>C14</f>
        <v>27565</v>
      </c>
      <c r="D30" s="4">
        <f>D14</f>
        <v>72437</v>
      </c>
      <c r="E30" s="4">
        <f>E14</f>
        <v>44872</v>
      </c>
      <c r="F30" s="4">
        <f aca="true" t="shared" si="6" ref="F30:M30">F14</f>
        <v>-61033</v>
      </c>
      <c r="G30" s="4">
        <f t="shared" si="6"/>
        <v>-133470</v>
      </c>
      <c r="H30" s="4">
        <f t="shared" si="6"/>
        <v>-63140.01</v>
      </c>
      <c r="I30" s="4">
        <f t="shared" si="6"/>
        <v>-2107.010000000002</v>
      </c>
      <c r="J30" s="4">
        <f t="shared" si="6"/>
        <v>-63140.01</v>
      </c>
      <c r="K30" s="4">
        <f t="shared" si="6"/>
        <v>0</v>
      </c>
      <c r="L30" s="4">
        <f t="shared" si="6"/>
        <v>-63140.01</v>
      </c>
      <c r="M30" s="4">
        <f t="shared" si="6"/>
        <v>0</v>
      </c>
      <c r="P30" s="3">
        <f>+C30-D30</f>
        <v>-44872</v>
      </c>
      <c r="Q30" s="1">
        <v>4225</v>
      </c>
      <c r="R30" s="1" t="s">
        <v>99</v>
      </c>
    </row>
    <row r="31" spans="1:13" ht="12.75">
      <c r="A31" s="1" t="s">
        <v>68</v>
      </c>
      <c r="B31" s="7" t="s">
        <v>24</v>
      </c>
      <c r="C31" s="4">
        <f>C7+C8+C12+C10+C26+C11+C16+C9</f>
        <v>149461</v>
      </c>
      <c r="D31" s="4">
        <f>D7+D8+D12+D10+D26+D11+D16+D9</f>
        <v>158868.3</v>
      </c>
      <c r="E31" s="4">
        <f>E7+E8+E12+E10+E26+E11+E16+E9</f>
        <v>9407.300000000003</v>
      </c>
      <c r="F31" s="4">
        <f aca="true" t="shared" si="7" ref="F31:M31">F7+F8+F12+F10+F26+F11+F16+F9</f>
        <v>-164566.91</v>
      </c>
      <c r="G31" s="4">
        <f t="shared" si="7"/>
        <v>-323435.21</v>
      </c>
      <c r="H31" s="4">
        <f t="shared" si="7"/>
        <v>-157273.13</v>
      </c>
      <c r="I31" s="4">
        <f t="shared" si="7"/>
        <v>7293.779999999999</v>
      </c>
      <c r="J31" s="4">
        <f t="shared" si="7"/>
        <v>-160406.09755402716</v>
      </c>
      <c r="K31" s="4">
        <f t="shared" si="7"/>
        <v>-3132.967554027149</v>
      </c>
      <c r="L31" s="4">
        <f t="shared" si="7"/>
        <v>-160322</v>
      </c>
      <c r="M31" s="4">
        <f t="shared" si="7"/>
        <v>84.09755402715382</v>
      </c>
    </row>
    <row r="32" spans="1:17" ht="12.75">
      <c r="A32" s="1">
        <v>4405.4375</v>
      </c>
      <c r="B32" s="7" t="s">
        <v>25</v>
      </c>
      <c r="C32" s="4">
        <f>C23+C24</f>
        <v>55271</v>
      </c>
      <c r="D32" s="4">
        <f>D23+D24+D20</f>
        <v>821667.27</v>
      </c>
      <c r="E32" s="4">
        <f>E23+E24+E20</f>
        <v>766396.27</v>
      </c>
      <c r="F32" s="4">
        <f aca="true" t="shared" si="8" ref="F32:M32">F23+F24+F20</f>
        <v>-98133.19</v>
      </c>
      <c r="G32" s="4">
        <f t="shared" si="8"/>
        <v>-919800.46</v>
      </c>
      <c r="H32" s="4">
        <f t="shared" si="8"/>
        <v>-60930.89</v>
      </c>
      <c r="I32" s="4">
        <f t="shared" si="8"/>
        <v>37202.3</v>
      </c>
      <c r="J32" s="4">
        <f t="shared" si="8"/>
        <v>-28500</v>
      </c>
      <c r="K32" s="4">
        <f t="shared" si="8"/>
        <v>32430.89</v>
      </c>
      <c r="L32" s="4">
        <f t="shared" si="8"/>
        <v>-28500</v>
      </c>
      <c r="M32" s="4">
        <f t="shared" si="8"/>
        <v>0</v>
      </c>
      <c r="P32" s="3">
        <f>+C32-D32</f>
        <v>-766396.27</v>
      </c>
      <c r="Q32" s="1">
        <v>4375.4405</v>
      </c>
    </row>
    <row r="33" spans="2:13" ht="12.75">
      <c r="B33" s="8" t="s">
        <v>21</v>
      </c>
      <c r="C33" s="9">
        <f>SUM(C29:C32)</f>
        <v>335564</v>
      </c>
      <c r="D33" s="9">
        <f>SUM(D29:D32)</f>
        <v>1186097.57</v>
      </c>
      <c r="E33" s="10">
        <f>D33-C33</f>
        <v>850533.5700000001</v>
      </c>
      <c r="F33" s="9">
        <f>SUM(F29:F32)</f>
        <v>-468186.10000000003</v>
      </c>
      <c r="G33" s="10">
        <f>F33-D33</f>
        <v>-1654283.6700000002</v>
      </c>
      <c r="H33" s="9">
        <f>SUM(H29:H32)</f>
        <v>-408842.61</v>
      </c>
      <c r="I33" s="10">
        <f>H33-F33</f>
        <v>59343.49000000005</v>
      </c>
      <c r="J33" s="9">
        <f>SUM(J29:J32)</f>
        <v>-379046.10755402717</v>
      </c>
      <c r="K33" s="10">
        <f>J33-H33</f>
        <v>29796.502445972816</v>
      </c>
      <c r="L33" s="9">
        <f>SUM(L29:L32)</f>
        <v>-378462.01</v>
      </c>
      <c r="M33" s="10">
        <f>L33-J33</f>
        <v>584.0975540271611</v>
      </c>
    </row>
    <row r="36" spans="2:13" ht="12.75">
      <c r="B36" s="1" t="s">
        <v>62</v>
      </c>
      <c r="C36" s="1">
        <v>-1</v>
      </c>
      <c r="D36" s="3">
        <f>+(D33-D20)*$C$36</f>
        <v>-559543.3</v>
      </c>
      <c r="E36" s="3">
        <f aca="true" t="shared" si="9" ref="E36:M36">+(E33-E20)*$C$36</f>
        <v>-223979.30000000005</v>
      </c>
      <c r="F36" s="3">
        <f t="shared" si="9"/>
        <v>431981.91000000003</v>
      </c>
      <c r="G36" s="3">
        <f t="shared" si="9"/>
        <v>991525.2100000002</v>
      </c>
      <c r="H36" s="3">
        <f t="shared" si="9"/>
        <v>396851.32999999996</v>
      </c>
      <c r="I36" s="3">
        <f t="shared" si="9"/>
        <v>-35130.580000000045</v>
      </c>
      <c r="J36" s="3">
        <f t="shared" si="9"/>
        <v>379046.10755402717</v>
      </c>
      <c r="K36" s="3">
        <f t="shared" si="9"/>
        <v>-17805.222445972817</v>
      </c>
      <c r="L36" s="3">
        <f t="shared" si="9"/>
        <v>378462.01</v>
      </c>
      <c r="M36" s="3">
        <f t="shared" si="9"/>
        <v>-584.0975540271611</v>
      </c>
    </row>
    <row r="38" spans="2:4" ht="12.75">
      <c r="B38" s="1" t="s">
        <v>63</v>
      </c>
      <c r="D38" s="3">
        <f>+D36+C33</f>
        <v>-223979.30000000005</v>
      </c>
    </row>
    <row r="49" spans="2:4" ht="12.75">
      <c r="B49" s="31" t="s">
        <v>53</v>
      </c>
      <c r="C49" s="32"/>
      <c r="D49" s="31" t="s">
        <v>54</v>
      </c>
    </row>
    <row r="50" spans="2:5" ht="12.75">
      <c r="B50" s="98" t="s">
        <v>55</v>
      </c>
      <c r="C50" s="98"/>
      <c r="D50" s="34">
        <v>4235</v>
      </c>
      <c r="E50" t="s">
        <v>61</v>
      </c>
    </row>
    <row r="51" spans="2:5" ht="12.75">
      <c r="B51" s="98" t="s">
        <v>56</v>
      </c>
      <c r="C51" s="98"/>
      <c r="D51" s="34">
        <v>4225</v>
      </c>
      <c r="E51" t="s">
        <v>61</v>
      </c>
    </row>
    <row r="52" spans="2:8" ht="12.75">
      <c r="B52" s="98" t="s">
        <v>57</v>
      </c>
      <c r="C52" s="98"/>
      <c r="D52" s="98" t="s">
        <v>58</v>
      </c>
      <c r="E52" s="98"/>
      <c r="F52" s="98"/>
      <c r="G52" s="98"/>
      <c r="H52" s="98"/>
    </row>
    <row r="53" spans="2:8" ht="12.75">
      <c r="B53" s="98" t="s">
        <v>59</v>
      </c>
      <c r="C53" s="98"/>
      <c r="D53" s="99" t="s">
        <v>60</v>
      </c>
      <c r="E53" s="99"/>
      <c r="F53" s="99"/>
      <c r="G53" s="99"/>
      <c r="H53" s="99"/>
    </row>
    <row r="54" spans="4:8" ht="12.75">
      <c r="D54" s="99"/>
      <c r="E54" s="99"/>
      <c r="F54" s="99"/>
      <c r="G54" s="99"/>
      <c r="H54" s="99"/>
    </row>
    <row r="59" ht="12.75">
      <c r="B59" s="1" t="s">
        <v>64</v>
      </c>
    </row>
    <row r="60" ht="12.75">
      <c r="B60" s="1" t="s">
        <v>65</v>
      </c>
    </row>
  </sheetData>
  <sheetProtection/>
  <mergeCells count="8">
    <mergeCell ref="S5:S6"/>
    <mergeCell ref="B53:C53"/>
    <mergeCell ref="D53:H54"/>
    <mergeCell ref="B4:M4"/>
    <mergeCell ref="B50:C50"/>
    <mergeCell ref="B51:C51"/>
    <mergeCell ref="B52:C52"/>
    <mergeCell ref="D52:H5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M37">
      <selection activeCell="P59" sqref="P59"/>
    </sheetView>
  </sheetViews>
  <sheetFormatPr defaultColWidth="40.00390625" defaultRowHeight="12.75"/>
  <cols>
    <col min="1" max="1" width="7.28125" style="1" customWidth="1"/>
    <col min="2" max="2" width="39.7109375" style="1" customWidth="1"/>
    <col min="3" max="3" width="10.421875" style="1" customWidth="1"/>
    <col min="4" max="4" width="10.28125" style="1" customWidth="1"/>
    <col min="5" max="5" width="10.8515625" style="1" customWidth="1"/>
    <col min="6" max="6" width="10.28125" style="1" customWidth="1"/>
    <col min="7" max="7" width="9.57421875" style="1" customWidth="1"/>
    <col min="8" max="8" width="10.28125" style="1" customWidth="1"/>
    <col min="9" max="9" width="10.421875" style="1" customWidth="1"/>
    <col min="10" max="10" width="9.8515625" style="1" customWidth="1"/>
    <col min="11" max="11" width="11.28125" style="1" customWidth="1"/>
    <col min="12" max="12" width="11.00390625" style="1" customWidth="1"/>
    <col min="13" max="14" width="40.00390625" style="1" customWidth="1"/>
    <col min="15" max="24" width="16.140625" style="1" customWidth="1"/>
    <col min="25" max="16384" width="40.00390625" style="1" customWidth="1"/>
  </cols>
  <sheetData>
    <row r="1" ht="12.75">
      <c r="M1" s="1">
        <v>-1</v>
      </c>
    </row>
    <row r="2" ht="12.75">
      <c r="O2" s="1" t="s">
        <v>106</v>
      </c>
    </row>
    <row r="3" ht="12.75">
      <c r="O3" s="1" t="s">
        <v>107</v>
      </c>
    </row>
    <row r="4" spans="2:11" ht="18.75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2:23" s="2" customFormat="1" ht="63.75" customHeight="1">
      <c r="B5" s="25" t="s">
        <v>1</v>
      </c>
      <c r="C5" s="26" t="s">
        <v>2</v>
      </c>
      <c r="D5" s="26" t="s">
        <v>38</v>
      </c>
      <c r="E5" s="26" t="s">
        <v>3</v>
      </c>
      <c r="F5" s="26" t="s">
        <v>44</v>
      </c>
      <c r="G5" s="26" t="s">
        <v>39</v>
      </c>
      <c r="H5" s="26" t="s">
        <v>43</v>
      </c>
      <c r="I5" s="26" t="s">
        <v>47</v>
      </c>
      <c r="J5" s="26" t="s">
        <v>41</v>
      </c>
      <c r="K5" s="26" t="s">
        <v>42</v>
      </c>
      <c r="N5" s="101"/>
      <c r="O5" s="101"/>
      <c r="P5" s="101"/>
      <c r="Q5" s="101"/>
      <c r="R5" s="48"/>
      <c r="S5" s="48"/>
      <c r="T5" s="48"/>
      <c r="U5" s="48"/>
      <c r="V5" s="48"/>
      <c r="W5" s="48"/>
    </row>
    <row r="6" spans="2:23" ht="12.75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N6" s="96"/>
      <c r="O6" s="89"/>
      <c r="P6" s="89"/>
      <c r="Q6" s="89"/>
      <c r="R6" s="89"/>
      <c r="S6" s="89"/>
      <c r="T6" s="89"/>
      <c r="U6" s="89"/>
      <c r="V6" s="89"/>
      <c r="W6" s="89"/>
    </row>
    <row r="7" spans="2:23" ht="12.75">
      <c r="B7" s="7" t="s">
        <v>5</v>
      </c>
      <c r="C7" s="4">
        <f>-'[4]Trial Balance'!$D$225</f>
        <v>13320</v>
      </c>
      <c r="D7" s="4">
        <f>-'[4]Trial Balance'!$F$225</f>
        <v>10013</v>
      </c>
      <c r="E7" s="4">
        <f>D7-C7</f>
        <v>-3307</v>
      </c>
      <c r="F7" s="4">
        <f>-'[4]Trial Balance'!$H$225</f>
        <v>10178</v>
      </c>
      <c r="G7" s="4">
        <f>F7-D7</f>
        <v>165</v>
      </c>
      <c r="H7" s="4">
        <f>-'[4]Trial Balance'!$J$225</f>
        <v>10015</v>
      </c>
      <c r="I7" s="4">
        <f>H7-F7</f>
        <v>-163</v>
      </c>
      <c r="J7" s="4">
        <f>-'[4]Trial Balance'!$L$225</f>
        <v>9985</v>
      </c>
      <c r="K7" s="4">
        <f>J7-H7</f>
        <v>-30</v>
      </c>
      <c r="L7" s="11"/>
      <c r="N7" s="96"/>
      <c r="O7" s="48"/>
      <c r="P7" s="48"/>
      <c r="Q7" s="48"/>
      <c r="R7" s="48"/>
      <c r="S7" s="48"/>
      <c r="T7" s="48"/>
      <c r="U7" s="48"/>
      <c r="V7" s="48"/>
      <c r="W7" s="48"/>
    </row>
    <row r="8" spans="2:23" ht="12.75">
      <c r="B8" s="7" t="s">
        <v>6</v>
      </c>
      <c r="C8" s="4">
        <f>-'[4]Trial Balance'!$D$226</f>
        <v>1380</v>
      </c>
      <c r="D8" s="4">
        <f>-'[4]Trial Balance'!$F$226</f>
        <v>4560</v>
      </c>
      <c r="E8" s="4">
        <f>D8-C8</f>
        <v>3180</v>
      </c>
      <c r="F8" s="4">
        <f>-'[4]Trial Balance'!$H$226</f>
        <v>4774</v>
      </c>
      <c r="G8" s="4">
        <f>F8-D8</f>
        <v>214</v>
      </c>
      <c r="H8" s="4">
        <f>-'[4]Trial Balance'!$J$226</f>
        <v>4560</v>
      </c>
      <c r="I8" s="4">
        <f>H8-F8</f>
        <v>-214</v>
      </c>
      <c r="J8" s="4">
        <f>-'[4]Trial Balance'!$L$226</f>
        <v>4015</v>
      </c>
      <c r="K8" s="4">
        <f>J8-H8</f>
        <v>-545</v>
      </c>
      <c r="N8" s="60"/>
      <c r="O8" s="48"/>
      <c r="P8" s="48"/>
      <c r="Q8" s="48"/>
      <c r="R8" s="48"/>
      <c r="S8" s="48"/>
      <c r="T8" s="48"/>
      <c r="U8" s="48"/>
      <c r="V8" s="48"/>
      <c r="W8" s="48"/>
    </row>
    <row r="9" spans="2:23" ht="12.75">
      <c r="B9" s="7" t="s">
        <v>50</v>
      </c>
      <c r="C9" s="4">
        <f>-'[4]Trial Balance'!$D$229</f>
        <v>51600</v>
      </c>
      <c r="D9" s="4">
        <f>-'[4]Trial Balance'!$F$229</f>
        <v>51600</v>
      </c>
      <c r="E9" s="4">
        <f>D9-C9</f>
        <v>0</v>
      </c>
      <c r="F9" s="4">
        <f>-'[4]Trial Balance'!$H$229</f>
        <v>51600</v>
      </c>
      <c r="G9" s="4">
        <f>F9-D9</f>
        <v>0</v>
      </c>
      <c r="H9" s="4">
        <f>-'[4]Trial Balance'!$J$229</f>
        <v>51600</v>
      </c>
      <c r="I9" s="4">
        <f>H9-F9</f>
        <v>0</v>
      </c>
      <c r="J9" s="4">
        <f>-'[4]Trial Balance'!$L$229</f>
        <v>51600</v>
      </c>
      <c r="K9" s="4">
        <f>J9-H9</f>
        <v>0</v>
      </c>
      <c r="N9" s="89"/>
      <c r="O9" s="23"/>
      <c r="P9" s="75"/>
      <c r="Q9" s="90"/>
      <c r="R9" s="23"/>
      <c r="S9" s="90"/>
      <c r="T9" s="23"/>
      <c r="U9" s="23"/>
      <c r="V9" s="23"/>
      <c r="W9" s="23"/>
    </row>
    <row r="10" spans="2:23" ht="12.75">
      <c r="B10" s="7" t="s">
        <v>7</v>
      </c>
      <c r="C10" s="4">
        <f>-'[4]Trial Balance'!$D$230</f>
        <v>59777</v>
      </c>
      <c r="D10" s="4">
        <f>-'[4]Trial Balance'!$F$230</f>
        <v>65115</v>
      </c>
      <c r="E10" s="4">
        <f>D10-C10</f>
        <v>5338</v>
      </c>
      <c r="F10" s="4">
        <f>-'[4]Trial Balance'!$H$230</f>
        <v>56697.01</v>
      </c>
      <c r="G10" s="4">
        <f>F10-D10</f>
        <v>-8417.989999999998</v>
      </c>
      <c r="H10" s="4">
        <f>-'[4]Trial Balance'!$J$230</f>
        <v>56500</v>
      </c>
      <c r="I10" s="4">
        <f>H10-F10</f>
        <v>-197.01000000000204</v>
      </c>
      <c r="J10" s="4">
        <f>-'[4]Trial Balance'!$L$230</f>
        <v>56400</v>
      </c>
      <c r="K10" s="4">
        <f>J10-H10</f>
        <v>-100</v>
      </c>
      <c r="N10" s="89"/>
      <c r="O10" s="90"/>
      <c r="P10" s="90"/>
      <c r="Q10" s="90"/>
      <c r="R10" s="90"/>
      <c r="S10" s="90"/>
      <c r="T10" s="23"/>
      <c r="U10" s="23"/>
      <c r="V10" s="90"/>
      <c r="W10" s="23"/>
    </row>
    <row r="11" spans="2:23" ht="15" customHeight="1" hidden="1">
      <c r="B11" s="7" t="s">
        <v>49</v>
      </c>
      <c r="C11" s="4"/>
      <c r="D11" s="4"/>
      <c r="E11" s="4"/>
      <c r="F11" s="4"/>
      <c r="G11" s="4"/>
      <c r="H11" s="4"/>
      <c r="I11" s="4"/>
      <c r="J11" s="4"/>
      <c r="K11" s="4"/>
      <c r="N11" s="89"/>
      <c r="O11" s="90"/>
      <c r="P11" s="90"/>
      <c r="Q11" s="90"/>
      <c r="R11" s="90"/>
      <c r="S11" s="90"/>
      <c r="T11" s="23"/>
      <c r="U11" s="23"/>
      <c r="V11" s="90"/>
      <c r="W11" s="23"/>
    </row>
    <row r="12" spans="2:23" ht="13.5" customHeight="1" hidden="1">
      <c r="B12" s="7" t="s">
        <v>40</v>
      </c>
      <c r="C12" s="4"/>
      <c r="D12" s="4"/>
      <c r="E12" s="4">
        <f>D12-C12</f>
        <v>0</v>
      </c>
      <c r="F12" s="4"/>
      <c r="G12" s="4">
        <f aca="true" t="shared" si="0" ref="G12:G23">F12-D12</f>
        <v>0</v>
      </c>
      <c r="H12" s="4"/>
      <c r="I12" s="4">
        <f>H12-F12</f>
        <v>0</v>
      </c>
      <c r="J12" s="4"/>
      <c r="K12" s="4">
        <f>J12-H12</f>
        <v>0</v>
      </c>
      <c r="N12" s="89"/>
      <c r="O12" s="90"/>
      <c r="P12" s="90"/>
      <c r="Q12" s="90"/>
      <c r="R12" s="90"/>
      <c r="S12" s="90"/>
      <c r="T12" s="23"/>
      <c r="U12" s="23"/>
      <c r="V12" s="90"/>
      <c r="W12" s="23"/>
    </row>
    <row r="13" spans="2:23" ht="13.5" customHeight="1" hidden="1">
      <c r="B13" s="7" t="s">
        <v>8</v>
      </c>
      <c r="C13" s="4">
        <f>'[4]Trial Balance'!$D$232</f>
        <v>0</v>
      </c>
      <c r="D13" s="4">
        <f>'[4]Trial Balance'!$F$232</f>
        <v>0</v>
      </c>
      <c r="E13" s="4"/>
      <c r="F13" s="4">
        <f>'[4]Trial Balance'!$H$232</f>
        <v>0</v>
      </c>
      <c r="G13" s="4"/>
      <c r="H13" s="4">
        <f>'[4]Trial Balance'!$J$232</f>
        <v>0</v>
      </c>
      <c r="I13" s="4"/>
      <c r="J13" s="4">
        <f>'[4]Trial Balance'!$L$232</f>
        <v>0</v>
      </c>
      <c r="K13" s="4"/>
      <c r="N13" s="89"/>
      <c r="O13" s="90"/>
      <c r="P13" s="90"/>
      <c r="Q13" s="90"/>
      <c r="R13" s="90"/>
      <c r="S13" s="90"/>
      <c r="T13" s="90"/>
      <c r="U13" s="23"/>
      <c r="V13" s="90"/>
      <c r="W13" s="23"/>
    </row>
    <row r="14" spans="2:23" ht="12.75">
      <c r="B14" s="7" t="s">
        <v>9</v>
      </c>
      <c r="C14" s="4">
        <f>-'[4]Trial Balance'!$D$233</f>
        <v>72437</v>
      </c>
      <c r="D14" s="4">
        <f>-'[4]Trial Balance'!$F$233</f>
        <v>61033</v>
      </c>
      <c r="E14" s="4">
        <f>D14-C14</f>
        <v>-11404</v>
      </c>
      <c r="F14" s="4">
        <f>-'[4]Trial Balance'!$H$233</f>
        <v>63140.01</v>
      </c>
      <c r="G14" s="4">
        <f>F14-D14</f>
        <v>2107.010000000002</v>
      </c>
      <c r="H14" s="4">
        <f>-'[4]Trial Balance'!$J$233</f>
        <v>63140.01</v>
      </c>
      <c r="I14" s="4">
        <f>H14-F14</f>
        <v>0</v>
      </c>
      <c r="J14" s="4">
        <f>-'[4]Trial Balance'!$L$233</f>
        <v>63140.01</v>
      </c>
      <c r="K14" s="4">
        <f>J14-H14</f>
        <v>0</v>
      </c>
      <c r="L14" s="11"/>
      <c r="N14" s="89"/>
      <c r="O14" s="90"/>
      <c r="P14" s="90"/>
      <c r="Q14" s="90"/>
      <c r="R14" s="90"/>
      <c r="S14" s="90"/>
      <c r="T14" s="90"/>
      <c r="U14" s="23"/>
      <c r="V14" s="90"/>
      <c r="W14" s="23"/>
    </row>
    <row r="15" spans="2:23" ht="15">
      <c r="B15" s="7" t="s">
        <v>10</v>
      </c>
      <c r="C15" s="4">
        <f>-'[4]Trial Balance'!$D$235</f>
        <v>133125</v>
      </c>
      <c r="D15" s="4">
        <f>-'[4]Trial Balance'!$F$235</f>
        <v>144453</v>
      </c>
      <c r="E15" s="4">
        <f>D15-C15</f>
        <v>11328</v>
      </c>
      <c r="F15" s="4">
        <f>-'[4]Trial Balance'!$H$235</f>
        <v>127498.58</v>
      </c>
      <c r="G15" s="4">
        <f>F15-D15</f>
        <v>-16954.42</v>
      </c>
      <c r="H15" s="4">
        <f>-'[4]Trial Balance'!$J$235</f>
        <v>127000</v>
      </c>
      <c r="I15" s="4">
        <f>H15-F15</f>
        <v>-498.58000000000175</v>
      </c>
      <c r="J15" s="4">
        <f>-'[4]Trial Balance'!$L$235</f>
        <v>126500</v>
      </c>
      <c r="K15" s="4">
        <f>J15-H15</f>
        <v>-500</v>
      </c>
      <c r="L15" s="11"/>
      <c r="N15" s="89"/>
      <c r="O15" s="15"/>
      <c r="P15" s="15"/>
      <c r="Q15" s="85"/>
      <c r="R15" s="15"/>
      <c r="S15" s="85"/>
      <c r="T15" s="15"/>
      <c r="U15" s="86"/>
      <c r="V15" s="85"/>
      <c r="W15" s="86"/>
    </row>
    <row r="16" spans="2:23" ht="13.5" customHeight="1" hidden="1">
      <c r="B16" s="7" t="s">
        <v>48</v>
      </c>
      <c r="C16" s="4"/>
      <c r="D16" s="4"/>
      <c r="E16" s="4"/>
      <c r="F16" s="4"/>
      <c r="G16" s="4"/>
      <c r="H16" s="4"/>
      <c r="I16" s="4"/>
      <c r="J16" s="4"/>
      <c r="K16" s="4"/>
      <c r="N16" s="61"/>
      <c r="O16" s="30"/>
      <c r="P16" s="30"/>
      <c r="Q16" s="30"/>
      <c r="R16" s="30"/>
      <c r="S16" s="30"/>
      <c r="T16" s="30"/>
      <c r="U16" s="88"/>
      <c r="V16" s="30"/>
      <c r="W16" s="88"/>
    </row>
    <row r="17" spans="2:23" ht="13.5" customHeight="1" hidden="1">
      <c r="B17" s="7" t="s">
        <v>11</v>
      </c>
      <c r="C17" s="4">
        <f>'[4]Trial Balance'!$D$249</f>
        <v>0</v>
      </c>
      <c r="D17" s="4">
        <f>'[4]Trial Balance'!$F$249</f>
        <v>0</v>
      </c>
      <c r="E17" s="4">
        <f aca="true" t="shared" si="1" ref="E17:E24">D17-C17</f>
        <v>0</v>
      </c>
      <c r="F17" s="4">
        <f>'[4]Trial Balance'!$H$249</f>
        <v>0</v>
      </c>
      <c r="G17" s="4">
        <f t="shared" si="0"/>
        <v>0</v>
      </c>
      <c r="H17" s="4">
        <f>'[4]Trial Balance'!$J$249</f>
        <v>0</v>
      </c>
      <c r="I17" s="4">
        <f>H17-F17</f>
        <v>0</v>
      </c>
      <c r="J17" s="4">
        <f>'[4]Trial Balance'!$L$249</f>
        <v>0</v>
      </c>
      <c r="K17" s="4">
        <f>J17-H17</f>
        <v>0</v>
      </c>
      <c r="N17" s="89"/>
      <c r="O17" s="59"/>
      <c r="P17" s="59"/>
      <c r="Q17" s="90"/>
      <c r="R17" s="90"/>
      <c r="S17" s="90"/>
      <c r="T17" s="90"/>
      <c r="U17" s="90"/>
      <c r="V17" s="90"/>
      <c r="W17" s="90"/>
    </row>
    <row r="18" spans="2:23" ht="12.75">
      <c r="B18" s="7" t="s">
        <v>12</v>
      </c>
      <c r="C18" s="4">
        <f>'[4]Trial Balance'!$D$250</f>
        <v>0</v>
      </c>
      <c r="D18" s="4">
        <f>-'[4]Trial Balance'!$F$250</f>
        <v>10178</v>
      </c>
      <c r="E18" s="4">
        <f t="shared" si="1"/>
        <v>10178</v>
      </c>
      <c r="F18" s="4">
        <f>-'[4]Trial Balance'!$H$250</f>
        <v>0</v>
      </c>
      <c r="G18" s="4">
        <f>F18-D18</f>
        <v>-10178</v>
      </c>
      <c r="H18" s="4">
        <f>-'[4]Trial Balance'!$J$250</f>
        <v>0</v>
      </c>
      <c r="I18" s="4">
        <f>H18-F18</f>
        <v>0</v>
      </c>
      <c r="J18" s="4">
        <f>-'[4]Trial Balance'!$L$250</f>
        <v>0</v>
      </c>
      <c r="K18" s="4">
        <f>J18-H18</f>
        <v>0</v>
      </c>
      <c r="N18" s="89"/>
      <c r="O18" s="90"/>
      <c r="P18" s="59"/>
      <c r="Q18" s="90"/>
      <c r="R18" s="90"/>
      <c r="S18" s="90"/>
      <c r="T18" s="90"/>
      <c r="U18" s="90"/>
      <c r="V18" s="90"/>
      <c r="W18" s="90"/>
    </row>
    <row r="19" spans="2:23" ht="13.5" customHeight="1" hidden="1">
      <c r="B19" s="7" t="s">
        <v>13</v>
      </c>
      <c r="C19" s="4">
        <f>'[4]Trial Balance'!$D$251</f>
        <v>0</v>
      </c>
      <c r="D19" s="4">
        <f>'[4]Trial Balance'!$F$251</f>
        <v>0</v>
      </c>
      <c r="E19" s="4">
        <f t="shared" si="1"/>
        <v>0</v>
      </c>
      <c r="F19" s="4">
        <f>'[4]Trial Balance'!$H$251</f>
        <v>0</v>
      </c>
      <c r="G19" s="4">
        <f t="shared" si="0"/>
        <v>0</v>
      </c>
      <c r="H19" s="4">
        <f>'[4]Trial Balance'!$J$251</f>
        <v>0</v>
      </c>
      <c r="I19" s="4">
        <f>H19-F19</f>
        <v>0</v>
      </c>
      <c r="J19" s="4">
        <f>'[4]Trial Balance'!$L$251</f>
        <v>0</v>
      </c>
      <c r="K19" s="4">
        <f>J19-H19</f>
        <v>0</v>
      </c>
      <c r="N19" s="89"/>
      <c r="O19" s="90"/>
      <c r="P19" s="90"/>
      <c r="Q19" s="90"/>
      <c r="R19" s="90"/>
      <c r="S19" s="90"/>
      <c r="T19" s="90"/>
      <c r="U19" s="90"/>
      <c r="V19" s="90"/>
      <c r="W19" s="90"/>
    </row>
    <row r="20" spans="2:23" ht="12.75">
      <c r="B20" s="7" t="s">
        <v>14</v>
      </c>
      <c r="C20" s="4">
        <f>-'[4]Trial Balance'!$D$254</f>
        <v>626554.27</v>
      </c>
      <c r="D20" s="4">
        <f>-'[4]Trial Balance'!$F$254</f>
        <v>36204.19</v>
      </c>
      <c r="E20" s="4">
        <f t="shared" si="1"/>
        <v>-590350.0800000001</v>
      </c>
      <c r="F20" s="4">
        <f>-'[4]Trial Balance'!$H$254</f>
        <v>11991.28</v>
      </c>
      <c r="G20" s="4">
        <f>F20-D20</f>
        <v>-24212.910000000003</v>
      </c>
      <c r="H20" s="4">
        <f>-'[4]Trial Balance'!$J$254</f>
        <v>0</v>
      </c>
      <c r="I20" s="4">
        <f>H20-F20</f>
        <v>-11991.28</v>
      </c>
      <c r="J20" s="4">
        <f>-'[4]Trial Balance'!$L$254</f>
        <v>0</v>
      </c>
      <c r="K20" s="4">
        <f>J20-H20</f>
        <v>0</v>
      </c>
      <c r="L20" s="11"/>
      <c r="N20" s="60"/>
      <c r="O20" s="90"/>
      <c r="P20" s="90"/>
      <c r="Q20" s="90"/>
      <c r="R20" s="90"/>
      <c r="S20" s="90"/>
      <c r="T20" s="90"/>
      <c r="U20" s="90"/>
      <c r="V20" s="90"/>
      <c r="W20" s="90"/>
    </row>
    <row r="21" spans="2:23" ht="13.5" customHeight="1" hidden="1">
      <c r="B21" s="7" t="s">
        <v>15</v>
      </c>
      <c r="C21" s="4">
        <f>'[4]Trial Balance'!$D$255</f>
        <v>0</v>
      </c>
      <c r="D21" s="4">
        <f>'[4]Trial Balance'!$F$255</f>
        <v>0</v>
      </c>
      <c r="E21" s="4">
        <f t="shared" si="1"/>
        <v>0</v>
      </c>
      <c r="F21" s="4">
        <f>'[4]Trial Balance'!$H$255</f>
        <v>0</v>
      </c>
      <c r="G21" s="4">
        <f t="shared" si="0"/>
        <v>0</v>
      </c>
      <c r="H21" s="4">
        <f>'[4]Trial Balance'!$J$255</f>
        <v>0</v>
      </c>
      <c r="I21" s="4">
        <f>H21-F21</f>
        <v>0</v>
      </c>
      <c r="J21" s="4">
        <f>'[4]Trial Balance'!$L$255</f>
        <v>0</v>
      </c>
      <c r="K21" s="4">
        <f>J21-H21</f>
        <v>0</v>
      </c>
      <c r="N21" s="89"/>
      <c r="O21" s="90"/>
      <c r="P21" s="90"/>
      <c r="Q21" s="90"/>
      <c r="R21" s="90"/>
      <c r="S21" s="90"/>
      <c r="T21" s="90"/>
      <c r="U21" s="90"/>
      <c r="V21" s="90"/>
      <c r="W21" s="90"/>
    </row>
    <row r="22" spans="2:23" ht="13.5" customHeight="1" hidden="1">
      <c r="B22" s="7" t="s">
        <v>16</v>
      </c>
      <c r="C22" s="4">
        <f>'[4]Trial Balance'!$D$256</f>
        <v>0</v>
      </c>
      <c r="D22" s="4">
        <f>'[4]Trial Balance'!$F$256</f>
        <v>0</v>
      </c>
      <c r="E22" s="4">
        <f t="shared" si="1"/>
        <v>0</v>
      </c>
      <c r="F22" s="4">
        <f>'[4]Trial Balance'!$H$256</f>
        <v>0</v>
      </c>
      <c r="G22" s="4">
        <f t="shared" si="0"/>
        <v>0</v>
      </c>
      <c r="H22" s="4">
        <f>'[4]Trial Balance'!$J$256</f>
        <v>0</v>
      </c>
      <c r="I22" s="4">
        <f>H22-F22</f>
        <v>0</v>
      </c>
      <c r="J22" s="4">
        <f>'[4]Trial Balance'!$L$256</f>
        <v>0</v>
      </c>
      <c r="K22" s="4">
        <f>J22-H22</f>
        <v>0</v>
      </c>
      <c r="N22" s="89"/>
      <c r="O22" s="90"/>
      <c r="P22" s="90"/>
      <c r="Q22" s="90"/>
      <c r="R22" s="90"/>
      <c r="S22" s="90"/>
      <c r="T22" s="90"/>
      <c r="U22" s="90"/>
      <c r="V22" s="90"/>
      <c r="W22" s="90"/>
    </row>
    <row r="23" spans="2:23" ht="13.5" customHeight="1" hidden="1">
      <c r="B23" s="7" t="s">
        <v>17</v>
      </c>
      <c r="C23" s="4">
        <f>'[4]Trial Balance'!$D$257</f>
        <v>0</v>
      </c>
      <c r="D23" s="4">
        <f>'[4]Trial Balance'!$F$257</f>
        <v>0</v>
      </c>
      <c r="E23" s="4">
        <f t="shared" si="1"/>
        <v>0</v>
      </c>
      <c r="F23" s="4">
        <f>'[4]Trial Balance'!$H$257</f>
        <v>0</v>
      </c>
      <c r="G23" s="4">
        <f t="shared" si="0"/>
        <v>0</v>
      </c>
      <c r="H23" s="4">
        <f>'[4]Trial Balance'!$J$257</f>
        <v>0</v>
      </c>
      <c r="I23" s="4">
        <f>H23-F23</f>
        <v>0</v>
      </c>
      <c r="J23" s="4">
        <f>'[4]Trial Balance'!$L$257</f>
        <v>0</v>
      </c>
      <c r="K23" s="4">
        <f>J23-H23</f>
        <v>0</v>
      </c>
      <c r="N23" s="89"/>
      <c r="O23" s="90"/>
      <c r="P23" s="90"/>
      <c r="Q23" s="90"/>
      <c r="R23" s="90"/>
      <c r="S23" s="90"/>
      <c r="T23" s="90"/>
      <c r="U23" s="90"/>
      <c r="V23" s="90"/>
      <c r="W23" s="90"/>
    </row>
    <row r="24" spans="2:23" ht="12.75">
      <c r="B24" s="7" t="s">
        <v>18</v>
      </c>
      <c r="C24" s="4">
        <f>-'[4]Trial Balance'!$D$261</f>
        <v>195113</v>
      </c>
      <c r="D24" s="4">
        <f>-'[4]Trial Balance'!$F$261</f>
        <v>61929</v>
      </c>
      <c r="E24" s="4">
        <f t="shared" si="1"/>
        <v>-133184</v>
      </c>
      <c r="F24" s="4">
        <f>-'[4]Trial Balance'!$H$261</f>
        <v>48939.61</v>
      </c>
      <c r="G24" s="4">
        <f>F24-D24</f>
        <v>-12989.39</v>
      </c>
      <c r="H24" s="4">
        <f>-'[4]Trial Balance'!$J$261</f>
        <v>28500</v>
      </c>
      <c r="I24" s="4">
        <f>H24-F24</f>
        <v>-20439.61</v>
      </c>
      <c r="J24" s="4">
        <f>-'[4]Trial Balance'!$L$261</f>
        <v>28500</v>
      </c>
      <c r="K24" s="4">
        <f>J24-H24</f>
        <v>0</v>
      </c>
      <c r="L24" s="11"/>
      <c r="N24" s="89"/>
      <c r="O24" s="90"/>
      <c r="P24" s="90"/>
      <c r="Q24" s="90"/>
      <c r="R24" s="90"/>
      <c r="S24" s="90"/>
      <c r="T24" s="90"/>
      <c r="U24" s="90"/>
      <c r="V24" s="90"/>
      <c r="W24" s="90"/>
    </row>
    <row r="25" spans="2:23" ht="12.75">
      <c r="B25" s="8" t="s">
        <v>19</v>
      </c>
      <c r="C25" s="9">
        <f aca="true" t="shared" si="2" ref="C25:K25">SUM(C7:C24)</f>
        <v>1153306.27</v>
      </c>
      <c r="D25" s="9">
        <f t="shared" si="2"/>
        <v>445085.19</v>
      </c>
      <c r="E25" s="9">
        <f t="shared" si="2"/>
        <v>-708221.0800000001</v>
      </c>
      <c r="F25" s="9">
        <f t="shared" si="2"/>
        <v>374818.49000000005</v>
      </c>
      <c r="G25" s="9">
        <f t="shared" si="2"/>
        <v>-70266.7</v>
      </c>
      <c r="H25" s="9">
        <f t="shared" si="2"/>
        <v>341315.01</v>
      </c>
      <c r="I25" s="9">
        <f t="shared" si="2"/>
        <v>-33503.48</v>
      </c>
      <c r="J25" s="9">
        <f t="shared" si="2"/>
        <v>340140.01</v>
      </c>
      <c r="K25" s="9">
        <f t="shared" si="2"/>
        <v>-1175</v>
      </c>
      <c r="L25" s="11"/>
      <c r="N25" s="61"/>
      <c r="O25" s="30"/>
      <c r="P25" s="30"/>
      <c r="Q25" s="30"/>
      <c r="R25" s="30"/>
      <c r="S25" s="30"/>
      <c r="T25" s="30"/>
      <c r="U25" s="30"/>
      <c r="V25" s="30"/>
      <c r="W25" s="30"/>
    </row>
    <row r="26" spans="1:23" ht="13.5" thickBot="1">
      <c r="A26" s="4"/>
      <c r="B26" s="7" t="s">
        <v>20</v>
      </c>
      <c r="C26" s="4">
        <v>32791.3</v>
      </c>
      <c r="D26" s="4">
        <v>33278.91</v>
      </c>
      <c r="E26" s="4">
        <f>D26-C26</f>
        <v>487.6100000000006</v>
      </c>
      <c r="F26" s="4">
        <v>34024.12</v>
      </c>
      <c r="G26" s="4">
        <f>F26-D26</f>
        <v>745.2099999999991</v>
      </c>
      <c r="H26" s="4">
        <f>'[5]Rate Class Customer Model'!$I$13*0.25*12</f>
        <v>37731.097554027154</v>
      </c>
      <c r="I26" s="4">
        <f>H26-F26</f>
        <v>3706.977554027151</v>
      </c>
      <c r="J26" s="4">
        <f>-'[4]Revenue Requirement'!$F$15</f>
        <v>38322</v>
      </c>
      <c r="K26" s="4">
        <f>J26-H26</f>
        <v>590.9024459728462</v>
      </c>
      <c r="N26" s="89"/>
      <c r="O26" s="29"/>
      <c r="P26" s="29"/>
      <c r="Q26" s="29"/>
      <c r="R26" s="29"/>
      <c r="S26" s="29"/>
      <c r="T26" s="29"/>
      <c r="U26" s="29"/>
      <c r="V26" s="29"/>
      <c r="W26" s="29"/>
    </row>
    <row r="27" spans="2:23" ht="13.5" thickTop="1">
      <c r="B27" s="8" t="s">
        <v>21</v>
      </c>
      <c r="C27" s="9">
        <f aca="true" t="shared" si="3" ref="C27:K27">SUM(C25:C26)</f>
        <v>1186097.57</v>
      </c>
      <c r="D27" s="9">
        <f t="shared" si="3"/>
        <v>478364.1</v>
      </c>
      <c r="E27" s="9">
        <f t="shared" si="3"/>
        <v>-707733.4700000001</v>
      </c>
      <c r="F27" s="9">
        <f t="shared" si="3"/>
        <v>408842.61000000004</v>
      </c>
      <c r="G27" s="9">
        <f t="shared" si="3"/>
        <v>-69521.48999999999</v>
      </c>
      <c r="H27" s="9">
        <f t="shared" si="3"/>
        <v>379046.10755402717</v>
      </c>
      <c r="I27" s="9">
        <f t="shared" si="3"/>
        <v>-29796.502445972852</v>
      </c>
      <c r="J27" s="9">
        <f t="shared" si="3"/>
        <v>378462.01</v>
      </c>
      <c r="K27" s="9">
        <f t="shared" si="3"/>
        <v>-584.0975540271538</v>
      </c>
      <c r="N27" s="89"/>
      <c r="O27" s="48"/>
      <c r="P27" s="48"/>
      <c r="Q27" s="48"/>
      <c r="R27" s="48"/>
      <c r="S27" s="48"/>
      <c r="T27" s="48"/>
      <c r="U27" s="48"/>
      <c r="V27" s="48"/>
      <c r="W27" s="48"/>
    </row>
    <row r="28" spans="3:23" ht="12.75">
      <c r="C28" s="3"/>
      <c r="D28" s="3"/>
      <c r="E28" s="3"/>
      <c r="N28" s="89"/>
      <c r="O28" s="17"/>
      <c r="P28" s="17"/>
      <c r="Q28" s="17"/>
      <c r="R28" s="17"/>
      <c r="S28" s="17"/>
      <c r="T28" s="17"/>
      <c r="U28" s="17"/>
      <c r="V28" s="17"/>
      <c r="W28" s="17"/>
    </row>
    <row r="29" spans="2:11" ht="12.75">
      <c r="B29" s="7" t="s">
        <v>22</v>
      </c>
      <c r="C29" s="4">
        <f aca="true" t="shared" si="4" ref="C29:K29">C15</f>
        <v>133125</v>
      </c>
      <c r="D29" s="4">
        <f t="shared" si="4"/>
        <v>144453</v>
      </c>
      <c r="E29" s="4">
        <f t="shared" si="4"/>
        <v>11328</v>
      </c>
      <c r="F29" s="4">
        <f t="shared" si="4"/>
        <v>127498.58</v>
      </c>
      <c r="G29" s="4">
        <f t="shared" si="4"/>
        <v>-16954.42</v>
      </c>
      <c r="H29" s="4">
        <f t="shared" si="4"/>
        <v>127000</v>
      </c>
      <c r="I29" s="4">
        <f t="shared" si="4"/>
        <v>-498.58000000000175</v>
      </c>
      <c r="J29" s="4">
        <f t="shared" si="4"/>
        <v>126500</v>
      </c>
      <c r="K29" s="4">
        <f t="shared" si="4"/>
        <v>-500</v>
      </c>
    </row>
    <row r="30" spans="2:11" ht="12.75">
      <c r="B30" s="7" t="s">
        <v>23</v>
      </c>
      <c r="C30" s="4">
        <f aca="true" t="shared" si="5" ref="C30:K30">C14</f>
        <v>72437</v>
      </c>
      <c r="D30" s="4">
        <f t="shared" si="5"/>
        <v>61033</v>
      </c>
      <c r="E30" s="4">
        <f t="shared" si="5"/>
        <v>-11404</v>
      </c>
      <c r="F30" s="4">
        <f t="shared" si="5"/>
        <v>63140.01</v>
      </c>
      <c r="G30" s="4">
        <f t="shared" si="5"/>
        <v>2107.010000000002</v>
      </c>
      <c r="H30" s="4">
        <f t="shared" si="5"/>
        <v>63140.01</v>
      </c>
      <c r="I30" s="4">
        <f t="shared" si="5"/>
        <v>0</v>
      </c>
      <c r="J30" s="4">
        <f t="shared" si="5"/>
        <v>63140.01</v>
      </c>
      <c r="K30" s="4">
        <f t="shared" si="5"/>
        <v>0</v>
      </c>
    </row>
    <row r="31" spans="2:11" ht="12.75">
      <c r="B31" s="7" t="s">
        <v>24</v>
      </c>
      <c r="C31" s="4">
        <f aca="true" t="shared" si="6" ref="C31:K31">C7+C8+C12+C10+C26+C11+C16+C9</f>
        <v>158868.3</v>
      </c>
      <c r="D31" s="4">
        <f t="shared" si="6"/>
        <v>164566.91</v>
      </c>
      <c r="E31" s="4">
        <f t="shared" si="6"/>
        <v>5698.610000000001</v>
      </c>
      <c r="F31" s="4">
        <f t="shared" si="6"/>
        <v>157273.13</v>
      </c>
      <c r="G31" s="4">
        <f t="shared" si="6"/>
        <v>-7293.779999999999</v>
      </c>
      <c r="H31" s="4">
        <f t="shared" si="6"/>
        <v>160406.09755402716</v>
      </c>
      <c r="I31" s="4">
        <f t="shared" si="6"/>
        <v>3132.967554027149</v>
      </c>
      <c r="J31" s="4">
        <f t="shared" si="6"/>
        <v>160322</v>
      </c>
      <c r="K31" s="4">
        <f t="shared" si="6"/>
        <v>-84.09755402715382</v>
      </c>
    </row>
    <row r="32" spans="2:11" ht="12.75">
      <c r="B32" s="7" t="s">
        <v>25</v>
      </c>
      <c r="C32" s="4">
        <f aca="true" t="shared" si="7" ref="C32:K32">C23+C24+C20+C18</f>
        <v>821667.27</v>
      </c>
      <c r="D32" s="4">
        <f t="shared" si="7"/>
        <v>108311.19</v>
      </c>
      <c r="E32" s="4">
        <f t="shared" si="7"/>
        <v>-713356.0800000001</v>
      </c>
      <c r="F32" s="4">
        <f t="shared" si="7"/>
        <v>60930.89</v>
      </c>
      <c r="G32" s="4">
        <f t="shared" si="7"/>
        <v>-47380.3</v>
      </c>
      <c r="H32" s="4">
        <f t="shared" si="7"/>
        <v>28500</v>
      </c>
      <c r="I32" s="4">
        <f t="shared" si="7"/>
        <v>-32430.89</v>
      </c>
      <c r="J32" s="4">
        <f t="shared" si="7"/>
        <v>28500</v>
      </c>
      <c r="K32" s="4">
        <f t="shared" si="7"/>
        <v>0</v>
      </c>
    </row>
    <row r="33" spans="2:11" ht="12.75">
      <c r="B33" s="8" t="s">
        <v>21</v>
      </c>
      <c r="C33" s="9">
        <f>SUM(C29:C32)</f>
        <v>1186097.57</v>
      </c>
      <c r="D33" s="9">
        <f>SUM(D29:D32)</f>
        <v>478364.10000000003</v>
      </c>
      <c r="E33" s="10">
        <f>+D33-C33</f>
        <v>-707733.47</v>
      </c>
      <c r="F33" s="9">
        <f>SUM(F29:F32)</f>
        <v>408842.61</v>
      </c>
      <c r="G33" s="10">
        <f>F33-D33</f>
        <v>-69521.49000000005</v>
      </c>
      <c r="H33" s="9">
        <f>SUM(H29:H32)</f>
        <v>379046.10755402717</v>
      </c>
      <c r="I33" s="10">
        <f>H33-F33</f>
        <v>-29796.502445972816</v>
      </c>
      <c r="J33" s="9">
        <f>SUM(J29:J32)</f>
        <v>378462.01</v>
      </c>
      <c r="K33" s="10">
        <f>J33-H33</f>
        <v>-584.0975540271611</v>
      </c>
    </row>
    <row r="35" ht="12.75">
      <c r="E35" s="3">
        <f>+E33-E18-E20</f>
        <v>-127561.3899999999</v>
      </c>
    </row>
    <row r="36" spans="2:11" ht="12.75">
      <c r="B36" s="1" t="s">
        <v>62</v>
      </c>
      <c r="C36" s="3">
        <f>+(C33-C20)</f>
        <v>559543.3</v>
      </c>
      <c r="D36" s="3">
        <f>+D33-D18</f>
        <v>468186.10000000003</v>
      </c>
      <c r="E36" s="3">
        <f>+(E33-E20)-E18</f>
        <v>-127561.3899999999</v>
      </c>
      <c r="F36" s="3">
        <f aca="true" t="shared" si="8" ref="F36:K36">+(F33-F20)</f>
        <v>396851.32999999996</v>
      </c>
      <c r="G36" s="3">
        <f t="shared" si="8"/>
        <v>-45308.580000000045</v>
      </c>
      <c r="H36" s="3">
        <f t="shared" si="8"/>
        <v>379046.10755402717</v>
      </c>
      <c r="I36" s="3">
        <f t="shared" si="8"/>
        <v>-17805.222445972817</v>
      </c>
      <c r="J36" s="3">
        <f t="shared" si="8"/>
        <v>378462.01</v>
      </c>
      <c r="K36" s="3">
        <f t="shared" si="8"/>
        <v>-584.0975540271611</v>
      </c>
    </row>
    <row r="37" spans="5:23" ht="25.5">
      <c r="E37" s="3">
        <f>+D36-C36</f>
        <v>-91357.20000000001</v>
      </c>
      <c r="N37" s="96" t="s">
        <v>26</v>
      </c>
      <c r="O37" s="89" t="s">
        <v>2</v>
      </c>
      <c r="P37" s="89" t="s">
        <v>38</v>
      </c>
      <c r="Q37" s="89" t="s">
        <v>3</v>
      </c>
      <c r="R37" s="89" t="s">
        <v>44</v>
      </c>
      <c r="S37" s="89" t="s">
        <v>39</v>
      </c>
      <c r="T37" s="89" t="s">
        <v>43</v>
      </c>
      <c r="U37" s="89" t="s">
        <v>47</v>
      </c>
      <c r="V37" s="89" t="s">
        <v>41</v>
      </c>
      <c r="W37" s="89" t="s">
        <v>42</v>
      </c>
    </row>
    <row r="38" spans="2:23" ht="12.75">
      <c r="B38" s="1" t="s">
        <v>63</v>
      </c>
      <c r="C38" s="3"/>
      <c r="N38" s="96"/>
      <c r="O38" s="48" t="s">
        <v>27</v>
      </c>
      <c r="P38" s="48" t="s">
        <v>27</v>
      </c>
      <c r="Q38" s="48" t="s">
        <v>27</v>
      </c>
      <c r="R38" s="48" t="s">
        <v>27</v>
      </c>
      <c r="S38" s="48" t="s">
        <v>27</v>
      </c>
      <c r="T38" s="48" t="s">
        <v>27</v>
      </c>
      <c r="U38" s="48" t="s">
        <v>27</v>
      </c>
      <c r="V38" s="48" t="s">
        <v>27</v>
      </c>
      <c r="W38" s="48" t="s">
        <v>27</v>
      </c>
    </row>
    <row r="39" spans="14:23" ht="12.75">
      <c r="N39" s="60" t="s">
        <v>28</v>
      </c>
      <c r="O39" s="48"/>
      <c r="P39" s="48"/>
      <c r="Q39" s="48"/>
      <c r="R39" s="48"/>
      <c r="S39" s="48"/>
      <c r="T39" s="48"/>
      <c r="U39" s="48"/>
      <c r="V39" s="48"/>
      <c r="W39" s="48"/>
    </row>
    <row r="40" spans="14:23" ht="12.75">
      <c r="N40" s="89" t="s">
        <v>29</v>
      </c>
      <c r="O40" s="23">
        <v>1840951.6413865902</v>
      </c>
      <c r="P40" s="75">
        <v>1970658.3195999998</v>
      </c>
      <c r="Q40" s="90">
        <v>129706.67821340961</v>
      </c>
      <c r="R40" s="23">
        <v>1909333.84</v>
      </c>
      <c r="S40" s="90">
        <v>-61324.47959999973</v>
      </c>
      <c r="T40" s="23">
        <v>1913826.8617059912</v>
      </c>
      <c r="U40" s="23">
        <v>4493.021705991123</v>
      </c>
      <c r="V40" s="23">
        <v>2617280.592049398</v>
      </c>
      <c r="W40" s="23">
        <v>703453.7303434068</v>
      </c>
    </row>
    <row r="41" spans="14:23" ht="12.75">
      <c r="N41" s="89" t="s">
        <v>30</v>
      </c>
      <c r="O41" s="90">
        <v>619068.6706195417</v>
      </c>
      <c r="P41" s="90">
        <v>619738.44636</v>
      </c>
      <c r="Q41" s="90">
        <v>669.7757404582808</v>
      </c>
      <c r="R41" s="90">
        <v>599094.51</v>
      </c>
      <c r="S41" s="90">
        <v>-20643.936359999934</v>
      </c>
      <c r="T41" s="23">
        <v>571811.0052235541</v>
      </c>
      <c r="U41" s="23">
        <v>-27283.504776445916</v>
      </c>
      <c r="V41" s="90">
        <v>799680.5973895122</v>
      </c>
      <c r="W41" s="23">
        <v>227869.59216595814</v>
      </c>
    </row>
    <row r="42" spans="14:23" ht="12.75">
      <c r="N42" s="89" t="s">
        <v>51</v>
      </c>
      <c r="O42" s="90">
        <v>1163463.332987057</v>
      </c>
      <c r="P42" s="90">
        <v>1233761.4504</v>
      </c>
      <c r="Q42" s="90">
        <v>70298.11741294293</v>
      </c>
      <c r="R42" s="90">
        <v>1279943.93</v>
      </c>
      <c r="S42" s="90">
        <v>46182.47959999996</v>
      </c>
      <c r="T42" s="23">
        <v>1195254.0765984876</v>
      </c>
      <c r="U42" s="23">
        <v>-84689.85340151237</v>
      </c>
      <c r="V42" s="90">
        <v>1821706.9566061064</v>
      </c>
      <c r="W42" s="23">
        <v>626452.8800076188</v>
      </c>
    </row>
    <row r="43" spans="14:23" ht="12.75">
      <c r="N43" s="89" t="s">
        <v>52</v>
      </c>
      <c r="O43" s="90">
        <v>23437.23297530918</v>
      </c>
      <c r="P43" s="90">
        <v>62333.98728</v>
      </c>
      <c r="Q43" s="90">
        <v>38896.754304690825</v>
      </c>
      <c r="R43" s="90">
        <v>46650.2</v>
      </c>
      <c r="S43" s="90">
        <v>-15683.787280000004</v>
      </c>
      <c r="T43" s="23">
        <v>41451.177908</v>
      </c>
      <c r="U43" s="23">
        <v>-5199.022091999999</v>
      </c>
      <c r="V43" s="90">
        <v>139226.24069383825</v>
      </c>
      <c r="W43" s="23">
        <v>97775.06278583825</v>
      </c>
    </row>
    <row r="44" spans="14:23" ht="12.75">
      <c r="N44" s="89" t="s">
        <v>31</v>
      </c>
      <c r="O44" s="90">
        <v>36634.970971970026</v>
      </c>
      <c r="P44" s="90">
        <v>81308.31364</v>
      </c>
      <c r="Q44" s="90">
        <v>44673.34266802997</v>
      </c>
      <c r="R44" s="90">
        <v>138517.41999999998</v>
      </c>
      <c r="S44" s="90">
        <v>57209.10635999999</v>
      </c>
      <c r="T44" s="90">
        <v>201868.76502998732</v>
      </c>
      <c r="U44" s="23">
        <v>63351.34502998734</v>
      </c>
      <c r="V44" s="90">
        <v>232955.41783902497</v>
      </c>
      <c r="W44" s="23">
        <v>31086.652809037652</v>
      </c>
    </row>
    <row r="45" spans="14:23" ht="12.75">
      <c r="N45" s="89" t="s">
        <v>32</v>
      </c>
      <c r="O45" s="90">
        <v>2536.918974584451</v>
      </c>
      <c r="P45" s="90">
        <v>3943.7788</v>
      </c>
      <c r="Q45" s="90">
        <v>1406.859825415549</v>
      </c>
      <c r="R45" s="90">
        <v>4489.32</v>
      </c>
      <c r="S45" s="90">
        <v>545.5411999999997</v>
      </c>
      <c r="T45" s="90">
        <v>5565.487923198427</v>
      </c>
      <c r="U45" s="23">
        <v>1076.1679231984272</v>
      </c>
      <c r="V45" s="90">
        <v>7362.851901850743</v>
      </c>
      <c r="W45" s="23">
        <v>1797.3639786523163</v>
      </c>
    </row>
    <row r="46" spans="14:23" ht="15">
      <c r="N46" s="89" t="s">
        <v>33</v>
      </c>
      <c r="O46" s="15">
        <v>31905.196966433676</v>
      </c>
      <c r="P46" s="15">
        <v>33981.19628</v>
      </c>
      <c r="Q46" s="85">
        <v>2075.999313566321</v>
      </c>
      <c r="R46" s="15">
        <v>32830.119999999995</v>
      </c>
      <c r="S46" s="85">
        <v>-1151.0762800000011</v>
      </c>
      <c r="T46" s="15">
        <v>31330.6739</v>
      </c>
      <c r="U46" s="86">
        <v>-1499.4460999999937</v>
      </c>
      <c r="V46" s="85">
        <v>41734.78671381622</v>
      </c>
      <c r="W46" s="86">
        <v>10404.112813816217</v>
      </c>
    </row>
    <row r="47" spans="14:23" ht="12.75">
      <c r="N47" s="61" t="s">
        <v>21</v>
      </c>
      <c r="O47" s="30">
        <v>3717997.9648814863</v>
      </c>
      <c r="P47" s="30">
        <v>4005725.492359999</v>
      </c>
      <c r="Q47" s="30">
        <v>287727.5274785134</v>
      </c>
      <c r="R47" s="30">
        <v>4010859.3400000003</v>
      </c>
      <c r="S47" s="30">
        <v>5133.847640000284</v>
      </c>
      <c r="T47" s="30">
        <v>3961108.0482892185</v>
      </c>
      <c r="U47" s="88">
        <v>-49751.291710781865</v>
      </c>
      <c r="V47" s="30">
        <v>5659947.4431935465</v>
      </c>
      <c r="W47" s="88">
        <v>1698839.394904328</v>
      </c>
    </row>
    <row r="48" spans="14:23" ht="12.75">
      <c r="N48" s="89"/>
      <c r="O48" s="59">
        <v>3717998.12</v>
      </c>
      <c r="P48" s="59">
        <v>4005724.8</v>
      </c>
      <c r="Q48" s="90"/>
      <c r="R48" s="90"/>
      <c r="S48" s="90"/>
      <c r="T48" s="90"/>
      <c r="U48" s="90"/>
      <c r="V48" s="90"/>
      <c r="W48" s="90"/>
    </row>
    <row r="49" spans="2:23" ht="12.75">
      <c r="B49" s="31" t="s">
        <v>53</v>
      </c>
      <c r="C49" s="31" t="s">
        <v>54</v>
      </c>
      <c r="N49" s="89"/>
      <c r="O49" s="90"/>
      <c r="P49" s="59">
        <v>3713966</v>
      </c>
      <c r="Q49" s="17">
        <f>+Q47/O47</f>
        <v>0.0773877581957431</v>
      </c>
      <c r="R49" s="90"/>
      <c r="S49" s="90"/>
      <c r="T49" s="90"/>
      <c r="U49" s="90"/>
      <c r="V49" s="90"/>
      <c r="W49" s="90"/>
    </row>
    <row r="50" spans="2:23" ht="12.75">
      <c r="B50" s="35" t="s">
        <v>55</v>
      </c>
      <c r="C50" s="35">
        <v>4235</v>
      </c>
      <c r="N50" s="89"/>
      <c r="O50" s="90"/>
      <c r="P50" s="90"/>
      <c r="Q50" s="90"/>
      <c r="R50" s="90"/>
      <c r="S50" s="90"/>
      <c r="T50" s="90"/>
      <c r="U50" s="90"/>
      <c r="V50" s="90"/>
      <c r="W50" s="90"/>
    </row>
    <row r="51" spans="2:23" ht="12.75">
      <c r="B51" s="35" t="s">
        <v>56</v>
      </c>
      <c r="C51" s="35">
        <v>4225</v>
      </c>
      <c r="N51" s="60" t="s">
        <v>4</v>
      </c>
      <c r="O51" s="90"/>
      <c r="P51" s="90"/>
      <c r="Q51" s="90"/>
      <c r="R51" s="90"/>
      <c r="S51" s="90"/>
      <c r="T51" s="90"/>
      <c r="U51" s="90"/>
      <c r="V51" s="90"/>
      <c r="W51" s="90"/>
    </row>
    <row r="52" spans="2:23" ht="12.75">
      <c r="B52" s="35" t="s">
        <v>57</v>
      </c>
      <c r="C52" s="98" t="s">
        <v>58</v>
      </c>
      <c r="D52" s="98"/>
      <c r="E52" s="98"/>
      <c r="F52" s="98"/>
      <c r="N52" s="89" t="s">
        <v>22</v>
      </c>
      <c r="O52" s="90">
        <v>133125</v>
      </c>
      <c r="P52" s="90">
        <v>144453</v>
      </c>
      <c r="Q52" s="90">
        <v>11328</v>
      </c>
      <c r="R52" s="90">
        <v>127498.58</v>
      </c>
      <c r="S52" s="90">
        <v>-16954.42</v>
      </c>
      <c r="T52" s="90">
        <v>127000</v>
      </c>
      <c r="U52" s="90">
        <v>-498.58000000000175</v>
      </c>
      <c r="V52" s="90">
        <v>126500</v>
      </c>
      <c r="W52" s="90">
        <v>-500</v>
      </c>
    </row>
    <row r="53" spans="2:23" ht="12.75" customHeight="1">
      <c r="B53" s="35" t="s">
        <v>59</v>
      </c>
      <c r="C53" s="99" t="s">
        <v>60</v>
      </c>
      <c r="D53" s="99"/>
      <c r="E53" s="99"/>
      <c r="F53" s="99"/>
      <c r="N53" s="89" t="s">
        <v>23</v>
      </c>
      <c r="O53" s="90">
        <v>72437</v>
      </c>
      <c r="P53" s="90">
        <v>61033</v>
      </c>
      <c r="Q53" s="90">
        <v>-11404</v>
      </c>
      <c r="R53" s="90">
        <v>63140.01</v>
      </c>
      <c r="S53" s="90">
        <v>2107.010000000002</v>
      </c>
      <c r="T53" s="90">
        <v>63140.01</v>
      </c>
      <c r="U53" s="90">
        <v>0</v>
      </c>
      <c r="V53" s="90">
        <v>63140.01</v>
      </c>
      <c r="W53" s="90">
        <v>0</v>
      </c>
    </row>
    <row r="54" spans="3:23" ht="12.75">
      <c r="C54" s="99"/>
      <c r="D54" s="99"/>
      <c r="E54" s="99"/>
      <c r="F54" s="99"/>
      <c r="N54" s="89" t="s">
        <v>4</v>
      </c>
      <c r="O54" s="90">
        <v>158868.3</v>
      </c>
      <c r="P54" s="90">
        <v>166727.65</v>
      </c>
      <c r="Q54" s="90">
        <v>7859.350000000006</v>
      </c>
      <c r="R54" s="90">
        <v>157273.13</v>
      </c>
      <c r="S54" s="90">
        <v>-9454.51999999999</v>
      </c>
      <c r="T54" s="90">
        <v>160403.09755402716</v>
      </c>
      <c r="U54" s="90">
        <v>3129.9675540271564</v>
      </c>
      <c r="V54" s="90">
        <v>160322</v>
      </c>
      <c r="W54" s="90">
        <v>-81.0975540271611</v>
      </c>
    </row>
    <row r="55" spans="14:23" ht="12.75">
      <c r="N55" s="89" t="s">
        <v>25</v>
      </c>
      <c r="O55" s="90">
        <v>821667.27</v>
      </c>
      <c r="P55" s="90">
        <v>108311.19</v>
      </c>
      <c r="Q55" s="90">
        <v>-713356.0800000001</v>
      </c>
      <c r="R55" s="90">
        <v>60930.89</v>
      </c>
      <c r="S55" s="90">
        <v>-47380.3</v>
      </c>
      <c r="T55" s="90">
        <v>28500</v>
      </c>
      <c r="U55" s="90">
        <v>-32430.89</v>
      </c>
      <c r="V55" s="90">
        <v>28500</v>
      </c>
      <c r="W55" s="90">
        <v>0</v>
      </c>
    </row>
    <row r="56" spans="14:23" ht="12.75">
      <c r="N56" s="61" t="s">
        <v>21</v>
      </c>
      <c r="O56" s="30">
        <v>1186097.57</v>
      </c>
      <c r="P56" s="30">
        <v>480524.84</v>
      </c>
      <c r="Q56" s="30">
        <v>-705572.7300000001</v>
      </c>
      <c r="R56" s="30">
        <v>408842.61</v>
      </c>
      <c r="S56" s="30">
        <v>-71682.22999999998</v>
      </c>
      <c r="T56" s="30">
        <v>379043.10755402717</v>
      </c>
      <c r="U56" s="30">
        <v>-29799.502445972845</v>
      </c>
      <c r="V56" s="30">
        <v>378462.01</v>
      </c>
      <c r="W56" s="30">
        <v>-581.0975540271611</v>
      </c>
    </row>
    <row r="57" spans="14:23" ht="13.5" thickBot="1">
      <c r="N57" s="89" t="s">
        <v>34</v>
      </c>
      <c r="O57" s="29">
        <v>4904095.534881487</v>
      </c>
      <c r="P57" s="29">
        <v>4486250.332359999</v>
      </c>
      <c r="Q57" s="29">
        <v>-417845.2025214867</v>
      </c>
      <c r="R57" s="29">
        <v>4419701.95</v>
      </c>
      <c r="S57" s="29">
        <v>-66548.3823599997</v>
      </c>
      <c r="T57" s="29">
        <v>4340151.155843246</v>
      </c>
      <c r="U57" s="29">
        <v>-79550.79415675471</v>
      </c>
      <c r="V57" s="29">
        <v>6038409.453193546</v>
      </c>
      <c r="W57" s="29">
        <v>1698258.297350301</v>
      </c>
    </row>
    <row r="58" spans="14:23" ht="13.5" thickTop="1">
      <c r="N58" s="89"/>
      <c r="O58" s="48"/>
      <c r="P58" s="48"/>
      <c r="Q58" s="48"/>
      <c r="R58" s="48"/>
      <c r="S58" s="48"/>
      <c r="T58" s="48"/>
      <c r="U58" s="48"/>
      <c r="V58" s="48"/>
      <c r="W58" s="48"/>
    </row>
    <row r="59" spans="2:23" ht="12.75">
      <c r="B59" s="1" t="s">
        <v>64</v>
      </c>
      <c r="N59" s="89" t="s">
        <v>35</v>
      </c>
      <c r="O59" s="17">
        <v>0.7581414224980705</v>
      </c>
      <c r="P59" s="17">
        <v>0.8928894278293161</v>
      </c>
      <c r="Q59" s="17">
        <v>-0.6885983750494724</v>
      </c>
      <c r="R59" s="17">
        <v>0.907495434166098</v>
      </c>
      <c r="S59" s="17">
        <v>-0.07714458951426129</v>
      </c>
      <c r="T59" s="17">
        <v>0.9126659201618559</v>
      </c>
      <c r="U59" s="17">
        <v>0.6254028289490992</v>
      </c>
      <c r="V59" s="17">
        <v>0.9373242220598602</v>
      </c>
      <c r="W59" s="17">
        <v>1.0003421726570887</v>
      </c>
    </row>
    <row r="60" ht="12.75">
      <c r="B60" s="1" t="s">
        <v>65</v>
      </c>
    </row>
  </sheetData>
  <sheetProtection/>
  <mergeCells count="6">
    <mergeCell ref="C53:F54"/>
    <mergeCell ref="B4:K4"/>
    <mergeCell ref="C52:F52"/>
    <mergeCell ref="N5:Q5"/>
    <mergeCell ref="N6:N7"/>
    <mergeCell ref="N37:N3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J8" sqref="J8"/>
    </sheetView>
  </sheetViews>
  <sheetFormatPr defaultColWidth="40.00390625" defaultRowHeight="12.75"/>
  <cols>
    <col min="1" max="1" width="7.28125" style="1" customWidth="1"/>
    <col min="2" max="2" width="39.7109375" style="1" customWidth="1"/>
    <col min="3" max="3" width="10.28125" style="1" hidden="1" customWidth="1"/>
    <col min="4" max="4" width="10.421875" style="1" hidden="1" customWidth="1"/>
    <col min="5" max="5" width="10.00390625" style="1" hidden="1" customWidth="1"/>
    <col min="6" max="6" width="10.28125" style="1" customWidth="1"/>
    <col min="7" max="7" width="10.8515625" style="1" hidden="1" customWidth="1"/>
    <col min="8" max="8" width="10.28125" style="1" customWidth="1"/>
    <col min="9" max="9" width="9.57421875" style="1" customWidth="1"/>
    <col min="10" max="10" width="10.28125" style="1" customWidth="1"/>
    <col min="11" max="11" width="10.421875" style="1" customWidth="1"/>
    <col min="12" max="12" width="9.8515625" style="1" customWidth="1"/>
    <col min="13" max="13" width="11.28125" style="1" customWidth="1"/>
    <col min="14" max="14" width="11.00390625" style="1" customWidth="1"/>
    <col min="15" max="15" width="40.00390625" style="1" customWidth="1"/>
    <col min="16" max="18" width="12.28125" style="1" customWidth="1"/>
    <col min="19" max="16384" width="40.00390625" style="1" customWidth="1"/>
  </cols>
  <sheetData>
    <row r="1" ht="12.75">
      <c r="O1" s="1">
        <v>-1</v>
      </c>
    </row>
    <row r="2" ht="12.75"/>
    <row r="3" ht="12.75"/>
    <row r="4" spans="2:13" ht="18.7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s="2" customFormat="1" ht="63.75" customHeight="1">
      <c r="B5" s="25" t="s">
        <v>1</v>
      </c>
      <c r="C5" s="26" t="s">
        <v>45</v>
      </c>
      <c r="D5" s="26" t="s">
        <v>2</v>
      </c>
      <c r="E5" s="26" t="s">
        <v>46</v>
      </c>
      <c r="F5" s="26" t="s">
        <v>38</v>
      </c>
      <c r="G5" s="26" t="s">
        <v>3</v>
      </c>
      <c r="H5" s="26" t="s">
        <v>44</v>
      </c>
      <c r="I5" s="26" t="s">
        <v>39</v>
      </c>
      <c r="J5" s="26" t="s">
        <v>43</v>
      </c>
      <c r="K5" s="26" t="s">
        <v>47</v>
      </c>
      <c r="L5" s="26" t="s">
        <v>41</v>
      </c>
      <c r="M5" s="26" t="s">
        <v>42</v>
      </c>
    </row>
    <row r="6" spans="2:13" ht="12.75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4" ht="12.75">
      <c r="B7" s="7" t="s">
        <v>5</v>
      </c>
      <c r="C7" s="24">
        <f>-12022*ops</f>
        <v>12022</v>
      </c>
      <c r="D7" s="4">
        <f>-'[4]Trial Balance'!$D$225</f>
        <v>13320</v>
      </c>
      <c r="E7" s="4">
        <f>D7-C7</f>
        <v>1298</v>
      </c>
      <c r="F7" s="4">
        <f>-'[4]Trial Balance'!$F$225</f>
        <v>10013</v>
      </c>
      <c r="G7" s="4">
        <f>F7-D7</f>
        <v>-3307</v>
      </c>
      <c r="H7" s="4">
        <f>-'[4]Trial Balance'!$H$225</f>
        <v>10178</v>
      </c>
      <c r="I7" s="4">
        <f>H7-F7</f>
        <v>165</v>
      </c>
      <c r="J7" s="4">
        <f>-'[4]Trial Balance'!$J$225</f>
        <v>10015</v>
      </c>
      <c r="K7" s="4">
        <f>J7-H7</f>
        <v>-163</v>
      </c>
      <c r="L7" s="4">
        <f>-'[4]Trial Balance'!$L$225</f>
        <v>9985</v>
      </c>
      <c r="M7" s="4">
        <f>L7-J7</f>
        <v>-30</v>
      </c>
      <c r="N7" s="11"/>
    </row>
    <row r="8" spans="2:13" ht="12.75">
      <c r="B8" s="7" t="s">
        <v>6</v>
      </c>
      <c r="C8" s="24">
        <f>-347*ops</f>
        <v>347</v>
      </c>
      <c r="D8" s="4">
        <f>-'[4]Trial Balance'!$D$226</f>
        <v>1380</v>
      </c>
      <c r="E8" s="4">
        <f>D8-C8</f>
        <v>1033</v>
      </c>
      <c r="F8" s="4">
        <f>-'[4]Trial Balance'!$F$226</f>
        <v>4560</v>
      </c>
      <c r="G8" s="4">
        <f>F8-D8</f>
        <v>3180</v>
      </c>
      <c r="H8" s="4">
        <f>-'[4]Trial Balance'!$H$226</f>
        <v>4774</v>
      </c>
      <c r="I8" s="4">
        <f>H8-F8</f>
        <v>214</v>
      </c>
      <c r="J8" s="4">
        <f>-'[4]Trial Balance'!$J$226</f>
        <v>4560</v>
      </c>
      <c r="K8" s="4">
        <f>J8-H8</f>
        <v>-214</v>
      </c>
      <c r="L8" s="4">
        <f>-'[4]Trial Balance'!$L$226</f>
        <v>4015</v>
      </c>
      <c r="M8" s="4">
        <f>L8-J8</f>
        <v>-545</v>
      </c>
    </row>
    <row r="9" spans="2:13" ht="12.75">
      <c r="B9" s="7" t="s">
        <v>50</v>
      </c>
      <c r="C9" s="24">
        <f>-45600*ops</f>
        <v>45600</v>
      </c>
      <c r="D9" s="4">
        <f>-'[4]Trial Balance'!$D$229</f>
        <v>51600</v>
      </c>
      <c r="E9" s="4">
        <f>D9-C9</f>
        <v>6000</v>
      </c>
      <c r="F9" s="4">
        <f>-'[4]Trial Balance'!$F$229</f>
        <v>51600</v>
      </c>
      <c r="G9" s="4">
        <f>F9-D9</f>
        <v>0</v>
      </c>
      <c r="H9" s="4">
        <f>-'[4]Trial Balance'!$H$229</f>
        <v>51600</v>
      </c>
      <c r="I9" s="4">
        <f>H9-F9</f>
        <v>0</v>
      </c>
      <c r="J9" s="4">
        <f>-'[4]Trial Balance'!$J$229</f>
        <v>51600</v>
      </c>
      <c r="K9" s="4">
        <f>J9-H9</f>
        <v>0</v>
      </c>
      <c r="L9" s="4">
        <f>-'[4]Trial Balance'!$L$229</f>
        <v>51600</v>
      </c>
      <c r="M9" s="4">
        <f>L9-J9</f>
        <v>0</v>
      </c>
    </row>
    <row r="10" spans="2:13" ht="12.75">
      <c r="B10" s="7" t="s">
        <v>7</v>
      </c>
      <c r="C10" s="24">
        <f>-56300*ops</f>
        <v>56300</v>
      </c>
      <c r="D10" s="4">
        <f>-'[4]Trial Balance'!$D$230</f>
        <v>59777</v>
      </c>
      <c r="E10" s="4">
        <f>D10-C10</f>
        <v>3477</v>
      </c>
      <c r="F10" s="4">
        <f>-'[4]Trial Balance'!$F$230</f>
        <v>65115</v>
      </c>
      <c r="G10" s="4">
        <f>F10-D10</f>
        <v>5338</v>
      </c>
      <c r="H10" s="4">
        <f>-'[4]Trial Balance'!$H$230</f>
        <v>56697.01</v>
      </c>
      <c r="I10" s="4">
        <f>H10-F10</f>
        <v>-8417.989999999998</v>
      </c>
      <c r="J10" s="4">
        <f>-'[4]Trial Balance'!$J$230</f>
        <v>56500</v>
      </c>
      <c r="K10" s="4">
        <f>J10-H10</f>
        <v>-197.01000000000204</v>
      </c>
      <c r="L10" s="4">
        <f>-'[4]Trial Balance'!$L$230</f>
        <v>56400</v>
      </c>
      <c r="M10" s="4">
        <f>L10-J10</f>
        <v>-100</v>
      </c>
    </row>
    <row r="11" spans="2:13" ht="12.75" hidden="1">
      <c r="B11" s="7" t="s">
        <v>49</v>
      </c>
      <c r="C11" s="2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2.75" hidden="1">
      <c r="B12" s="7" t="s">
        <v>40</v>
      </c>
      <c r="C12" s="24"/>
      <c r="D12" s="4"/>
      <c r="E12" s="4">
        <f aca="true" t="shared" si="0" ref="E12:E23">D12-C12</f>
        <v>0</v>
      </c>
      <c r="F12" s="4"/>
      <c r="G12" s="4">
        <f>F12-D12</f>
        <v>0</v>
      </c>
      <c r="H12" s="4"/>
      <c r="I12" s="4">
        <f aca="true" t="shared" si="1" ref="I12:I23">H12-F12</f>
        <v>0</v>
      </c>
      <c r="J12" s="4"/>
      <c r="K12" s="4">
        <f>J12-H12</f>
        <v>0</v>
      </c>
      <c r="L12" s="4"/>
      <c r="M12" s="4">
        <f>L12-J12</f>
        <v>0</v>
      </c>
    </row>
    <row r="13" spans="2:13" ht="12.75" hidden="1">
      <c r="B13" s="7" t="s">
        <v>8</v>
      </c>
      <c r="C13" s="24"/>
      <c r="D13" s="4">
        <f>'[4]Trial Balance'!$D$232</f>
        <v>0</v>
      </c>
      <c r="E13" s="4">
        <f t="shared" si="0"/>
        <v>0</v>
      </c>
      <c r="F13" s="4">
        <f>'[4]Trial Balance'!$F$232</f>
        <v>0</v>
      </c>
      <c r="G13" s="4"/>
      <c r="H13" s="4">
        <f>'[4]Trial Balance'!$H$232</f>
        <v>0</v>
      </c>
      <c r="I13" s="4"/>
      <c r="J13" s="4">
        <f>'[4]Trial Balance'!$J$232</f>
        <v>0</v>
      </c>
      <c r="K13" s="4"/>
      <c r="L13" s="4">
        <f>'[4]Trial Balance'!$L$232</f>
        <v>0</v>
      </c>
      <c r="M13" s="4"/>
    </row>
    <row r="14" spans="2:14" ht="12.75">
      <c r="B14" s="7" t="s">
        <v>9</v>
      </c>
      <c r="C14" s="24">
        <f>-27565*ops</f>
        <v>27565</v>
      </c>
      <c r="D14" s="4">
        <f>-'[4]Trial Balance'!$D$233</f>
        <v>72437</v>
      </c>
      <c r="E14" s="4">
        <f>D14-C14</f>
        <v>44872</v>
      </c>
      <c r="F14" s="4">
        <f>-'[4]Trial Balance'!$F$233</f>
        <v>61033</v>
      </c>
      <c r="G14" s="4">
        <f>F14-D14</f>
        <v>-11404</v>
      </c>
      <c r="H14" s="4">
        <f>-'[4]Trial Balance'!$H$233</f>
        <v>63140.01</v>
      </c>
      <c r="I14" s="4">
        <f>H14-F14</f>
        <v>2107.010000000002</v>
      </c>
      <c r="J14" s="4">
        <f>-'[4]Trial Balance'!$J$233</f>
        <v>63140.01</v>
      </c>
      <c r="K14" s="4">
        <f>J14-H14</f>
        <v>0</v>
      </c>
      <c r="L14" s="4">
        <f>-'[4]Trial Balance'!$L$233</f>
        <v>63140.01</v>
      </c>
      <c r="M14" s="4">
        <f>L14-J14</f>
        <v>0</v>
      </c>
      <c r="N14" s="11"/>
    </row>
    <row r="15" spans="2:14" ht="12.75">
      <c r="B15" s="7" t="s">
        <v>10</v>
      </c>
      <c r="C15" s="24">
        <f>-103267*ops</f>
        <v>103267</v>
      </c>
      <c r="D15" s="4">
        <f>-'[4]Trial Balance'!$D$235</f>
        <v>133125</v>
      </c>
      <c r="E15" s="4">
        <f>D15-C15</f>
        <v>29858</v>
      </c>
      <c r="F15" s="4">
        <f>-'[4]Trial Balance'!$F$235</f>
        <v>144453</v>
      </c>
      <c r="G15" s="4">
        <f>F15-D15</f>
        <v>11328</v>
      </c>
      <c r="H15" s="4">
        <f>-'[4]Trial Balance'!$H$235</f>
        <v>127498.58</v>
      </c>
      <c r="I15" s="4">
        <f>H15-F15</f>
        <v>-16954.42</v>
      </c>
      <c r="J15" s="4">
        <f>-'[4]Trial Balance'!$J$235</f>
        <v>127000</v>
      </c>
      <c r="K15" s="4">
        <f>J15-H15</f>
        <v>-498.58000000000175</v>
      </c>
      <c r="L15" s="4">
        <f>-'[4]Trial Balance'!$L$235</f>
        <v>126500</v>
      </c>
      <c r="M15" s="4">
        <f>L15-J15</f>
        <v>-500</v>
      </c>
      <c r="N15" s="11"/>
    </row>
    <row r="16" spans="2:13" ht="12.75" hidden="1">
      <c r="B16" s="7" t="s">
        <v>48</v>
      </c>
      <c r="C16" s="2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3.5" customHeight="1" hidden="1">
      <c r="B17" s="7" t="s">
        <v>11</v>
      </c>
      <c r="C17" s="24"/>
      <c r="D17" s="4">
        <f>'[4]Trial Balance'!$D$249</f>
        <v>0</v>
      </c>
      <c r="E17" s="4">
        <f t="shared" si="0"/>
        <v>0</v>
      </c>
      <c r="F17" s="4">
        <f>'[4]Trial Balance'!$F$249</f>
        <v>0</v>
      </c>
      <c r="G17" s="4">
        <f aca="true" t="shared" si="2" ref="G17:G23">F17-D17</f>
        <v>0</v>
      </c>
      <c r="H17" s="4">
        <f>'[4]Trial Balance'!$H$249</f>
        <v>0</v>
      </c>
      <c r="I17" s="4">
        <f t="shared" si="1"/>
        <v>0</v>
      </c>
      <c r="J17" s="4">
        <f>'[4]Trial Balance'!$J$249</f>
        <v>0</v>
      </c>
      <c r="K17" s="4">
        <f>J17-H17</f>
        <v>0</v>
      </c>
      <c r="L17" s="4">
        <f>'[4]Trial Balance'!$L$249</f>
        <v>0</v>
      </c>
      <c r="M17" s="4">
        <f>L17-J17</f>
        <v>0</v>
      </c>
    </row>
    <row r="18" spans="2:13" ht="12.75">
      <c r="B18" s="7" t="s">
        <v>12</v>
      </c>
      <c r="C18" s="24"/>
      <c r="D18" s="4">
        <f>'[4]Trial Balance'!$D$250</f>
        <v>0</v>
      </c>
      <c r="E18" s="4">
        <f>D18-C18</f>
        <v>0</v>
      </c>
      <c r="F18" s="4">
        <f>-'[4]Trial Balance'!$F$250</f>
        <v>10178</v>
      </c>
      <c r="G18" s="4">
        <f>F18-D18</f>
        <v>10178</v>
      </c>
      <c r="H18" s="4">
        <f>-'[4]Trial Balance'!$H$250</f>
        <v>0</v>
      </c>
      <c r="I18" s="4">
        <f>H18-F18</f>
        <v>-10178</v>
      </c>
      <c r="J18" s="4">
        <f>-'[4]Trial Balance'!$J$250</f>
        <v>0</v>
      </c>
      <c r="K18" s="4">
        <f>J18-H18</f>
        <v>0</v>
      </c>
      <c r="L18" s="4">
        <f>-'[4]Trial Balance'!$L$250</f>
        <v>0</v>
      </c>
      <c r="M18" s="4">
        <f>L18-J18</f>
        <v>0</v>
      </c>
    </row>
    <row r="19" spans="2:13" ht="13.5" customHeight="1" hidden="1">
      <c r="B19" s="7" t="s">
        <v>13</v>
      </c>
      <c r="C19" s="24"/>
      <c r="D19" s="4">
        <f>'[4]Trial Balance'!$D$251</f>
        <v>0</v>
      </c>
      <c r="E19" s="4">
        <f t="shared" si="0"/>
        <v>0</v>
      </c>
      <c r="F19" s="4">
        <f>'[4]Trial Balance'!$F$251</f>
        <v>0</v>
      </c>
      <c r="G19" s="4">
        <f t="shared" si="2"/>
        <v>0</v>
      </c>
      <c r="H19" s="4">
        <f>'[4]Trial Balance'!$H$251</f>
        <v>0</v>
      </c>
      <c r="I19" s="4">
        <f t="shared" si="1"/>
        <v>0</v>
      </c>
      <c r="J19" s="4">
        <f>'[4]Trial Balance'!$J$251</f>
        <v>0</v>
      </c>
      <c r="K19" s="4">
        <f>J19-H19</f>
        <v>0</v>
      </c>
      <c r="L19" s="4">
        <f>'[4]Trial Balance'!$L$251</f>
        <v>0</v>
      </c>
      <c r="M19" s="4">
        <f>L19-J19</f>
        <v>0</v>
      </c>
    </row>
    <row r="20" spans="2:14" ht="12.75">
      <c r="B20" s="7" t="s">
        <v>14</v>
      </c>
      <c r="C20" s="24"/>
      <c r="D20" s="4">
        <f>-'[4]Trial Balance'!$D$254</f>
        <v>626554.27</v>
      </c>
      <c r="E20" s="4">
        <f>D20-C20</f>
        <v>626554.27</v>
      </c>
      <c r="F20" s="4">
        <f>-'[4]Trial Balance'!$F$254</f>
        <v>36204.19</v>
      </c>
      <c r="G20" s="4">
        <f>F20-D20</f>
        <v>-590350.0800000001</v>
      </c>
      <c r="H20" s="4">
        <f>-'[4]Trial Balance'!$H$254</f>
        <v>11991.28</v>
      </c>
      <c r="I20" s="4">
        <f>H20-F20</f>
        <v>-24212.910000000003</v>
      </c>
      <c r="J20" s="4">
        <f>-'[4]Trial Balance'!$J$254</f>
        <v>0</v>
      </c>
      <c r="K20" s="4">
        <f>J20-H20</f>
        <v>-11991.28</v>
      </c>
      <c r="L20" s="4">
        <f>-'[4]Trial Balance'!$L$254</f>
        <v>0</v>
      </c>
      <c r="M20" s="4">
        <f>L20-J20</f>
        <v>0</v>
      </c>
      <c r="N20" s="11"/>
    </row>
    <row r="21" spans="2:13" ht="13.5" customHeight="1" hidden="1">
      <c r="B21" s="7" t="s">
        <v>15</v>
      </c>
      <c r="C21" s="24"/>
      <c r="D21" s="4">
        <f>'[4]Trial Balance'!$D$255</f>
        <v>0</v>
      </c>
      <c r="E21" s="4">
        <f t="shared" si="0"/>
        <v>0</v>
      </c>
      <c r="F21" s="4">
        <f>'[4]Trial Balance'!$F$255</f>
        <v>0</v>
      </c>
      <c r="G21" s="4">
        <f t="shared" si="2"/>
        <v>0</v>
      </c>
      <c r="H21" s="4">
        <f>'[4]Trial Balance'!$H$255</f>
        <v>0</v>
      </c>
      <c r="I21" s="4">
        <f t="shared" si="1"/>
        <v>0</v>
      </c>
      <c r="J21" s="4">
        <f>'[4]Trial Balance'!$J$255</f>
        <v>0</v>
      </c>
      <c r="K21" s="4">
        <f>J21-H21</f>
        <v>0</v>
      </c>
      <c r="L21" s="4">
        <f>'[4]Trial Balance'!$L$255</f>
        <v>0</v>
      </c>
      <c r="M21" s="4">
        <f>L21-J21</f>
        <v>0</v>
      </c>
    </row>
    <row r="22" spans="2:13" ht="13.5" customHeight="1" hidden="1">
      <c r="B22" s="7" t="s">
        <v>16</v>
      </c>
      <c r="C22" s="24"/>
      <c r="D22" s="4">
        <f>'[4]Trial Balance'!$D$256</f>
        <v>0</v>
      </c>
      <c r="E22" s="4">
        <f t="shared" si="0"/>
        <v>0</v>
      </c>
      <c r="F22" s="4">
        <f>'[4]Trial Balance'!$F$256</f>
        <v>0</v>
      </c>
      <c r="G22" s="4">
        <f t="shared" si="2"/>
        <v>0</v>
      </c>
      <c r="H22" s="4">
        <f>'[4]Trial Balance'!$H$256</f>
        <v>0</v>
      </c>
      <c r="I22" s="4">
        <f t="shared" si="1"/>
        <v>0</v>
      </c>
      <c r="J22" s="4">
        <f>'[4]Trial Balance'!$J$256</f>
        <v>0</v>
      </c>
      <c r="K22" s="4">
        <f>J22-H22</f>
        <v>0</v>
      </c>
      <c r="L22" s="4">
        <f>'[4]Trial Balance'!$L$256</f>
        <v>0</v>
      </c>
      <c r="M22" s="4">
        <f>L22-J22</f>
        <v>0</v>
      </c>
    </row>
    <row r="23" spans="2:13" ht="13.5" customHeight="1" hidden="1">
      <c r="B23" s="7" t="s">
        <v>17</v>
      </c>
      <c r="C23" s="24"/>
      <c r="D23" s="4">
        <f>'[4]Trial Balance'!$D$257</f>
        <v>0</v>
      </c>
      <c r="E23" s="4">
        <f t="shared" si="0"/>
        <v>0</v>
      </c>
      <c r="F23" s="4">
        <f>'[4]Trial Balance'!$F$257</f>
        <v>0</v>
      </c>
      <c r="G23" s="4">
        <f t="shared" si="2"/>
        <v>0</v>
      </c>
      <c r="H23" s="4">
        <f>'[4]Trial Balance'!$H$257</f>
        <v>0</v>
      </c>
      <c r="I23" s="4">
        <f t="shared" si="1"/>
        <v>0</v>
      </c>
      <c r="J23" s="4">
        <f>'[4]Trial Balance'!$J$257</f>
        <v>0</v>
      </c>
      <c r="K23" s="4">
        <f>J23-H23</f>
        <v>0</v>
      </c>
      <c r="L23" s="4">
        <f>'[4]Trial Balance'!$L$257</f>
        <v>0</v>
      </c>
      <c r="M23" s="4">
        <f>L23-J23</f>
        <v>0</v>
      </c>
    </row>
    <row r="24" spans="2:14" ht="12.75">
      <c r="B24" s="7" t="s">
        <v>18</v>
      </c>
      <c r="C24" s="24">
        <v>55271</v>
      </c>
      <c r="D24" s="4">
        <f>-'[4]Trial Balance'!$D$261</f>
        <v>195113</v>
      </c>
      <c r="E24" s="4">
        <f>D24-C24</f>
        <v>139842</v>
      </c>
      <c r="F24" s="4">
        <f>-'[4]Trial Balance'!$F$261</f>
        <v>61929</v>
      </c>
      <c r="G24" s="4">
        <f>F24-D24</f>
        <v>-133184</v>
      </c>
      <c r="H24" s="4">
        <f>-'[4]Trial Balance'!$H$261</f>
        <v>48939.61</v>
      </c>
      <c r="I24" s="4">
        <f>H24-F24</f>
        <v>-12989.39</v>
      </c>
      <c r="J24" s="4">
        <f>-'[4]Trial Balance'!$J$261</f>
        <v>28500</v>
      </c>
      <c r="K24" s="4">
        <f>J24-H24</f>
        <v>-20439.61</v>
      </c>
      <c r="L24" s="4">
        <f>-'[4]Trial Balance'!$L$261</f>
        <v>28500</v>
      </c>
      <c r="M24" s="4">
        <f>L24-J24</f>
        <v>0</v>
      </c>
      <c r="N24" s="11"/>
    </row>
    <row r="25" spans="2:14" ht="12.75">
      <c r="B25" s="8" t="s">
        <v>19</v>
      </c>
      <c r="C25" s="9">
        <f aca="true" t="shared" si="3" ref="C25:M25">SUM(C7:C24)</f>
        <v>300372</v>
      </c>
      <c r="D25" s="9">
        <f t="shared" si="3"/>
        <v>1153306.27</v>
      </c>
      <c r="E25" s="9">
        <f t="shared" si="3"/>
        <v>852934.27</v>
      </c>
      <c r="F25" s="9">
        <f t="shared" si="3"/>
        <v>445085.19</v>
      </c>
      <c r="G25" s="9">
        <f t="shared" si="3"/>
        <v>-708221.0800000001</v>
      </c>
      <c r="H25" s="9">
        <f t="shared" si="3"/>
        <v>374818.49000000005</v>
      </c>
      <c r="I25" s="9">
        <f t="shared" si="3"/>
        <v>-70266.7</v>
      </c>
      <c r="J25" s="9">
        <f t="shared" si="3"/>
        <v>341315.01</v>
      </c>
      <c r="K25" s="9">
        <f t="shared" si="3"/>
        <v>-33503.48</v>
      </c>
      <c r="L25" s="9">
        <f t="shared" si="3"/>
        <v>340140.01</v>
      </c>
      <c r="M25" s="9">
        <f t="shared" si="3"/>
        <v>-1175</v>
      </c>
      <c r="N25" s="11"/>
    </row>
    <row r="26" spans="1:13" ht="12.75">
      <c r="A26" s="4"/>
      <c r="B26" s="7" t="s">
        <v>20</v>
      </c>
      <c r="C26" s="24">
        <v>35192</v>
      </c>
      <c r="D26" s="4">
        <v>32791.3</v>
      </c>
      <c r="E26" s="4">
        <f>D26-C26</f>
        <v>-2400.699999999997</v>
      </c>
      <c r="F26" s="4">
        <v>33278.91</v>
      </c>
      <c r="G26" s="4">
        <f>F26-D26</f>
        <v>487.6100000000006</v>
      </c>
      <c r="H26" s="4">
        <v>34024.12</v>
      </c>
      <c r="I26" s="4">
        <f>H26-F26</f>
        <v>745.2099999999991</v>
      </c>
      <c r="J26" s="4">
        <f>'[5]Rate Class Customer Model'!$I$13*0.25*12</f>
        <v>37731.097554027154</v>
      </c>
      <c r="K26" s="4">
        <f>J26-H26</f>
        <v>3706.977554027151</v>
      </c>
      <c r="L26" s="4">
        <f>-'[4]Revenue Requirement'!$F$15</f>
        <v>38322</v>
      </c>
      <c r="M26" s="4">
        <f>L26-J26</f>
        <v>590.9024459728462</v>
      </c>
    </row>
    <row r="27" spans="2:13" ht="12.75">
      <c r="B27" s="8" t="s">
        <v>21</v>
      </c>
      <c r="C27" s="9">
        <f aca="true" t="shared" si="4" ref="C27:M27">SUM(C25:C26)</f>
        <v>335564</v>
      </c>
      <c r="D27" s="9">
        <f t="shared" si="4"/>
        <v>1186097.57</v>
      </c>
      <c r="E27" s="9">
        <f t="shared" si="4"/>
        <v>850533.5700000001</v>
      </c>
      <c r="F27" s="9">
        <f t="shared" si="4"/>
        <v>478364.1</v>
      </c>
      <c r="G27" s="9">
        <f t="shared" si="4"/>
        <v>-707733.4700000001</v>
      </c>
      <c r="H27" s="9">
        <f t="shared" si="4"/>
        <v>408842.61000000004</v>
      </c>
      <c r="I27" s="9">
        <f t="shared" si="4"/>
        <v>-69521.48999999999</v>
      </c>
      <c r="J27" s="9">
        <f t="shared" si="4"/>
        <v>379046.10755402717</v>
      </c>
      <c r="K27" s="9">
        <f t="shared" si="4"/>
        <v>-29796.502445972852</v>
      </c>
      <c r="L27" s="9">
        <f t="shared" si="4"/>
        <v>378462.01</v>
      </c>
      <c r="M27" s="9">
        <f t="shared" si="4"/>
        <v>-584.0975540271538</v>
      </c>
    </row>
    <row r="28" spans="4:7" ht="12.75">
      <c r="D28" s="3"/>
      <c r="E28" s="3"/>
      <c r="F28" s="3"/>
      <c r="G28" s="3"/>
    </row>
    <row r="29" spans="2:13" ht="12.75">
      <c r="B29" s="7" t="s">
        <v>22</v>
      </c>
      <c r="C29" s="4">
        <f aca="true" t="shared" si="5" ref="C29:M29">C15</f>
        <v>103267</v>
      </c>
      <c r="D29" s="4">
        <f t="shared" si="5"/>
        <v>133125</v>
      </c>
      <c r="E29" s="4">
        <f t="shared" si="5"/>
        <v>29858</v>
      </c>
      <c r="F29" s="4">
        <f t="shared" si="5"/>
        <v>144453</v>
      </c>
      <c r="G29" s="4">
        <f t="shared" si="5"/>
        <v>11328</v>
      </c>
      <c r="H29" s="4">
        <f t="shared" si="5"/>
        <v>127498.58</v>
      </c>
      <c r="I29" s="4">
        <f t="shared" si="5"/>
        <v>-16954.42</v>
      </c>
      <c r="J29" s="4">
        <f t="shared" si="5"/>
        <v>127000</v>
      </c>
      <c r="K29" s="4">
        <f t="shared" si="5"/>
        <v>-498.58000000000175</v>
      </c>
      <c r="L29" s="4">
        <f t="shared" si="5"/>
        <v>126500</v>
      </c>
      <c r="M29" s="4">
        <f t="shared" si="5"/>
        <v>-500</v>
      </c>
    </row>
    <row r="30" spans="2:13" ht="12.75">
      <c r="B30" s="7" t="s">
        <v>23</v>
      </c>
      <c r="C30" s="4">
        <f aca="true" t="shared" si="6" ref="C30:M30">C14</f>
        <v>27565</v>
      </c>
      <c r="D30" s="4">
        <f t="shared" si="6"/>
        <v>72437</v>
      </c>
      <c r="E30" s="4">
        <f t="shared" si="6"/>
        <v>44872</v>
      </c>
      <c r="F30" s="4">
        <f t="shared" si="6"/>
        <v>61033</v>
      </c>
      <c r="G30" s="4">
        <f t="shared" si="6"/>
        <v>-11404</v>
      </c>
      <c r="H30" s="4">
        <f t="shared" si="6"/>
        <v>63140.01</v>
      </c>
      <c r="I30" s="4">
        <f t="shared" si="6"/>
        <v>2107.010000000002</v>
      </c>
      <c r="J30" s="4">
        <f t="shared" si="6"/>
        <v>63140.01</v>
      </c>
      <c r="K30" s="4">
        <f t="shared" si="6"/>
        <v>0</v>
      </c>
      <c r="L30" s="4">
        <f t="shared" si="6"/>
        <v>63140.01</v>
      </c>
      <c r="M30" s="4">
        <f t="shared" si="6"/>
        <v>0</v>
      </c>
    </row>
    <row r="31" spans="2:13" ht="12.75">
      <c r="B31" s="7" t="s">
        <v>24</v>
      </c>
      <c r="C31" s="4">
        <f aca="true" t="shared" si="7" ref="C31:M31">C7+C8+C12+C10+C26+C11+C16+C9</f>
        <v>149461</v>
      </c>
      <c r="D31" s="4">
        <f t="shared" si="7"/>
        <v>158868.3</v>
      </c>
      <c r="E31" s="4">
        <f t="shared" si="7"/>
        <v>9407.300000000003</v>
      </c>
      <c r="F31" s="4">
        <f t="shared" si="7"/>
        <v>164566.91</v>
      </c>
      <c r="G31" s="4">
        <f t="shared" si="7"/>
        <v>5698.610000000001</v>
      </c>
      <c r="H31" s="4">
        <f t="shared" si="7"/>
        <v>157273.13</v>
      </c>
      <c r="I31" s="4">
        <f t="shared" si="7"/>
        <v>-7293.779999999999</v>
      </c>
      <c r="J31" s="4">
        <f t="shared" si="7"/>
        <v>160406.09755402716</v>
      </c>
      <c r="K31" s="4">
        <f t="shared" si="7"/>
        <v>3132.967554027149</v>
      </c>
      <c r="L31" s="4">
        <f t="shared" si="7"/>
        <v>160322</v>
      </c>
      <c r="M31" s="4">
        <f t="shared" si="7"/>
        <v>-84.09755402715382</v>
      </c>
    </row>
    <row r="32" spans="2:13" ht="12.75">
      <c r="B32" s="7" t="s">
        <v>25</v>
      </c>
      <c r="C32" s="4">
        <f>C23+C24</f>
        <v>55271</v>
      </c>
      <c r="D32" s="4">
        <f>D23+D24+D20</f>
        <v>821667.27</v>
      </c>
      <c r="E32" s="4">
        <f>E23+E24+E20</f>
        <v>766396.27</v>
      </c>
      <c r="F32" s="4">
        <f>F23+F24+F20+F18</f>
        <v>108311.19</v>
      </c>
      <c r="G32" s="4">
        <f>G23+G24+G20+G18</f>
        <v>-713356.0800000001</v>
      </c>
      <c r="H32" s="4">
        <f>H23+H24+H20</f>
        <v>60930.89</v>
      </c>
      <c r="I32" s="4">
        <f>I23+I24+I20+I18</f>
        <v>-47380.3</v>
      </c>
      <c r="J32" s="4">
        <f>J23+J24+J20</f>
        <v>28500</v>
      </c>
      <c r="K32" s="4">
        <f>K23+K24+K20</f>
        <v>-32430.89</v>
      </c>
      <c r="L32" s="4">
        <f>L23+L24+L20</f>
        <v>28500</v>
      </c>
      <c r="M32" s="4">
        <f>M23+M24+M20</f>
        <v>0</v>
      </c>
    </row>
    <row r="33" spans="2:13" ht="12.75">
      <c r="B33" s="8" t="s">
        <v>21</v>
      </c>
      <c r="C33" s="9">
        <f>SUM(C29:C32)</f>
        <v>335564</v>
      </c>
      <c r="D33" s="9">
        <f>SUM(D29:D32)</f>
        <v>1186097.57</v>
      </c>
      <c r="E33" s="4">
        <f>D33-C33</f>
        <v>850533.5700000001</v>
      </c>
      <c r="F33" s="9">
        <f>SUM(F29:F32)</f>
        <v>478364.10000000003</v>
      </c>
      <c r="G33" s="10">
        <f>F33-D33</f>
        <v>-707733.47</v>
      </c>
      <c r="H33" s="9">
        <f>SUM(H29:H32)</f>
        <v>408842.61</v>
      </c>
      <c r="I33" s="10">
        <f>H33-F33</f>
        <v>-69521.49000000005</v>
      </c>
      <c r="J33" s="9">
        <f>SUM(J29:J32)</f>
        <v>379046.10755402717</v>
      </c>
      <c r="K33" s="10">
        <f>J33-H33</f>
        <v>-29796.502445972816</v>
      </c>
      <c r="L33" s="9">
        <f>SUM(L29:L32)</f>
        <v>378462.01</v>
      </c>
      <c r="M33" s="10">
        <f>L33-J33</f>
        <v>-584.0975540271611</v>
      </c>
    </row>
    <row r="36" spans="2:13" ht="12.75">
      <c r="B36" s="1" t="s">
        <v>62</v>
      </c>
      <c r="C36" s="1">
        <v>-1</v>
      </c>
      <c r="D36" s="3">
        <f>+(D33-D20)*$C$36</f>
        <v>-559543.3</v>
      </c>
      <c r="E36" s="3">
        <f aca="true" t="shared" si="8" ref="E36:M36">+(E33-E20)*$C$36</f>
        <v>-223979.30000000005</v>
      </c>
      <c r="F36" s="3">
        <f>+(F33-F20-F18)</f>
        <v>431981.91000000003</v>
      </c>
      <c r="G36" s="3">
        <f t="shared" si="8"/>
        <v>117383.3899999999</v>
      </c>
      <c r="H36" s="3">
        <f t="shared" si="8"/>
        <v>-396851.32999999996</v>
      </c>
      <c r="I36" s="3">
        <f t="shared" si="8"/>
        <v>45308.580000000045</v>
      </c>
      <c r="J36" s="3">
        <f t="shared" si="8"/>
        <v>-379046.10755402717</v>
      </c>
      <c r="K36" s="3">
        <f>+(K33-K20)*$C$36</f>
        <v>17805.222445972817</v>
      </c>
      <c r="L36" s="3">
        <f t="shared" si="8"/>
        <v>-378462.01</v>
      </c>
      <c r="M36" s="3">
        <f t="shared" si="8"/>
        <v>584.0975540271611</v>
      </c>
    </row>
    <row r="38" spans="2:4" ht="12.75">
      <c r="B38" s="1" t="s">
        <v>63</v>
      </c>
      <c r="D38" s="3">
        <f>+D36+C33</f>
        <v>-223979.30000000005</v>
      </c>
    </row>
    <row r="42" ht="12.75">
      <c r="O42" s="1" t="s">
        <v>108</v>
      </c>
    </row>
    <row r="44" spans="15:18" ht="25.5">
      <c r="O44" s="96" t="s">
        <v>26</v>
      </c>
      <c r="P44" s="89" t="s">
        <v>38</v>
      </c>
      <c r="Q44" s="89" t="s">
        <v>44</v>
      </c>
      <c r="R44" s="89" t="s">
        <v>39</v>
      </c>
    </row>
    <row r="45" spans="15:18" ht="12.75">
      <c r="O45" s="96"/>
      <c r="P45" s="48" t="s">
        <v>27</v>
      </c>
      <c r="Q45" s="48" t="s">
        <v>27</v>
      </c>
      <c r="R45" s="48" t="s">
        <v>27</v>
      </c>
    </row>
    <row r="46" spans="15:18" ht="12.75">
      <c r="O46" s="60" t="s">
        <v>28</v>
      </c>
      <c r="P46" s="48"/>
      <c r="Q46" s="48"/>
      <c r="R46" s="48"/>
    </row>
    <row r="47" spans="15:18" ht="12.75">
      <c r="O47" s="89" t="s">
        <v>29</v>
      </c>
      <c r="P47" s="75">
        <f>+'Tables for Exhibit 3'!F5</f>
        <v>1970658.3195999998</v>
      </c>
      <c r="Q47" s="23">
        <f>+'Tables for Exhibit 3'!I5</f>
        <v>1909333.84</v>
      </c>
      <c r="R47" s="90">
        <f>+'Tables for Exhibit 3'!J5</f>
        <v>-61324.47959999973</v>
      </c>
    </row>
    <row r="48" spans="15:18" ht="12.75">
      <c r="O48" s="89" t="s">
        <v>30</v>
      </c>
      <c r="P48" s="75">
        <f>+'Tables for Exhibit 3'!F6</f>
        <v>619738.44636</v>
      </c>
      <c r="Q48" s="23">
        <f>+'Tables for Exhibit 3'!I6</f>
        <v>599094.51</v>
      </c>
      <c r="R48" s="93">
        <f>+'Tables for Exhibit 3'!J6</f>
        <v>-20643.936359999934</v>
      </c>
    </row>
    <row r="49" spans="2:18" ht="12.75">
      <c r="B49" s="31" t="s">
        <v>53</v>
      </c>
      <c r="C49" s="32"/>
      <c r="D49" s="31" t="s">
        <v>54</v>
      </c>
      <c r="O49" s="89" t="s">
        <v>51</v>
      </c>
      <c r="P49" s="75">
        <f>+'Tables for Exhibit 3'!F7</f>
        <v>1233761.4504</v>
      </c>
      <c r="Q49" s="23">
        <f>+'Tables for Exhibit 3'!I7</f>
        <v>1279943.93</v>
      </c>
      <c r="R49" s="93">
        <f>+'Tables for Exhibit 3'!J7</f>
        <v>46182.47959999996</v>
      </c>
    </row>
    <row r="50" spans="2:18" ht="12.75">
      <c r="B50" s="98" t="s">
        <v>55</v>
      </c>
      <c r="C50" s="98"/>
      <c r="D50" s="91">
        <v>4235</v>
      </c>
      <c r="E50" t="s">
        <v>61</v>
      </c>
      <c r="O50" s="89" t="s">
        <v>52</v>
      </c>
      <c r="P50" s="75">
        <f>+'Tables for Exhibit 3'!F8</f>
        <v>62333.98728</v>
      </c>
      <c r="Q50" s="23">
        <f>+'Tables for Exhibit 3'!I8</f>
        <v>46650.2</v>
      </c>
      <c r="R50" s="93">
        <f>+'Tables for Exhibit 3'!J8</f>
        <v>-15683.787280000004</v>
      </c>
    </row>
    <row r="51" spans="2:18" ht="12.75">
      <c r="B51" s="98" t="s">
        <v>56</v>
      </c>
      <c r="C51" s="98"/>
      <c r="D51" s="91">
        <v>4225</v>
      </c>
      <c r="E51" t="s">
        <v>61</v>
      </c>
      <c r="O51" s="89" t="s">
        <v>31</v>
      </c>
      <c r="P51" s="75">
        <f>+'Tables for Exhibit 3'!F9</f>
        <v>81308.31364</v>
      </c>
      <c r="Q51" s="23">
        <f>+'Tables for Exhibit 3'!I9</f>
        <v>138517.41999999998</v>
      </c>
      <c r="R51" s="93">
        <f>+'Tables for Exhibit 3'!J9</f>
        <v>57209.10635999999</v>
      </c>
    </row>
    <row r="52" spans="2:18" ht="12.75">
      <c r="B52" s="98" t="s">
        <v>57</v>
      </c>
      <c r="C52" s="98"/>
      <c r="D52" s="98" t="s">
        <v>58</v>
      </c>
      <c r="E52" s="98"/>
      <c r="F52" s="98"/>
      <c r="G52" s="98"/>
      <c r="H52" s="98"/>
      <c r="O52" s="89" t="s">
        <v>32</v>
      </c>
      <c r="P52" s="75">
        <f>+'Tables for Exhibit 3'!F10</f>
        <v>3943.7788</v>
      </c>
      <c r="Q52" s="23">
        <f>+'Tables for Exhibit 3'!I10</f>
        <v>4489.32</v>
      </c>
      <c r="R52" s="93">
        <f>+'Tables for Exhibit 3'!J10</f>
        <v>545.5411999999997</v>
      </c>
    </row>
    <row r="53" spans="2:18" ht="12.75" customHeight="1">
      <c r="B53" s="98" t="s">
        <v>59</v>
      </c>
      <c r="C53" s="98"/>
      <c r="D53" s="99" t="s">
        <v>60</v>
      </c>
      <c r="E53" s="99"/>
      <c r="F53" s="99"/>
      <c r="G53" s="99"/>
      <c r="H53" s="99"/>
      <c r="O53" s="89" t="s">
        <v>33</v>
      </c>
      <c r="P53" s="75">
        <f>+'Tables for Exhibit 3'!F11</f>
        <v>33981.19628</v>
      </c>
      <c r="Q53" s="23">
        <f>+'Tables for Exhibit 3'!I11</f>
        <v>32830.119999999995</v>
      </c>
      <c r="R53" s="93">
        <f>+'Tables for Exhibit 3'!J11</f>
        <v>-1151.0762800000011</v>
      </c>
    </row>
    <row r="54" spans="4:18" ht="12.75">
      <c r="D54" s="99"/>
      <c r="E54" s="99"/>
      <c r="F54" s="99"/>
      <c r="G54" s="99"/>
      <c r="H54" s="99"/>
      <c r="O54" s="61" t="s">
        <v>21</v>
      </c>
      <c r="P54" s="30">
        <f>+'Tables for Exhibit 3'!F12</f>
        <v>4005725.492359999</v>
      </c>
      <c r="Q54" s="30">
        <f>+'Tables for Exhibit 3'!I12</f>
        <v>4010859.3400000003</v>
      </c>
      <c r="R54" s="30">
        <f>+'Tables for Exhibit 3'!J12</f>
        <v>5133.847640000284</v>
      </c>
    </row>
    <row r="55" spans="15:18" ht="12.75">
      <c r="O55" s="89"/>
      <c r="P55" s="59">
        <v>4005724.8</v>
      </c>
      <c r="Q55" s="90"/>
      <c r="R55" s="90"/>
    </row>
    <row r="56" spans="15:18" ht="12.75">
      <c r="O56" s="89"/>
      <c r="P56" s="59">
        <v>3713966</v>
      </c>
      <c r="Q56" s="90"/>
      <c r="R56" s="64">
        <f>+R54/P54</f>
        <v>0.0012816274229953896</v>
      </c>
    </row>
    <row r="57" spans="15:18" ht="12.75">
      <c r="O57" s="89"/>
      <c r="P57" s="90"/>
      <c r="Q57" s="90"/>
      <c r="R57" s="90"/>
    </row>
    <row r="58" spans="15:18" ht="12.75">
      <c r="O58" s="60" t="s">
        <v>4</v>
      </c>
      <c r="P58" s="90"/>
      <c r="Q58" s="90"/>
      <c r="R58" s="90"/>
    </row>
    <row r="59" spans="2:18" ht="12.75">
      <c r="B59" s="1" t="s">
        <v>64</v>
      </c>
      <c r="O59" s="89" t="s">
        <v>22</v>
      </c>
      <c r="P59" s="90">
        <v>144453</v>
      </c>
      <c r="Q59" s="90">
        <v>127498.58</v>
      </c>
      <c r="R59" s="90">
        <v>-16954.42</v>
      </c>
    </row>
    <row r="60" spans="2:18" ht="12.75">
      <c r="B60" s="1" t="s">
        <v>65</v>
      </c>
      <c r="O60" s="89" t="s">
        <v>23</v>
      </c>
      <c r="P60" s="90">
        <v>61033</v>
      </c>
      <c r="Q60" s="90">
        <v>63140.01</v>
      </c>
      <c r="R60" s="90">
        <v>2107.010000000002</v>
      </c>
    </row>
    <row r="61" spans="15:18" ht="12.75">
      <c r="O61" s="89" t="s">
        <v>4</v>
      </c>
      <c r="P61" s="90">
        <v>166727.65</v>
      </c>
      <c r="Q61" s="90">
        <v>157273.13</v>
      </c>
      <c r="R61" s="90">
        <v>-9454.51999999999</v>
      </c>
    </row>
    <row r="62" spans="15:18" ht="12.75">
      <c r="O62" s="89" t="s">
        <v>25</v>
      </c>
      <c r="P62" s="90">
        <v>108311.19</v>
      </c>
      <c r="Q62" s="90">
        <v>60930.89</v>
      </c>
      <c r="R62" s="90">
        <v>-47380.3</v>
      </c>
    </row>
    <row r="63" spans="15:18" ht="12.75">
      <c r="O63" s="61" t="s">
        <v>21</v>
      </c>
      <c r="P63" s="30">
        <v>480524.84</v>
      </c>
      <c r="Q63" s="30">
        <v>408842.61</v>
      </c>
      <c r="R63" s="30">
        <v>-71682.22999999998</v>
      </c>
    </row>
    <row r="64" spans="15:18" ht="13.5" thickBot="1">
      <c r="O64" s="89" t="s">
        <v>34</v>
      </c>
      <c r="P64" s="29">
        <v>4486250.332359999</v>
      </c>
      <c r="Q64" s="29">
        <v>4419701.95</v>
      </c>
      <c r="R64" s="29">
        <v>-66548.3823599997</v>
      </c>
    </row>
    <row r="65" spans="15:18" ht="13.5" thickTop="1">
      <c r="O65" s="89"/>
      <c r="P65" s="48"/>
      <c r="Q65" s="48"/>
      <c r="R65" s="48"/>
    </row>
    <row r="66" spans="15:18" ht="12.75">
      <c r="O66" s="89" t="s">
        <v>35</v>
      </c>
      <c r="P66" s="17">
        <v>0.8928894278293161</v>
      </c>
      <c r="Q66" s="17">
        <v>0.907495434166098</v>
      </c>
      <c r="R66" s="17">
        <v>-0.07714458951426129</v>
      </c>
    </row>
  </sheetData>
  <sheetProtection/>
  <mergeCells count="8">
    <mergeCell ref="O44:O45"/>
    <mergeCell ref="B53:C53"/>
    <mergeCell ref="D53:H54"/>
    <mergeCell ref="B4:M4"/>
    <mergeCell ref="B50:C50"/>
    <mergeCell ref="B51:C51"/>
    <mergeCell ref="B52:C52"/>
    <mergeCell ref="D52:H5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O14">
      <selection activeCell="Q46" sqref="Q46"/>
    </sheetView>
  </sheetViews>
  <sheetFormatPr defaultColWidth="40.00390625" defaultRowHeight="12.75"/>
  <cols>
    <col min="1" max="1" width="7.28125" style="1" customWidth="1"/>
    <col min="2" max="2" width="39.7109375" style="1" customWidth="1"/>
    <col min="3" max="3" width="10.28125" style="1" hidden="1" customWidth="1"/>
    <col min="4" max="4" width="10.421875" style="1" hidden="1" customWidth="1"/>
    <col min="5" max="5" width="10.00390625" style="1" hidden="1" customWidth="1"/>
    <col min="6" max="6" width="10.28125" style="1" hidden="1" customWidth="1"/>
    <col min="7" max="7" width="10.8515625" style="1" hidden="1" customWidth="1"/>
    <col min="8" max="8" width="10.28125" style="1" customWidth="1"/>
    <col min="9" max="9" width="9.57421875" style="1" hidden="1" customWidth="1"/>
    <col min="10" max="10" width="10.28125" style="1" customWidth="1"/>
    <col min="11" max="11" width="10.421875" style="1" customWidth="1"/>
    <col min="12" max="12" width="9.8515625" style="1" customWidth="1"/>
    <col min="13" max="13" width="11.28125" style="1" customWidth="1"/>
    <col min="14" max="14" width="11.00390625" style="1" customWidth="1"/>
    <col min="15" max="16" width="40.00390625" style="1" customWidth="1"/>
    <col min="17" max="20" width="18.28125" style="1" customWidth="1"/>
    <col min="21" max="16384" width="40.00390625" style="1" customWidth="1"/>
  </cols>
  <sheetData>
    <row r="1" ht="12.75">
      <c r="O1" s="1">
        <v>-1</v>
      </c>
    </row>
    <row r="2" ht="12.75"/>
    <row r="3" ht="12.75"/>
    <row r="4" spans="2:13" ht="18.75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s="2" customFormat="1" ht="63.75" customHeight="1">
      <c r="B5" s="25" t="s">
        <v>1</v>
      </c>
      <c r="C5" s="26" t="s">
        <v>45</v>
      </c>
      <c r="D5" s="26" t="s">
        <v>2</v>
      </c>
      <c r="E5" s="26" t="s">
        <v>46</v>
      </c>
      <c r="F5" s="26" t="s">
        <v>38</v>
      </c>
      <c r="G5" s="26" t="s">
        <v>3</v>
      </c>
      <c r="H5" s="26" t="s">
        <v>44</v>
      </c>
      <c r="I5" s="26" t="s">
        <v>39</v>
      </c>
      <c r="J5" s="26" t="s">
        <v>43</v>
      </c>
      <c r="K5" s="26" t="s">
        <v>47</v>
      </c>
      <c r="L5" s="26" t="s">
        <v>41</v>
      </c>
      <c r="M5" s="26" t="s">
        <v>42</v>
      </c>
    </row>
    <row r="6" spans="2:13" ht="12.75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4" ht="12.75">
      <c r="B7" s="7" t="s">
        <v>5</v>
      </c>
      <c r="C7" s="24">
        <f>-12022*ops</f>
        <v>12022</v>
      </c>
      <c r="D7" s="4">
        <f>-'[4]Trial Balance'!$D$225</f>
        <v>13320</v>
      </c>
      <c r="E7" s="4">
        <f>D7-C7</f>
        <v>1298</v>
      </c>
      <c r="F7" s="4">
        <f>-'[4]Trial Balance'!$F$225</f>
        <v>10013</v>
      </c>
      <c r="G7" s="4">
        <f>F7-D7</f>
        <v>-3307</v>
      </c>
      <c r="H7" s="4">
        <f>-'[4]Trial Balance'!$H$225</f>
        <v>10178</v>
      </c>
      <c r="I7" s="4">
        <f>H7-F7</f>
        <v>165</v>
      </c>
      <c r="J7" s="4">
        <f>-'[4]Trial Balance'!$J$225</f>
        <v>10015</v>
      </c>
      <c r="K7" s="4">
        <f>J7-H7</f>
        <v>-163</v>
      </c>
      <c r="L7" s="4">
        <f>-'[4]Trial Balance'!$L$225</f>
        <v>9985</v>
      </c>
      <c r="M7" s="4">
        <f>L7-J7</f>
        <v>-30</v>
      </c>
      <c r="N7" s="11"/>
    </row>
    <row r="8" spans="2:13" ht="12.75">
      <c r="B8" s="7" t="s">
        <v>6</v>
      </c>
      <c r="C8" s="24">
        <f>-347*ops</f>
        <v>347</v>
      </c>
      <c r="D8" s="4">
        <f>-'[4]Trial Balance'!$D$226</f>
        <v>1380</v>
      </c>
      <c r="E8" s="4">
        <f>D8-C8</f>
        <v>1033</v>
      </c>
      <c r="F8" s="4">
        <f>-'[4]Trial Balance'!$F$226</f>
        <v>4560</v>
      </c>
      <c r="G8" s="4">
        <f>F8-D8</f>
        <v>3180</v>
      </c>
      <c r="H8" s="4">
        <f>-'[4]Trial Balance'!$H$226</f>
        <v>4774</v>
      </c>
      <c r="I8" s="4">
        <f>H8-F8</f>
        <v>214</v>
      </c>
      <c r="J8" s="4">
        <f>-'[4]Trial Balance'!$J$226</f>
        <v>4560</v>
      </c>
      <c r="K8" s="4">
        <f>J8-H8</f>
        <v>-214</v>
      </c>
      <c r="L8" s="4">
        <f>-'[4]Trial Balance'!$L$226</f>
        <v>4015</v>
      </c>
      <c r="M8" s="4">
        <f>L8-J8</f>
        <v>-545</v>
      </c>
    </row>
    <row r="9" spans="2:13" ht="12.75">
      <c r="B9" s="7" t="s">
        <v>50</v>
      </c>
      <c r="C9" s="24">
        <f>-45600*ops</f>
        <v>45600</v>
      </c>
      <c r="D9" s="4">
        <f>-'[4]Trial Balance'!$D$229</f>
        <v>51600</v>
      </c>
      <c r="E9" s="4">
        <f>D9-C9</f>
        <v>6000</v>
      </c>
      <c r="F9" s="4">
        <f>-'[4]Trial Balance'!$F$229</f>
        <v>51600</v>
      </c>
      <c r="G9" s="4">
        <f>F9-D9</f>
        <v>0</v>
      </c>
      <c r="H9" s="4">
        <f>-'[4]Trial Balance'!$H$229</f>
        <v>51600</v>
      </c>
      <c r="I9" s="4">
        <f>H9-F9</f>
        <v>0</v>
      </c>
      <c r="J9" s="4">
        <f>-'[4]Trial Balance'!$J$229</f>
        <v>51600</v>
      </c>
      <c r="K9" s="4">
        <f>J9-H9</f>
        <v>0</v>
      </c>
      <c r="L9" s="4">
        <f>-'[4]Trial Balance'!$L$229</f>
        <v>51600</v>
      </c>
      <c r="M9" s="4">
        <f>L9-J9</f>
        <v>0</v>
      </c>
    </row>
    <row r="10" spans="2:13" ht="12.75">
      <c r="B10" s="7" t="s">
        <v>7</v>
      </c>
      <c r="C10" s="24">
        <f>-56300*ops</f>
        <v>56300</v>
      </c>
      <c r="D10" s="4">
        <f>-'[4]Trial Balance'!$D$230</f>
        <v>59777</v>
      </c>
      <c r="E10" s="4">
        <f>D10-C10</f>
        <v>3477</v>
      </c>
      <c r="F10" s="4">
        <f>-'[4]Trial Balance'!$F$230</f>
        <v>65115</v>
      </c>
      <c r="G10" s="4">
        <f>F10-D10</f>
        <v>5338</v>
      </c>
      <c r="H10" s="4">
        <f>-'[4]Trial Balance'!$H$230</f>
        <v>56697.01</v>
      </c>
      <c r="I10" s="4">
        <f>H10-F10</f>
        <v>-8417.989999999998</v>
      </c>
      <c r="J10" s="4">
        <f>-'[4]Trial Balance'!$J$230</f>
        <v>56500</v>
      </c>
      <c r="K10" s="4">
        <f>J10-H10</f>
        <v>-197.01000000000204</v>
      </c>
      <c r="L10" s="4">
        <f>-'[4]Trial Balance'!$L$230</f>
        <v>56400</v>
      </c>
      <c r="M10" s="4">
        <f>L10-J10</f>
        <v>-100</v>
      </c>
    </row>
    <row r="11" spans="2:13" ht="12.75" hidden="1">
      <c r="B11" s="7" t="s">
        <v>49</v>
      </c>
      <c r="C11" s="2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2.75" hidden="1">
      <c r="B12" s="7" t="s">
        <v>40</v>
      </c>
      <c r="C12" s="24"/>
      <c r="D12" s="4"/>
      <c r="E12" s="4">
        <f aca="true" t="shared" si="0" ref="E12:E23">D12-C12</f>
        <v>0</v>
      </c>
      <c r="F12" s="4"/>
      <c r="G12" s="4">
        <f>F12-D12</f>
        <v>0</v>
      </c>
      <c r="H12" s="4"/>
      <c r="I12" s="4">
        <f aca="true" t="shared" si="1" ref="I12:I23">H12-F12</f>
        <v>0</v>
      </c>
      <c r="J12" s="4"/>
      <c r="K12" s="4">
        <f>J12-H12</f>
        <v>0</v>
      </c>
      <c r="L12" s="4"/>
      <c r="M12" s="4">
        <f>L12-J12</f>
        <v>0</v>
      </c>
    </row>
    <row r="13" spans="2:13" ht="12.75" hidden="1">
      <c r="B13" s="7" t="s">
        <v>8</v>
      </c>
      <c r="C13" s="24"/>
      <c r="D13" s="4">
        <f>'[4]Trial Balance'!$D$232</f>
        <v>0</v>
      </c>
      <c r="E13" s="4">
        <f t="shared" si="0"/>
        <v>0</v>
      </c>
      <c r="F13" s="4">
        <f>'[4]Trial Balance'!$F$232</f>
        <v>0</v>
      </c>
      <c r="G13" s="4"/>
      <c r="H13" s="4">
        <f>'[4]Trial Balance'!$H$232</f>
        <v>0</v>
      </c>
      <c r="I13" s="4"/>
      <c r="J13" s="4">
        <f>'[4]Trial Balance'!$J$232</f>
        <v>0</v>
      </c>
      <c r="K13" s="4"/>
      <c r="L13" s="4">
        <f>'[4]Trial Balance'!$L$232</f>
        <v>0</v>
      </c>
      <c r="M13" s="4"/>
    </row>
    <row r="14" spans="2:14" ht="12.75">
      <c r="B14" s="7" t="s">
        <v>9</v>
      </c>
      <c r="C14" s="24">
        <f>-27565*ops</f>
        <v>27565</v>
      </c>
      <c r="D14" s="4">
        <f>-'[4]Trial Balance'!$D$233</f>
        <v>72437</v>
      </c>
      <c r="E14" s="4">
        <f>D14-C14</f>
        <v>44872</v>
      </c>
      <c r="F14" s="4">
        <f>-'[4]Trial Balance'!$F$233</f>
        <v>61033</v>
      </c>
      <c r="G14" s="4">
        <f>F14-D14</f>
        <v>-11404</v>
      </c>
      <c r="H14" s="4">
        <f>-'[4]Trial Balance'!$H$233</f>
        <v>63140.01</v>
      </c>
      <c r="I14" s="4">
        <f>H14-F14</f>
        <v>2107.010000000002</v>
      </c>
      <c r="J14" s="4">
        <f>-'[4]Trial Balance'!$J$233</f>
        <v>63140.01</v>
      </c>
      <c r="K14" s="4">
        <f>J14-H14</f>
        <v>0</v>
      </c>
      <c r="L14" s="4">
        <f>-'[4]Trial Balance'!$L$233</f>
        <v>63140.01</v>
      </c>
      <c r="M14" s="4">
        <f>L14-J14</f>
        <v>0</v>
      </c>
      <c r="N14" s="11"/>
    </row>
    <row r="15" spans="2:14" ht="12.75">
      <c r="B15" s="7" t="s">
        <v>10</v>
      </c>
      <c r="C15" s="24">
        <f>-103267*ops</f>
        <v>103267</v>
      </c>
      <c r="D15" s="4">
        <f>-'[4]Trial Balance'!$D$235</f>
        <v>133125</v>
      </c>
      <c r="E15" s="4">
        <f>D15-C15</f>
        <v>29858</v>
      </c>
      <c r="F15" s="4">
        <f>-'[4]Trial Balance'!$F$235</f>
        <v>144453</v>
      </c>
      <c r="G15" s="4">
        <f>F15-D15</f>
        <v>11328</v>
      </c>
      <c r="H15" s="4">
        <f>-'[4]Trial Balance'!$H$235</f>
        <v>127498.58</v>
      </c>
      <c r="I15" s="4">
        <f>H15-F15</f>
        <v>-16954.42</v>
      </c>
      <c r="J15" s="4">
        <f>-'[4]Trial Balance'!$J$235</f>
        <v>127000</v>
      </c>
      <c r="K15" s="4">
        <f>J15-H15</f>
        <v>-498.58000000000175</v>
      </c>
      <c r="L15" s="4">
        <f>-'[4]Trial Balance'!$L$235</f>
        <v>126500</v>
      </c>
      <c r="M15" s="4">
        <f>L15-J15</f>
        <v>-500</v>
      </c>
      <c r="N15" s="11"/>
    </row>
    <row r="16" spans="2:13" ht="12.75" hidden="1">
      <c r="B16" s="7" t="s">
        <v>48</v>
      </c>
      <c r="C16" s="2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3.5" customHeight="1" hidden="1">
      <c r="B17" s="7" t="s">
        <v>11</v>
      </c>
      <c r="C17" s="24"/>
      <c r="D17" s="4">
        <f>'[4]Trial Balance'!$D$249</f>
        <v>0</v>
      </c>
      <c r="E17" s="4">
        <f t="shared" si="0"/>
        <v>0</v>
      </c>
      <c r="F17" s="4">
        <f>'[4]Trial Balance'!$F$249</f>
        <v>0</v>
      </c>
      <c r="G17" s="4">
        <f aca="true" t="shared" si="2" ref="G17:G23">F17-D17</f>
        <v>0</v>
      </c>
      <c r="H17" s="4">
        <f>'[4]Trial Balance'!$H$249</f>
        <v>0</v>
      </c>
      <c r="I17" s="4">
        <f t="shared" si="1"/>
        <v>0</v>
      </c>
      <c r="J17" s="4">
        <f>'[4]Trial Balance'!$J$249</f>
        <v>0</v>
      </c>
      <c r="K17" s="4">
        <f>J17-H17</f>
        <v>0</v>
      </c>
      <c r="L17" s="4">
        <f>'[4]Trial Balance'!$L$249</f>
        <v>0</v>
      </c>
      <c r="M17" s="4">
        <f>L17-J17</f>
        <v>0</v>
      </c>
    </row>
    <row r="18" spans="2:13" ht="12.75">
      <c r="B18" s="7" t="s">
        <v>12</v>
      </c>
      <c r="C18" s="24"/>
      <c r="D18" s="4">
        <f>'[4]Trial Balance'!$D$250</f>
        <v>0</v>
      </c>
      <c r="E18" s="4">
        <f>D18-C18</f>
        <v>0</v>
      </c>
      <c r="F18" s="4">
        <f>-'[4]Trial Balance'!$F$250</f>
        <v>10178</v>
      </c>
      <c r="G18" s="4">
        <f>F18-D18</f>
        <v>10178</v>
      </c>
      <c r="H18" s="4">
        <f>-'[4]Trial Balance'!$H$250</f>
        <v>0</v>
      </c>
      <c r="I18" s="4">
        <f>H18-F18</f>
        <v>-10178</v>
      </c>
      <c r="J18" s="4">
        <f>-'[4]Trial Balance'!$J$250</f>
        <v>0</v>
      </c>
      <c r="K18" s="4">
        <f>J18-H18</f>
        <v>0</v>
      </c>
      <c r="L18" s="4">
        <f>-'[4]Trial Balance'!$L$250</f>
        <v>0</v>
      </c>
      <c r="M18" s="4">
        <f>L18-J18</f>
        <v>0</v>
      </c>
    </row>
    <row r="19" spans="2:13" ht="13.5" customHeight="1" hidden="1">
      <c r="B19" s="7" t="s">
        <v>13</v>
      </c>
      <c r="C19" s="24"/>
      <c r="D19" s="4">
        <f>'[4]Trial Balance'!$D$251</f>
        <v>0</v>
      </c>
      <c r="E19" s="4">
        <f t="shared" si="0"/>
        <v>0</v>
      </c>
      <c r="F19" s="4">
        <f>'[4]Trial Balance'!$F$251</f>
        <v>0</v>
      </c>
      <c r="G19" s="4">
        <f t="shared" si="2"/>
        <v>0</v>
      </c>
      <c r="H19" s="4">
        <f>'[4]Trial Balance'!$H$251</f>
        <v>0</v>
      </c>
      <c r="I19" s="4">
        <f t="shared" si="1"/>
        <v>0</v>
      </c>
      <c r="J19" s="4">
        <f>'[4]Trial Balance'!$J$251</f>
        <v>0</v>
      </c>
      <c r="K19" s="4">
        <f>J19-H19</f>
        <v>0</v>
      </c>
      <c r="L19" s="4">
        <f>'[4]Trial Balance'!$L$251</f>
        <v>0</v>
      </c>
      <c r="M19" s="4">
        <f>L19-J19</f>
        <v>0</v>
      </c>
    </row>
    <row r="20" spans="2:14" ht="12.75">
      <c r="B20" s="7" t="s">
        <v>14</v>
      </c>
      <c r="C20" s="24"/>
      <c r="D20" s="4">
        <f>-'[4]Trial Balance'!$D$254</f>
        <v>626554.27</v>
      </c>
      <c r="E20" s="4">
        <f>D20-C20</f>
        <v>626554.27</v>
      </c>
      <c r="F20" s="4">
        <f>-'[4]Trial Balance'!$F$254</f>
        <v>36204.19</v>
      </c>
      <c r="G20" s="4">
        <f>F20-D20</f>
        <v>-590350.0800000001</v>
      </c>
      <c r="H20" s="4">
        <f>-'[4]Trial Balance'!$H$254</f>
        <v>11991.28</v>
      </c>
      <c r="I20" s="4">
        <f>H20-F20</f>
        <v>-24212.910000000003</v>
      </c>
      <c r="J20" s="4">
        <f>-'[4]Trial Balance'!$J$254</f>
        <v>0</v>
      </c>
      <c r="K20" s="4">
        <f>J20-H20</f>
        <v>-11991.28</v>
      </c>
      <c r="L20" s="4">
        <f>-'[4]Trial Balance'!$L$254</f>
        <v>0</v>
      </c>
      <c r="M20" s="4">
        <f>L20-J20</f>
        <v>0</v>
      </c>
      <c r="N20" s="11"/>
    </row>
    <row r="21" spans="2:13" ht="13.5" customHeight="1" hidden="1">
      <c r="B21" s="7" t="s">
        <v>15</v>
      </c>
      <c r="C21" s="24"/>
      <c r="D21" s="4">
        <f>'[4]Trial Balance'!$D$255</f>
        <v>0</v>
      </c>
      <c r="E21" s="4">
        <f t="shared" si="0"/>
        <v>0</v>
      </c>
      <c r="F21" s="4">
        <f>'[4]Trial Balance'!$F$255</f>
        <v>0</v>
      </c>
      <c r="G21" s="4">
        <f t="shared" si="2"/>
        <v>0</v>
      </c>
      <c r="H21" s="4">
        <f>'[4]Trial Balance'!$H$255</f>
        <v>0</v>
      </c>
      <c r="I21" s="4">
        <f t="shared" si="1"/>
        <v>0</v>
      </c>
      <c r="J21" s="4">
        <f>'[4]Trial Balance'!$J$255</f>
        <v>0</v>
      </c>
      <c r="K21" s="4">
        <f>J21-H21</f>
        <v>0</v>
      </c>
      <c r="L21" s="4">
        <f>'[4]Trial Balance'!$L$255</f>
        <v>0</v>
      </c>
      <c r="M21" s="4">
        <f>L21-J21</f>
        <v>0</v>
      </c>
    </row>
    <row r="22" spans="2:13" ht="13.5" customHeight="1" hidden="1">
      <c r="B22" s="7" t="s">
        <v>16</v>
      </c>
      <c r="C22" s="24"/>
      <c r="D22" s="4">
        <f>'[4]Trial Balance'!$D$256</f>
        <v>0</v>
      </c>
      <c r="E22" s="4">
        <f t="shared" si="0"/>
        <v>0</v>
      </c>
      <c r="F22" s="4">
        <f>'[4]Trial Balance'!$F$256</f>
        <v>0</v>
      </c>
      <c r="G22" s="4">
        <f t="shared" si="2"/>
        <v>0</v>
      </c>
      <c r="H22" s="4">
        <f>'[4]Trial Balance'!$H$256</f>
        <v>0</v>
      </c>
      <c r="I22" s="4">
        <f t="shared" si="1"/>
        <v>0</v>
      </c>
      <c r="J22" s="4">
        <f>'[4]Trial Balance'!$J$256</f>
        <v>0</v>
      </c>
      <c r="K22" s="4">
        <f>J22-H22</f>
        <v>0</v>
      </c>
      <c r="L22" s="4">
        <f>'[4]Trial Balance'!$L$256</f>
        <v>0</v>
      </c>
      <c r="M22" s="4">
        <f>L22-J22</f>
        <v>0</v>
      </c>
    </row>
    <row r="23" spans="2:13" ht="13.5" customHeight="1" hidden="1">
      <c r="B23" s="7" t="s">
        <v>17</v>
      </c>
      <c r="C23" s="24"/>
      <c r="D23" s="4">
        <f>'[4]Trial Balance'!$D$257</f>
        <v>0</v>
      </c>
      <c r="E23" s="4">
        <f t="shared" si="0"/>
        <v>0</v>
      </c>
      <c r="F23" s="4">
        <f>'[4]Trial Balance'!$F$257</f>
        <v>0</v>
      </c>
      <c r="G23" s="4">
        <f t="shared" si="2"/>
        <v>0</v>
      </c>
      <c r="H23" s="4">
        <f>'[4]Trial Balance'!$H$257</f>
        <v>0</v>
      </c>
      <c r="I23" s="4">
        <f t="shared" si="1"/>
        <v>0</v>
      </c>
      <c r="J23" s="4">
        <f>'[4]Trial Balance'!$J$257</f>
        <v>0</v>
      </c>
      <c r="K23" s="4">
        <f>J23-H23</f>
        <v>0</v>
      </c>
      <c r="L23" s="4">
        <f>'[4]Trial Balance'!$L$257</f>
        <v>0</v>
      </c>
      <c r="M23" s="4">
        <f>L23-J23</f>
        <v>0</v>
      </c>
    </row>
    <row r="24" spans="2:14" ht="12.75">
      <c r="B24" s="7" t="s">
        <v>18</v>
      </c>
      <c r="C24" s="24">
        <v>55271</v>
      </c>
      <c r="D24" s="4">
        <f>-'[4]Trial Balance'!$D$261</f>
        <v>195113</v>
      </c>
      <c r="E24" s="4">
        <f>D24-C24</f>
        <v>139842</v>
      </c>
      <c r="F24" s="4">
        <f>-'[4]Trial Balance'!$F$261</f>
        <v>61929</v>
      </c>
      <c r="G24" s="4">
        <f>F24-D24</f>
        <v>-133184</v>
      </c>
      <c r="H24" s="4">
        <f>-'[4]Trial Balance'!$H$261</f>
        <v>48939.61</v>
      </c>
      <c r="I24" s="4">
        <f>H24-F24</f>
        <v>-12989.39</v>
      </c>
      <c r="J24" s="4">
        <f>-'[4]Trial Balance'!$J$261</f>
        <v>28500</v>
      </c>
      <c r="K24" s="4">
        <f>J24-H24</f>
        <v>-20439.61</v>
      </c>
      <c r="L24" s="4">
        <f>-'[4]Trial Balance'!$L$261</f>
        <v>28500</v>
      </c>
      <c r="M24" s="4">
        <f>L24-J24</f>
        <v>0</v>
      </c>
      <c r="N24" s="11"/>
    </row>
    <row r="25" spans="2:14" ht="12.75">
      <c r="B25" s="8" t="s">
        <v>19</v>
      </c>
      <c r="C25" s="9">
        <f aca="true" t="shared" si="3" ref="C25:M25">SUM(C7:C24)</f>
        <v>300372</v>
      </c>
      <c r="D25" s="9">
        <f t="shared" si="3"/>
        <v>1153306.27</v>
      </c>
      <c r="E25" s="9">
        <f t="shared" si="3"/>
        <v>852934.27</v>
      </c>
      <c r="F25" s="9">
        <f t="shared" si="3"/>
        <v>445085.19</v>
      </c>
      <c r="G25" s="9">
        <f t="shared" si="3"/>
        <v>-708221.0800000001</v>
      </c>
      <c r="H25" s="9">
        <f t="shared" si="3"/>
        <v>374818.49000000005</v>
      </c>
      <c r="I25" s="9">
        <f t="shared" si="3"/>
        <v>-70266.7</v>
      </c>
      <c r="J25" s="9">
        <f t="shared" si="3"/>
        <v>341315.01</v>
      </c>
      <c r="K25" s="9">
        <f t="shared" si="3"/>
        <v>-33503.48</v>
      </c>
      <c r="L25" s="9">
        <f t="shared" si="3"/>
        <v>340140.01</v>
      </c>
      <c r="M25" s="9">
        <f t="shared" si="3"/>
        <v>-1175</v>
      </c>
      <c r="N25" s="11"/>
    </row>
    <row r="26" spans="1:16" ht="12.75">
      <c r="A26" s="4"/>
      <c r="B26" s="7" t="s">
        <v>20</v>
      </c>
      <c r="C26" s="24">
        <v>35192</v>
      </c>
      <c r="D26" s="4">
        <v>32791.3</v>
      </c>
      <c r="E26" s="4">
        <f>D26-C26</f>
        <v>-2400.699999999997</v>
      </c>
      <c r="F26" s="4">
        <v>33278.91</v>
      </c>
      <c r="G26" s="4">
        <f>F26-D26</f>
        <v>487.6100000000006</v>
      </c>
      <c r="H26" s="4">
        <v>34024.12</v>
      </c>
      <c r="I26" s="4">
        <f>H26-F26</f>
        <v>745.2099999999991</v>
      </c>
      <c r="J26" s="4">
        <f>'[5]Rate Class Customer Model'!$I$13*0.25*12</f>
        <v>37731.097554027154</v>
      </c>
      <c r="K26" s="4">
        <f>J26-H26</f>
        <v>3706.977554027151</v>
      </c>
      <c r="L26" s="4">
        <f>-'[4]Revenue Requirement'!$F$15</f>
        <v>38322</v>
      </c>
      <c r="M26" s="4">
        <f>L26-J26</f>
        <v>590.9024459728462</v>
      </c>
      <c r="P26" s="1" t="s">
        <v>108</v>
      </c>
    </row>
    <row r="27" spans="2:13" ht="12.75">
      <c r="B27" s="8" t="s">
        <v>21</v>
      </c>
      <c r="C27" s="9">
        <f aca="true" t="shared" si="4" ref="C27:M27">SUM(C25:C26)</f>
        <v>335564</v>
      </c>
      <c r="D27" s="9">
        <f t="shared" si="4"/>
        <v>1186097.57</v>
      </c>
      <c r="E27" s="9">
        <f t="shared" si="4"/>
        <v>850533.5700000001</v>
      </c>
      <c r="F27" s="9">
        <f t="shared" si="4"/>
        <v>478364.1</v>
      </c>
      <c r="G27" s="9">
        <f t="shared" si="4"/>
        <v>-707733.4700000001</v>
      </c>
      <c r="H27" s="9">
        <f t="shared" si="4"/>
        <v>408842.61000000004</v>
      </c>
      <c r="I27" s="9">
        <f t="shared" si="4"/>
        <v>-69521.48999999999</v>
      </c>
      <c r="J27" s="9">
        <f t="shared" si="4"/>
        <v>379046.10755402717</v>
      </c>
      <c r="K27" s="9">
        <f t="shared" si="4"/>
        <v>-29796.502445972852</v>
      </c>
      <c r="L27" s="9">
        <f t="shared" si="4"/>
        <v>378462.01</v>
      </c>
      <c r="M27" s="9">
        <f t="shared" si="4"/>
        <v>-584.0975540271538</v>
      </c>
    </row>
    <row r="28" spans="4:19" ht="25.5">
      <c r="D28" s="3"/>
      <c r="E28" s="3"/>
      <c r="F28" s="3"/>
      <c r="G28" s="3"/>
      <c r="P28" s="96" t="s">
        <v>26</v>
      </c>
      <c r="Q28" s="89" t="s">
        <v>44</v>
      </c>
      <c r="R28" s="89" t="s">
        <v>43</v>
      </c>
      <c r="S28" s="89" t="s">
        <v>47</v>
      </c>
    </row>
    <row r="29" spans="2:19" ht="12.75">
      <c r="B29" s="7" t="s">
        <v>22</v>
      </c>
      <c r="C29" s="4">
        <f aca="true" t="shared" si="5" ref="C29:M29">C15</f>
        <v>103267</v>
      </c>
      <c r="D29" s="4">
        <f t="shared" si="5"/>
        <v>133125</v>
      </c>
      <c r="E29" s="4">
        <f t="shared" si="5"/>
        <v>29858</v>
      </c>
      <c r="F29" s="4">
        <f t="shared" si="5"/>
        <v>144453</v>
      </c>
      <c r="G29" s="4">
        <f t="shared" si="5"/>
        <v>11328</v>
      </c>
      <c r="H29" s="4">
        <f t="shared" si="5"/>
        <v>127498.58</v>
      </c>
      <c r="I29" s="4">
        <f t="shared" si="5"/>
        <v>-16954.42</v>
      </c>
      <c r="J29" s="4">
        <f t="shared" si="5"/>
        <v>127000</v>
      </c>
      <c r="K29" s="4">
        <f t="shared" si="5"/>
        <v>-498.58000000000175</v>
      </c>
      <c r="L29" s="4">
        <f t="shared" si="5"/>
        <v>126500</v>
      </c>
      <c r="M29" s="4">
        <f t="shared" si="5"/>
        <v>-500</v>
      </c>
      <c r="P29" s="96"/>
      <c r="Q29" s="48" t="s">
        <v>27</v>
      </c>
      <c r="R29" s="48" t="s">
        <v>27</v>
      </c>
      <c r="S29" s="48" t="s">
        <v>27</v>
      </c>
    </row>
    <row r="30" spans="2:19" ht="12.75">
      <c r="B30" s="7" t="s">
        <v>23</v>
      </c>
      <c r="C30" s="4">
        <f aca="true" t="shared" si="6" ref="C30:M30">C14</f>
        <v>27565</v>
      </c>
      <c r="D30" s="4">
        <f t="shared" si="6"/>
        <v>72437</v>
      </c>
      <c r="E30" s="4">
        <f t="shared" si="6"/>
        <v>44872</v>
      </c>
      <c r="F30" s="4">
        <f t="shared" si="6"/>
        <v>61033</v>
      </c>
      <c r="G30" s="4">
        <f t="shared" si="6"/>
        <v>-11404</v>
      </c>
      <c r="H30" s="4">
        <f t="shared" si="6"/>
        <v>63140.01</v>
      </c>
      <c r="I30" s="4">
        <f t="shared" si="6"/>
        <v>2107.010000000002</v>
      </c>
      <c r="J30" s="4">
        <f t="shared" si="6"/>
        <v>63140.01</v>
      </c>
      <c r="K30" s="4">
        <f t="shared" si="6"/>
        <v>0</v>
      </c>
      <c r="L30" s="4">
        <f t="shared" si="6"/>
        <v>63140.01</v>
      </c>
      <c r="M30" s="4">
        <f t="shared" si="6"/>
        <v>0</v>
      </c>
      <c r="P30" s="60" t="s">
        <v>28</v>
      </c>
      <c r="Q30" s="48"/>
      <c r="R30" s="48"/>
      <c r="S30" s="48"/>
    </row>
    <row r="31" spans="2:19" ht="12.75">
      <c r="B31" s="7" t="s">
        <v>24</v>
      </c>
      <c r="C31" s="4">
        <f aca="true" t="shared" si="7" ref="C31:M31">C7+C8+C12+C10+C26+C11+C16+C9</f>
        <v>149461</v>
      </c>
      <c r="D31" s="4">
        <f t="shared" si="7"/>
        <v>158868.3</v>
      </c>
      <c r="E31" s="4">
        <f t="shared" si="7"/>
        <v>9407.300000000003</v>
      </c>
      <c r="F31" s="4">
        <f t="shared" si="7"/>
        <v>164566.91</v>
      </c>
      <c r="G31" s="4">
        <f t="shared" si="7"/>
        <v>5698.610000000001</v>
      </c>
      <c r="H31" s="4">
        <f t="shared" si="7"/>
        <v>157273.13</v>
      </c>
      <c r="I31" s="4">
        <f t="shared" si="7"/>
        <v>-7293.779999999999</v>
      </c>
      <c r="J31" s="4">
        <f t="shared" si="7"/>
        <v>160406.09755402716</v>
      </c>
      <c r="K31" s="4">
        <f t="shared" si="7"/>
        <v>3132.967554027149</v>
      </c>
      <c r="L31" s="4">
        <f t="shared" si="7"/>
        <v>160322</v>
      </c>
      <c r="M31" s="4">
        <f t="shared" si="7"/>
        <v>-84.09755402715382</v>
      </c>
      <c r="P31" s="89" t="s">
        <v>29</v>
      </c>
      <c r="Q31" s="23">
        <f>+'Tables for Exhibit 3'!I5</f>
        <v>1909333.84</v>
      </c>
      <c r="R31" s="23">
        <f>+'Tables for Exhibit 3'!K5</f>
        <v>1913287.7129565743</v>
      </c>
      <c r="S31" s="23">
        <f aca="true" t="shared" si="8" ref="S31:S38">+R31-Q31</f>
        <v>3953.872956574196</v>
      </c>
    </row>
    <row r="32" spans="2:19" ht="12.75">
      <c r="B32" s="7" t="s">
        <v>25</v>
      </c>
      <c r="C32" s="4">
        <f>C23+C24</f>
        <v>55271</v>
      </c>
      <c r="D32" s="4">
        <f>D23+D24+D20</f>
        <v>821667.27</v>
      </c>
      <c r="E32" s="4">
        <f>E23+E24+E20</f>
        <v>766396.27</v>
      </c>
      <c r="F32" s="4">
        <f>F23+F24+F20+F18</f>
        <v>108311.19</v>
      </c>
      <c r="G32" s="4">
        <f>G23+G24+G20+G18</f>
        <v>-713356.0800000001</v>
      </c>
      <c r="H32" s="4">
        <f>H23+H24+H20</f>
        <v>60930.89</v>
      </c>
      <c r="I32" s="4">
        <f>I23+I24+I20+I18</f>
        <v>-47380.3</v>
      </c>
      <c r="J32" s="4">
        <f>J23+J24+J20</f>
        <v>28500</v>
      </c>
      <c r="K32" s="4">
        <f>K23+K24+K20</f>
        <v>-32430.89</v>
      </c>
      <c r="L32" s="4">
        <f>L23+L24+L20</f>
        <v>28500</v>
      </c>
      <c r="M32" s="4">
        <f>M23+M24+M20</f>
        <v>0</v>
      </c>
      <c r="P32" s="89" t="s">
        <v>30</v>
      </c>
      <c r="Q32" s="23">
        <f>+'Tables for Exhibit 3'!I6</f>
        <v>599094.51</v>
      </c>
      <c r="R32" s="23">
        <f>+'Tables for Exhibit 3'!K6</f>
        <v>571656.119179198</v>
      </c>
      <c r="S32" s="23">
        <f t="shared" si="8"/>
        <v>-27438.390820801957</v>
      </c>
    </row>
    <row r="33" spans="2:19" ht="12.75">
      <c r="B33" s="8" t="s">
        <v>21</v>
      </c>
      <c r="C33" s="9">
        <f>SUM(C29:C32)</f>
        <v>335564</v>
      </c>
      <c r="D33" s="9">
        <f>SUM(D29:D32)</f>
        <v>1186097.57</v>
      </c>
      <c r="E33" s="4">
        <f>D33-C33</f>
        <v>850533.5700000001</v>
      </c>
      <c r="F33" s="9">
        <f>SUM(F29:F32)</f>
        <v>478364.10000000003</v>
      </c>
      <c r="G33" s="10">
        <f>F33-D33</f>
        <v>-707733.47</v>
      </c>
      <c r="H33" s="9">
        <f>SUM(H29:H32)</f>
        <v>408842.61</v>
      </c>
      <c r="I33" s="10">
        <f>H33-F33</f>
        <v>-69521.49000000005</v>
      </c>
      <c r="J33" s="9">
        <f>SUM(J29:J32)</f>
        <v>379046.10755402717</v>
      </c>
      <c r="K33" s="10">
        <f>J33-H33</f>
        <v>-29796.502445972816</v>
      </c>
      <c r="L33" s="9">
        <f>SUM(L29:L32)</f>
        <v>378462.01</v>
      </c>
      <c r="M33" s="10">
        <f>L33-J33</f>
        <v>-584.0975540271611</v>
      </c>
      <c r="P33" s="89" t="s">
        <v>51</v>
      </c>
      <c r="Q33" s="23">
        <f>+'Tables for Exhibit 3'!I7</f>
        <v>1279943.93</v>
      </c>
      <c r="R33" s="23">
        <f>+'Tables for Exhibit 3'!K7</f>
        <v>1194993.3344248603</v>
      </c>
      <c r="S33" s="23">
        <f t="shared" si="8"/>
        <v>-84950.59557513962</v>
      </c>
    </row>
    <row r="34" spans="16:19" ht="12.75">
      <c r="P34" s="89" t="s">
        <v>52</v>
      </c>
      <c r="Q34" s="23">
        <f>+'Tables for Exhibit 3'!I8</f>
        <v>46650.2</v>
      </c>
      <c r="R34" s="23">
        <f>+'Tables for Exhibit 3'!K8</f>
        <v>41451.177908</v>
      </c>
      <c r="S34" s="23">
        <f t="shared" si="8"/>
        <v>-5199.022091999999</v>
      </c>
    </row>
    <row r="35" spans="16:19" ht="12.75">
      <c r="P35" s="89" t="s">
        <v>31</v>
      </c>
      <c r="Q35" s="23">
        <f>+'Tables for Exhibit 3'!I9</f>
        <v>138517.41999999998</v>
      </c>
      <c r="R35" s="23">
        <f>+'Tables for Exhibit 3'!K9</f>
        <v>208549.0277440037</v>
      </c>
      <c r="S35" s="23">
        <f t="shared" si="8"/>
        <v>70031.6077440037</v>
      </c>
    </row>
    <row r="36" spans="2:19" ht="12.75">
      <c r="B36" s="1" t="s">
        <v>62</v>
      </c>
      <c r="C36" s="1">
        <v>-1</v>
      </c>
      <c r="D36" s="3">
        <f>+(D33-D20)*$C$36</f>
        <v>-559543.3</v>
      </c>
      <c r="E36" s="3">
        <f aca="true" t="shared" si="9" ref="E36:M36">+(E33-E20)*$C$36</f>
        <v>-223979.30000000005</v>
      </c>
      <c r="F36" s="3">
        <f t="shared" si="9"/>
        <v>-442159.91000000003</v>
      </c>
      <c r="G36" s="3">
        <f t="shared" si="9"/>
        <v>117383.3899999999</v>
      </c>
      <c r="H36" s="3">
        <f t="shared" si="9"/>
        <v>-396851.32999999996</v>
      </c>
      <c r="I36" s="3">
        <f t="shared" si="9"/>
        <v>45308.580000000045</v>
      </c>
      <c r="J36" s="3">
        <f t="shared" si="9"/>
        <v>-379046.10755402717</v>
      </c>
      <c r="K36" s="3">
        <f>+(K33-K20)*$C$36</f>
        <v>17805.222445972817</v>
      </c>
      <c r="L36" s="3">
        <f t="shared" si="9"/>
        <v>-378462.01</v>
      </c>
      <c r="M36" s="3">
        <f t="shared" si="9"/>
        <v>584.0975540271611</v>
      </c>
      <c r="P36" s="89" t="s">
        <v>32</v>
      </c>
      <c r="Q36" s="23">
        <f>+'Tables for Exhibit 3'!I10</f>
        <v>4489.32</v>
      </c>
      <c r="R36" s="23">
        <f>+'Tables for Exhibit 3'!K10</f>
        <v>5517.963098875085</v>
      </c>
      <c r="S36" s="23">
        <f t="shared" si="8"/>
        <v>1028.6430988750853</v>
      </c>
    </row>
    <row r="37" spans="16:19" ht="12.75">
      <c r="P37" s="89" t="s">
        <v>33</v>
      </c>
      <c r="Q37" s="23">
        <f>+'Tables for Exhibit 3'!I11</f>
        <v>32830.119999999995</v>
      </c>
      <c r="R37" s="23">
        <f>+'Tables for Exhibit 3'!K11</f>
        <v>31330.6739</v>
      </c>
      <c r="S37" s="23">
        <f t="shared" si="8"/>
        <v>-1499.4460999999937</v>
      </c>
    </row>
    <row r="38" spans="2:19" ht="12.75">
      <c r="B38" s="1" t="s">
        <v>63</v>
      </c>
      <c r="D38" s="3">
        <f>+D36+C33</f>
        <v>-223979.30000000005</v>
      </c>
      <c r="P38" s="61" t="s">
        <v>21</v>
      </c>
      <c r="Q38" s="88">
        <f>+'Tables for Exhibit 3'!I12</f>
        <v>4010859.3400000003</v>
      </c>
      <c r="R38" s="88">
        <f>+'Tables for Exhibit 3'!K12</f>
        <v>3966786.0092115114</v>
      </c>
      <c r="S38" s="88">
        <f t="shared" si="8"/>
        <v>-44073.330788488965</v>
      </c>
    </row>
    <row r="39" spans="16:19" ht="12.75">
      <c r="P39" s="89"/>
      <c r="Q39" s="90"/>
      <c r="R39" s="90"/>
      <c r="S39" s="90"/>
    </row>
    <row r="40" spans="16:19" ht="12.75">
      <c r="P40" s="89"/>
      <c r="Q40" s="90"/>
      <c r="R40" s="90"/>
      <c r="S40" s="64">
        <f>+S38/Q38</f>
        <v>-0.0109885007307409</v>
      </c>
    </row>
    <row r="41" spans="16:19" ht="12.75">
      <c r="P41" s="89"/>
      <c r="Q41" s="90"/>
      <c r="R41" s="90"/>
      <c r="S41" s="90"/>
    </row>
    <row r="42" spans="16:19" ht="12.75">
      <c r="P42" s="60" t="s">
        <v>4</v>
      </c>
      <c r="Q42" s="90"/>
      <c r="R42" s="90"/>
      <c r="S42" s="90"/>
    </row>
    <row r="43" spans="16:19" ht="12.75">
      <c r="P43" s="89" t="s">
        <v>22</v>
      </c>
      <c r="Q43" s="90">
        <f>+'Tables for Exhibit 3'!I17</f>
        <v>127498.58</v>
      </c>
      <c r="R43" s="90">
        <f>+'Tables for Exhibit 3'!K17</f>
        <v>127000</v>
      </c>
      <c r="S43" s="90">
        <f aca="true" t="shared" si="10" ref="S43:S48">+R43-Q43</f>
        <v>-498.58000000000175</v>
      </c>
    </row>
    <row r="44" spans="16:19" ht="12.75">
      <c r="P44" s="89" t="s">
        <v>23</v>
      </c>
      <c r="Q44" s="93">
        <f>+'Tables for Exhibit 3'!I18</f>
        <v>63140.01</v>
      </c>
      <c r="R44" s="93">
        <f>+'Tables for Exhibit 3'!K18</f>
        <v>63140.01</v>
      </c>
      <c r="S44" s="93">
        <f t="shared" si="10"/>
        <v>0</v>
      </c>
    </row>
    <row r="45" spans="16:19" ht="12.75">
      <c r="P45" s="89" t="s">
        <v>4</v>
      </c>
      <c r="Q45" s="93">
        <f>+'Tables for Exhibit 3'!I19</f>
        <v>157273.13</v>
      </c>
      <c r="R45" s="93">
        <f>+'Tables for Exhibit 3'!K19</f>
        <v>160406.09755402716</v>
      </c>
      <c r="S45" s="93">
        <f t="shared" si="10"/>
        <v>3132.9675540271564</v>
      </c>
    </row>
    <row r="46" spans="16:19" ht="12.75">
      <c r="P46" s="89" t="s">
        <v>25</v>
      </c>
      <c r="Q46" s="93">
        <f>+'Tables for Exhibit 3'!I20</f>
        <v>60930.89</v>
      </c>
      <c r="R46" s="93">
        <f>+'Tables for Exhibit 3'!K20</f>
        <v>28500</v>
      </c>
      <c r="S46" s="93">
        <f t="shared" si="10"/>
        <v>-32430.89</v>
      </c>
    </row>
    <row r="47" spans="16:19" ht="12.75">
      <c r="P47" s="61" t="s">
        <v>21</v>
      </c>
      <c r="Q47" s="30">
        <f>+'Tables for Exhibit 3'!I21</f>
        <v>408842.61</v>
      </c>
      <c r="R47" s="30">
        <f>+'Tables for Exhibit 3'!K21</f>
        <v>379046.10755402717</v>
      </c>
      <c r="S47" s="30">
        <f t="shared" si="10"/>
        <v>-29796.502445972816</v>
      </c>
    </row>
    <row r="48" spans="16:19" ht="13.5" thickBot="1">
      <c r="P48" s="89" t="s">
        <v>34</v>
      </c>
      <c r="Q48" s="29">
        <f>+'Tables for Exhibit 3'!I22</f>
        <v>4419701.95</v>
      </c>
      <c r="R48" s="30">
        <f>+'Tables for Exhibit 3'!K22</f>
        <v>4345832.116765538</v>
      </c>
      <c r="S48" s="29">
        <f t="shared" si="10"/>
        <v>-73869.83323446196</v>
      </c>
    </row>
    <row r="49" spans="2:19" ht="13.5" thickTop="1">
      <c r="B49" s="31" t="s">
        <v>53</v>
      </c>
      <c r="C49" s="32"/>
      <c r="D49" s="31" t="s">
        <v>54</v>
      </c>
      <c r="P49" s="89"/>
      <c r="Q49" s="48"/>
      <c r="R49" s="48"/>
      <c r="S49" s="48"/>
    </row>
    <row r="50" spans="2:19" ht="12.75">
      <c r="B50" s="98" t="s">
        <v>55</v>
      </c>
      <c r="C50" s="98"/>
      <c r="D50" s="35">
        <v>4235</v>
      </c>
      <c r="E50" t="s">
        <v>61</v>
      </c>
      <c r="P50" s="89" t="s">
        <v>35</v>
      </c>
      <c r="Q50" s="17">
        <f>+Q38/Q48</f>
        <v>0.907495434166098</v>
      </c>
      <c r="R50" s="17">
        <f>+R38/R48</f>
        <v>0.9127793947465834</v>
      </c>
      <c r="S50" s="17">
        <f>+S38/S48</f>
        <v>0.5966350384005978</v>
      </c>
    </row>
    <row r="51" spans="2:5" ht="12.75">
      <c r="B51" s="98" t="s">
        <v>56</v>
      </c>
      <c r="C51" s="98"/>
      <c r="D51" s="35">
        <v>4225</v>
      </c>
      <c r="E51" t="s">
        <v>61</v>
      </c>
    </row>
    <row r="52" spans="2:8" ht="12.75">
      <c r="B52" s="98" t="s">
        <v>57</v>
      </c>
      <c r="C52" s="98"/>
      <c r="D52" s="98" t="s">
        <v>58</v>
      </c>
      <c r="E52" s="98"/>
      <c r="F52" s="98"/>
      <c r="G52" s="98"/>
      <c r="H52" s="98"/>
    </row>
    <row r="53" spans="2:8" ht="12.75" customHeight="1">
      <c r="B53" s="98" t="s">
        <v>59</v>
      </c>
      <c r="C53" s="98"/>
      <c r="D53" s="99" t="s">
        <v>60</v>
      </c>
      <c r="E53" s="99"/>
      <c r="F53" s="99"/>
      <c r="G53" s="99"/>
      <c r="H53" s="99"/>
    </row>
    <row r="54" spans="4:8" ht="12.75">
      <c r="D54" s="99"/>
      <c r="E54" s="99"/>
      <c r="F54" s="99"/>
      <c r="G54" s="99"/>
      <c r="H54" s="99"/>
    </row>
    <row r="59" ht="12.75">
      <c r="B59" s="1" t="s">
        <v>64</v>
      </c>
    </row>
    <row r="60" ht="12.75">
      <c r="B60" s="1" t="s">
        <v>65</v>
      </c>
    </row>
  </sheetData>
  <sheetProtection/>
  <mergeCells count="8">
    <mergeCell ref="P28:P29"/>
    <mergeCell ref="B53:C53"/>
    <mergeCell ref="D53:H54"/>
    <mergeCell ref="B4:M4"/>
    <mergeCell ref="B50:C50"/>
    <mergeCell ref="B51:C51"/>
    <mergeCell ref="B52:C52"/>
    <mergeCell ref="D52:H5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L24" sqref="L24"/>
    </sheetView>
  </sheetViews>
  <sheetFormatPr defaultColWidth="40.00390625" defaultRowHeight="12.75"/>
  <cols>
    <col min="1" max="1" width="7.28125" style="1" customWidth="1"/>
    <col min="2" max="2" width="39.7109375" style="1" customWidth="1"/>
    <col min="3" max="3" width="10.28125" style="1" hidden="1" customWidth="1"/>
    <col min="4" max="4" width="10.421875" style="1" hidden="1" customWidth="1"/>
    <col min="5" max="5" width="10.00390625" style="1" hidden="1" customWidth="1"/>
    <col min="6" max="6" width="10.28125" style="1" hidden="1" customWidth="1"/>
    <col min="7" max="7" width="10.8515625" style="1" hidden="1" customWidth="1"/>
    <col min="8" max="8" width="10.28125" style="1" hidden="1" customWidth="1"/>
    <col min="9" max="9" width="9.57421875" style="1" hidden="1" customWidth="1"/>
    <col min="10" max="10" width="10.28125" style="1" customWidth="1"/>
    <col min="11" max="11" width="10.421875" style="1" hidden="1" customWidth="1"/>
    <col min="12" max="12" width="9.8515625" style="1" customWidth="1"/>
    <col min="13" max="13" width="11.28125" style="1" customWidth="1"/>
    <col min="14" max="14" width="11.00390625" style="1" customWidth="1"/>
    <col min="15" max="15" width="40.00390625" style="1" customWidth="1"/>
    <col min="16" max="26" width="13.57421875" style="1" customWidth="1"/>
    <col min="27" max="16384" width="40.00390625" style="1" customWidth="1"/>
  </cols>
  <sheetData>
    <row r="1" ht="12.75">
      <c r="O1" s="1">
        <v>-1</v>
      </c>
    </row>
    <row r="2" ht="12.75"/>
    <row r="3" ht="12.75"/>
    <row r="4" spans="2:13" ht="18.75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s="2" customFormat="1" ht="63.75" customHeight="1">
      <c r="B5" s="25" t="s">
        <v>1</v>
      </c>
      <c r="C5" s="26" t="s">
        <v>45</v>
      </c>
      <c r="D5" s="26" t="s">
        <v>2</v>
      </c>
      <c r="E5" s="26" t="s">
        <v>46</v>
      </c>
      <c r="F5" s="26" t="s">
        <v>38</v>
      </c>
      <c r="G5" s="26" t="s">
        <v>3</v>
      </c>
      <c r="H5" s="26" t="s">
        <v>44</v>
      </c>
      <c r="I5" s="26" t="s">
        <v>39</v>
      </c>
      <c r="J5" s="26" t="s">
        <v>43</v>
      </c>
      <c r="K5" s="26" t="s">
        <v>47</v>
      </c>
      <c r="L5" s="26" t="s">
        <v>41</v>
      </c>
      <c r="M5" s="26" t="s">
        <v>42</v>
      </c>
    </row>
    <row r="6" spans="2:13" ht="12.75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4" ht="12.75">
      <c r="B7" s="7" t="s">
        <v>5</v>
      </c>
      <c r="C7" s="24">
        <f>-12022*ops</f>
        <v>12022</v>
      </c>
      <c r="D7" s="4">
        <f>-'[4]Trial Balance'!$D$225</f>
        <v>13320</v>
      </c>
      <c r="E7" s="4">
        <f>D7-C7</f>
        <v>1298</v>
      </c>
      <c r="F7" s="4">
        <f>-'[4]Trial Balance'!$F$225</f>
        <v>10013</v>
      </c>
      <c r="G7" s="4">
        <f>F7-D7</f>
        <v>-3307</v>
      </c>
      <c r="H7" s="4">
        <f>-'[4]Trial Balance'!$H$225</f>
        <v>10178</v>
      </c>
      <c r="I7" s="4">
        <f>H7-F7</f>
        <v>165</v>
      </c>
      <c r="J7" s="4">
        <f>-'[4]Trial Balance'!$J$225</f>
        <v>10015</v>
      </c>
      <c r="K7" s="4">
        <f>J7-H7</f>
        <v>-163</v>
      </c>
      <c r="L7" s="4">
        <f>-'[4]Trial Balance'!$L$225</f>
        <v>9985</v>
      </c>
      <c r="M7" s="4">
        <f>L7-J7</f>
        <v>-30</v>
      </c>
      <c r="N7" s="11"/>
    </row>
    <row r="8" spans="2:13" ht="12.75">
      <c r="B8" s="7" t="s">
        <v>6</v>
      </c>
      <c r="C8" s="24">
        <f>-347*ops</f>
        <v>347</v>
      </c>
      <c r="D8" s="4">
        <f>-'[4]Trial Balance'!$D$226</f>
        <v>1380</v>
      </c>
      <c r="E8" s="4">
        <f>D8-C8</f>
        <v>1033</v>
      </c>
      <c r="F8" s="4">
        <f>-'[4]Trial Balance'!$F$226</f>
        <v>4560</v>
      </c>
      <c r="G8" s="4">
        <f>F8-D8</f>
        <v>3180</v>
      </c>
      <c r="H8" s="4">
        <f>-'[4]Trial Balance'!$H$226</f>
        <v>4774</v>
      </c>
      <c r="I8" s="4">
        <f>H8-F8</f>
        <v>214</v>
      </c>
      <c r="J8" s="4">
        <f>-'[4]Trial Balance'!$J$226</f>
        <v>4560</v>
      </c>
      <c r="K8" s="4">
        <f>J8-H8</f>
        <v>-214</v>
      </c>
      <c r="L8" s="4">
        <f>-'[4]Trial Balance'!$L$226</f>
        <v>4015</v>
      </c>
      <c r="M8" s="4">
        <f>L8-J8</f>
        <v>-545</v>
      </c>
    </row>
    <row r="9" spans="2:13" ht="12.75">
      <c r="B9" s="7" t="s">
        <v>50</v>
      </c>
      <c r="C9" s="24">
        <f>-45600*ops</f>
        <v>45600</v>
      </c>
      <c r="D9" s="4">
        <f>-'[4]Trial Balance'!$D$229</f>
        <v>51600</v>
      </c>
      <c r="E9" s="4">
        <f>D9-C9</f>
        <v>6000</v>
      </c>
      <c r="F9" s="4">
        <f>-'[4]Trial Balance'!$F$229</f>
        <v>51600</v>
      </c>
      <c r="G9" s="4">
        <f>F9-D9</f>
        <v>0</v>
      </c>
      <c r="H9" s="4">
        <f>-'[4]Trial Balance'!$H$229</f>
        <v>51600</v>
      </c>
      <c r="I9" s="4">
        <f>H9-F9</f>
        <v>0</v>
      </c>
      <c r="J9" s="4">
        <f>-'[4]Trial Balance'!$J$229</f>
        <v>51600</v>
      </c>
      <c r="K9" s="4">
        <f>J9-H9</f>
        <v>0</v>
      </c>
      <c r="L9" s="4">
        <f>-'[4]Trial Balance'!$L$229</f>
        <v>51600</v>
      </c>
      <c r="M9" s="4">
        <f>L9-J9</f>
        <v>0</v>
      </c>
    </row>
    <row r="10" spans="2:13" ht="12.75">
      <c r="B10" s="7" t="s">
        <v>7</v>
      </c>
      <c r="C10" s="24">
        <f>-56300*ops</f>
        <v>56300</v>
      </c>
      <c r="D10" s="4">
        <f>-'[4]Trial Balance'!$D$230</f>
        <v>59777</v>
      </c>
      <c r="E10" s="4">
        <f>D10-C10</f>
        <v>3477</v>
      </c>
      <c r="F10" s="4">
        <f>-'[4]Trial Balance'!$F$230</f>
        <v>65115</v>
      </c>
      <c r="G10" s="4">
        <f>F10-D10</f>
        <v>5338</v>
      </c>
      <c r="H10" s="4">
        <f>-'[4]Trial Balance'!$H$230</f>
        <v>56697.01</v>
      </c>
      <c r="I10" s="4">
        <f>H10-F10</f>
        <v>-8417.989999999998</v>
      </c>
      <c r="J10" s="4">
        <f>-'[4]Trial Balance'!$J$230</f>
        <v>56500</v>
      </c>
      <c r="K10" s="4">
        <f>J10-H10</f>
        <v>-197.01000000000204</v>
      </c>
      <c r="L10" s="4">
        <f>-'[4]Trial Balance'!$L$230</f>
        <v>56400</v>
      </c>
      <c r="M10" s="4">
        <f>L10-J10</f>
        <v>-100</v>
      </c>
    </row>
    <row r="11" spans="2:13" ht="12.75" hidden="1">
      <c r="B11" s="7" t="s">
        <v>49</v>
      </c>
      <c r="C11" s="2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2.75" hidden="1">
      <c r="B12" s="7" t="s">
        <v>40</v>
      </c>
      <c r="C12" s="24"/>
      <c r="D12" s="4"/>
      <c r="E12" s="4">
        <f aca="true" t="shared" si="0" ref="E12:E23">D12-C12</f>
        <v>0</v>
      </c>
      <c r="F12" s="4"/>
      <c r="G12" s="4">
        <f>F12-D12</f>
        <v>0</v>
      </c>
      <c r="H12" s="4"/>
      <c r="I12" s="4">
        <f aca="true" t="shared" si="1" ref="I12:I23">H12-F12</f>
        <v>0</v>
      </c>
      <c r="J12" s="4"/>
      <c r="K12" s="4">
        <f>J12-H12</f>
        <v>0</v>
      </c>
      <c r="L12" s="4"/>
      <c r="M12" s="4">
        <f>L12-J12</f>
        <v>0</v>
      </c>
    </row>
    <row r="13" spans="2:13" ht="12.75" hidden="1">
      <c r="B13" s="7" t="s">
        <v>8</v>
      </c>
      <c r="C13" s="24"/>
      <c r="D13" s="4">
        <f>'[4]Trial Balance'!$D$232</f>
        <v>0</v>
      </c>
      <c r="E13" s="4">
        <f t="shared" si="0"/>
        <v>0</v>
      </c>
      <c r="F13" s="4">
        <f>'[4]Trial Balance'!$F$232</f>
        <v>0</v>
      </c>
      <c r="G13" s="4"/>
      <c r="H13" s="4">
        <f>'[4]Trial Balance'!$H$232</f>
        <v>0</v>
      </c>
      <c r="I13" s="4"/>
      <c r="J13" s="4">
        <f>'[4]Trial Balance'!$J$232</f>
        <v>0</v>
      </c>
      <c r="K13" s="4"/>
      <c r="L13" s="4">
        <f>'[4]Trial Balance'!$L$232</f>
        <v>0</v>
      </c>
      <c r="M13" s="4"/>
    </row>
    <row r="14" spans="2:14" ht="12.75">
      <c r="B14" s="7" t="s">
        <v>9</v>
      </c>
      <c r="C14" s="24">
        <f>-27565*ops</f>
        <v>27565</v>
      </c>
      <c r="D14" s="4">
        <f>-'[4]Trial Balance'!$D$233</f>
        <v>72437</v>
      </c>
      <c r="E14" s="4">
        <f>D14-C14</f>
        <v>44872</v>
      </c>
      <c r="F14" s="4">
        <f>-'[4]Trial Balance'!$F$233</f>
        <v>61033</v>
      </c>
      <c r="G14" s="4">
        <f>F14-D14</f>
        <v>-11404</v>
      </c>
      <c r="H14" s="4">
        <f>-'[4]Trial Balance'!$H$233</f>
        <v>63140.01</v>
      </c>
      <c r="I14" s="4">
        <f>H14-F14</f>
        <v>2107.010000000002</v>
      </c>
      <c r="J14" s="4">
        <f>-'[4]Trial Balance'!$J$233</f>
        <v>63140.01</v>
      </c>
      <c r="K14" s="4">
        <f>J14-H14</f>
        <v>0</v>
      </c>
      <c r="L14" s="4">
        <f>-'[4]Trial Balance'!$L$233</f>
        <v>63140.01</v>
      </c>
      <c r="M14" s="4">
        <f>L14-J14</f>
        <v>0</v>
      </c>
      <c r="N14" s="11"/>
    </row>
    <row r="15" spans="2:14" ht="12.75">
      <c r="B15" s="7" t="s">
        <v>10</v>
      </c>
      <c r="C15" s="24">
        <f>-103267*ops</f>
        <v>103267</v>
      </c>
      <c r="D15" s="4">
        <f>-'[4]Trial Balance'!$D$235</f>
        <v>133125</v>
      </c>
      <c r="E15" s="4">
        <f>D15-C15</f>
        <v>29858</v>
      </c>
      <c r="F15" s="4">
        <f>-'[4]Trial Balance'!$F$235</f>
        <v>144453</v>
      </c>
      <c r="G15" s="4">
        <f>F15-D15</f>
        <v>11328</v>
      </c>
      <c r="H15" s="4">
        <f>-'[4]Trial Balance'!$H$235</f>
        <v>127498.58</v>
      </c>
      <c r="I15" s="4">
        <f>H15-F15</f>
        <v>-16954.42</v>
      </c>
      <c r="J15" s="4">
        <f>-'[4]Trial Balance'!$J$235</f>
        <v>127000</v>
      </c>
      <c r="K15" s="4">
        <f>J15-H15</f>
        <v>-498.58000000000175</v>
      </c>
      <c r="L15" s="4">
        <f>-'[4]Trial Balance'!$L$235</f>
        <v>126500</v>
      </c>
      <c r="M15" s="4">
        <f>L15-J15</f>
        <v>-500</v>
      </c>
      <c r="N15" s="11"/>
    </row>
    <row r="16" spans="2:13" ht="12.75" hidden="1">
      <c r="B16" s="7" t="s">
        <v>48</v>
      </c>
      <c r="C16" s="2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3.5" customHeight="1" hidden="1">
      <c r="B17" s="7" t="s">
        <v>11</v>
      </c>
      <c r="C17" s="24"/>
      <c r="D17" s="4">
        <f>'[4]Trial Balance'!$D$249</f>
        <v>0</v>
      </c>
      <c r="E17" s="4">
        <f t="shared" si="0"/>
        <v>0</v>
      </c>
      <c r="F17" s="4">
        <f>'[4]Trial Balance'!$F$249</f>
        <v>0</v>
      </c>
      <c r="G17" s="4">
        <f aca="true" t="shared" si="2" ref="G17:G23">F17-D17</f>
        <v>0</v>
      </c>
      <c r="H17" s="4">
        <f>'[4]Trial Balance'!$H$249</f>
        <v>0</v>
      </c>
      <c r="I17" s="4">
        <f t="shared" si="1"/>
        <v>0</v>
      </c>
      <c r="J17" s="4">
        <f>'[4]Trial Balance'!$J$249</f>
        <v>0</v>
      </c>
      <c r="K17" s="4">
        <f>J17-H17</f>
        <v>0</v>
      </c>
      <c r="L17" s="4">
        <f>'[4]Trial Balance'!$L$249</f>
        <v>0</v>
      </c>
      <c r="M17" s="4">
        <f>L17-J17</f>
        <v>0</v>
      </c>
    </row>
    <row r="18" spans="2:13" ht="12.75">
      <c r="B18" s="7" t="s">
        <v>12</v>
      </c>
      <c r="C18" s="24"/>
      <c r="D18" s="4">
        <f>'[4]Trial Balance'!$D$250</f>
        <v>0</v>
      </c>
      <c r="E18" s="4">
        <f>D18-C18</f>
        <v>0</v>
      </c>
      <c r="F18" s="4">
        <f>-'[4]Trial Balance'!$F$250</f>
        <v>10178</v>
      </c>
      <c r="G18" s="4">
        <f>F18-D18</f>
        <v>10178</v>
      </c>
      <c r="H18" s="4">
        <f>-'[4]Trial Balance'!$H$250</f>
        <v>0</v>
      </c>
      <c r="I18" s="4">
        <f>H18-F18</f>
        <v>-10178</v>
      </c>
      <c r="J18" s="4">
        <f>-'[4]Trial Balance'!$J$250</f>
        <v>0</v>
      </c>
      <c r="K18" s="4">
        <f>J18-H18</f>
        <v>0</v>
      </c>
      <c r="L18" s="4">
        <f>-'[4]Trial Balance'!$L$250</f>
        <v>0</v>
      </c>
      <c r="M18" s="4">
        <f>L18-J18</f>
        <v>0</v>
      </c>
    </row>
    <row r="19" spans="2:13" ht="13.5" customHeight="1" hidden="1">
      <c r="B19" s="7" t="s">
        <v>13</v>
      </c>
      <c r="C19" s="24"/>
      <c r="D19" s="4">
        <f>'[4]Trial Balance'!$D$251</f>
        <v>0</v>
      </c>
      <c r="E19" s="4">
        <f t="shared" si="0"/>
        <v>0</v>
      </c>
      <c r="F19" s="4">
        <f>'[4]Trial Balance'!$F$251</f>
        <v>0</v>
      </c>
      <c r="G19" s="4">
        <f t="shared" si="2"/>
        <v>0</v>
      </c>
      <c r="H19" s="4">
        <f>'[4]Trial Balance'!$H$251</f>
        <v>0</v>
      </c>
      <c r="I19" s="4">
        <f t="shared" si="1"/>
        <v>0</v>
      </c>
      <c r="J19" s="4">
        <f>'[4]Trial Balance'!$J$251</f>
        <v>0</v>
      </c>
      <c r="K19" s="4">
        <f>J19-H19</f>
        <v>0</v>
      </c>
      <c r="L19" s="4">
        <f>'[4]Trial Balance'!$L$251</f>
        <v>0</v>
      </c>
      <c r="M19" s="4">
        <f>L19-J19</f>
        <v>0</v>
      </c>
    </row>
    <row r="20" spans="2:14" ht="12.75">
      <c r="B20" s="7" t="s">
        <v>14</v>
      </c>
      <c r="C20" s="24"/>
      <c r="D20" s="4">
        <f>-'[4]Trial Balance'!$D$254</f>
        <v>626554.27</v>
      </c>
      <c r="E20" s="4">
        <f>D20-C20</f>
        <v>626554.27</v>
      </c>
      <c r="F20" s="4">
        <f>-'[4]Trial Balance'!$F$254</f>
        <v>36204.19</v>
      </c>
      <c r="G20" s="4">
        <f>F20-D20</f>
        <v>-590350.0800000001</v>
      </c>
      <c r="H20" s="4">
        <f>-'[4]Trial Balance'!$H$254</f>
        <v>11991.28</v>
      </c>
      <c r="I20" s="4">
        <f>H20-F20</f>
        <v>-24212.910000000003</v>
      </c>
      <c r="J20" s="4">
        <f>-'[4]Trial Balance'!$J$254</f>
        <v>0</v>
      </c>
      <c r="K20" s="4">
        <f>J20-H20</f>
        <v>-11991.28</v>
      </c>
      <c r="L20" s="4">
        <f>-'[4]Trial Balance'!$L$254</f>
        <v>0</v>
      </c>
      <c r="M20" s="4">
        <f>L20-J20</f>
        <v>0</v>
      </c>
      <c r="N20" s="11"/>
    </row>
    <row r="21" spans="2:13" ht="13.5" customHeight="1" hidden="1">
      <c r="B21" s="7" t="s">
        <v>15</v>
      </c>
      <c r="C21" s="24"/>
      <c r="D21" s="4">
        <f>'[4]Trial Balance'!$D$255</f>
        <v>0</v>
      </c>
      <c r="E21" s="4">
        <f t="shared" si="0"/>
        <v>0</v>
      </c>
      <c r="F21" s="4">
        <f>'[4]Trial Balance'!$F$255</f>
        <v>0</v>
      </c>
      <c r="G21" s="4">
        <f t="shared" si="2"/>
        <v>0</v>
      </c>
      <c r="H21" s="4">
        <f>'[4]Trial Balance'!$H$255</f>
        <v>0</v>
      </c>
      <c r="I21" s="4">
        <f t="shared" si="1"/>
        <v>0</v>
      </c>
      <c r="J21" s="4">
        <f>'[4]Trial Balance'!$J$255</f>
        <v>0</v>
      </c>
      <c r="K21" s="4">
        <f>J21-H21</f>
        <v>0</v>
      </c>
      <c r="L21" s="4">
        <f>'[4]Trial Balance'!$L$255</f>
        <v>0</v>
      </c>
      <c r="M21" s="4">
        <f>L21-J21</f>
        <v>0</v>
      </c>
    </row>
    <row r="22" spans="2:13" ht="13.5" customHeight="1" hidden="1">
      <c r="B22" s="7" t="s">
        <v>16</v>
      </c>
      <c r="C22" s="24"/>
      <c r="D22" s="4">
        <f>'[4]Trial Balance'!$D$256</f>
        <v>0</v>
      </c>
      <c r="E22" s="4">
        <f t="shared" si="0"/>
        <v>0</v>
      </c>
      <c r="F22" s="4">
        <f>'[4]Trial Balance'!$F$256</f>
        <v>0</v>
      </c>
      <c r="G22" s="4">
        <f t="shared" si="2"/>
        <v>0</v>
      </c>
      <c r="H22" s="4">
        <f>'[4]Trial Balance'!$H$256</f>
        <v>0</v>
      </c>
      <c r="I22" s="4">
        <f t="shared" si="1"/>
        <v>0</v>
      </c>
      <c r="J22" s="4">
        <f>'[4]Trial Balance'!$J$256</f>
        <v>0</v>
      </c>
      <c r="K22" s="4">
        <f>J22-H22</f>
        <v>0</v>
      </c>
      <c r="L22" s="4">
        <f>'[4]Trial Balance'!$L$256</f>
        <v>0</v>
      </c>
      <c r="M22" s="4">
        <f>L22-J22</f>
        <v>0</v>
      </c>
    </row>
    <row r="23" spans="2:13" ht="13.5" customHeight="1" hidden="1">
      <c r="B23" s="7" t="s">
        <v>17</v>
      </c>
      <c r="C23" s="24"/>
      <c r="D23" s="4">
        <f>'[4]Trial Balance'!$D$257</f>
        <v>0</v>
      </c>
      <c r="E23" s="4">
        <f t="shared" si="0"/>
        <v>0</v>
      </c>
      <c r="F23" s="4">
        <f>'[4]Trial Balance'!$F$257</f>
        <v>0</v>
      </c>
      <c r="G23" s="4">
        <f t="shared" si="2"/>
        <v>0</v>
      </c>
      <c r="H23" s="4">
        <f>'[4]Trial Balance'!$H$257</f>
        <v>0</v>
      </c>
      <c r="I23" s="4">
        <f t="shared" si="1"/>
        <v>0</v>
      </c>
      <c r="J23" s="4">
        <f>'[4]Trial Balance'!$J$257</f>
        <v>0</v>
      </c>
      <c r="K23" s="4">
        <f>J23-H23</f>
        <v>0</v>
      </c>
      <c r="L23" s="4">
        <f>'[4]Trial Balance'!$L$257</f>
        <v>0</v>
      </c>
      <c r="M23" s="4">
        <f>L23-J23</f>
        <v>0</v>
      </c>
    </row>
    <row r="24" spans="2:14" ht="12.75">
      <c r="B24" s="7" t="s">
        <v>18</v>
      </c>
      <c r="C24" s="24">
        <v>55271</v>
      </c>
      <c r="D24" s="4">
        <f>-'[4]Trial Balance'!$D$261</f>
        <v>195113</v>
      </c>
      <c r="E24" s="4">
        <f>D24-C24</f>
        <v>139842</v>
      </c>
      <c r="F24" s="4">
        <f>-'[4]Trial Balance'!$F$261</f>
        <v>61929</v>
      </c>
      <c r="G24" s="4">
        <f>F24-D24</f>
        <v>-133184</v>
      </c>
      <c r="H24" s="4">
        <f>-'[4]Trial Balance'!$H$261</f>
        <v>48939.61</v>
      </c>
      <c r="I24" s="4">
        <f>H24-F24</f>
        <v>-12989.39</v>
      </c>
      <c r="J24" s="4">
        <f>-'[4]Trial Balance'!$J$261</f>
        <v>28500</v>
      </c>
      <c r="K24" s="4">
        <f>J24-H24</f>
        <v>-20439.61</v>
      </c>
      <c r="L24" s="4">
        <f>-'[4]Trial Balance'!$L$261</f>
        <v>28500</v>
      </c>
      <c r="M24" s="4">
        <f>L24-J24</f>
        <v>0</v>
      </c>
      <c r="N24" s="11"/>
    </row>
    <row r="25" spans="2:14" ht="12.75">
      <c r="B25" s="8" t="s">
        <v>19</v>
      </c>
      <c r="C25" s="9">
        <f aca="true" t="shared" si="3" ref="C25:M25">SUM(C7:C24)</f>
        <v>300372</v>
      </c>
      <c r="D25" s="9">
        <f t="shared" si="3"/>
        <v>1153306.27</v>
      </c>
      <c r="E25" s="9">
        <f t="shared" si="3"/>
        <v>852934.27</v>
      </c>
      <c r="F25" s="9">
        <f t="shared" si="3"/>
        <v>445085.19</v>
      </c>
      <c r="G25" s="9">
        <f t="shared" si="3"/>
        <v>-708221.0800000001</v>
      </c>
      <c r="H25" s="9">
        <f t="shared" si="3"/>
        <v>374818.49000000005</v>
      </c>
      <c r="I25" s="9">
        <f t="shared" si="3"/>
        <v>-70266.7</v>
      </c>
      <c r="J25" s="9">
        <f t="shared" si="3"/>
        <v>341315.01</v>
      </c>
      <c r="K25" s="9">
        <f t="shared" si="3"/>
        <v>-33503.48</v>
      </c>
      <c r="L25" s="9">
        <f t="shared" si="3"/>
        <v>340140.01</v>
      </c>
      <c r="M25" s="9">
        <f t="shared" si="3"/>
        <v>-1175</v>
      </c>
      <c r="N25" s="11"/>
    </row>
    <row r="26" spans="1:13" ht="12.75">
      <c r="A26" s="4"/>
      <c r="B26" s="7" t="s">
        <v>20</v>
      </c>
      <c r="C26" s="24">
        <v>35192</v>
      </c>
      <c r="D26" s="4">
        <v>32791.3</v>
      </c>
      <c r="E26" s="4">
        <f>D26-C26</f>
        <v>-2400.699999999997</v>
      </c>
      <c r="F26" s="4">
        <v>33278.91</v>
      </c>
      <c r="G26" s="4">
        <f>F26-D26</f>
        <v>487.6100000000006</v>
      </c>
      <c r="H26" s="4">
        <v>34024.12</v>
      </c>
      <c r="I26" s="4">
        <f>H26-F26</f>
        <v>745.2099999999991</v>
      </c>
      <c r="J26" s="4">
        <f>'[5]Rate Class Customer Model'!$I$13*0.25*12</f>
        <v>37731.097554027154</v>
      </c>
      <c r="K26" s="4">
        <f>J26-H26</f>
        <v>3706.977554027151</v>
      </c>
      <c r="L26" s="4">
        <f>-'[4]Revenue Requirement'!$F$15</f>
        <v>38322</v>
      </c>
      <c r="M26" s="4">
        <f>L26-J26</f>
        <v>590.9024459728462</v>
      </c>
    </row>
    <row r="27" spans="2:13" ht="12.75">
      <c r="B27" s="8" t="s">
        <v>21</v>
      </c>
      <c r="C27" s="9">
        <f aca="true" t="shared" si="4" ref="C27:M27">SUM(C25:C26)</f>
        <v>335564</v>
      </c>
      <c r="D27" s="9">
        <f t="shared" si="4"/>
        <v>1186097.57</v>
      </c>
      <c r="E27" s="9">
        <f t="shared" si="4"/>
        <v>850533.5700000001</v>
      </c>
      <c r="F27" s="9">
        <f t="shared" si="4"/>
        <v>478364.1</v>
      </c>
      <c r="G27" s="9">
        <f t="shared" si="4"/>
        <v>-707733.4700000001</v>
      </c>
      <c r="H27" s="9">
        <f t="shared" si="4"/>
        <v>408842.61000000004</v>
      </c>
      <c r="I27" s="9">
        <f t="shared" si="4"/>
        <v>-69521.48999999999</v>
      </c>
      <c r="J27" s="9">
        <f t="shared" si="4"/>
        <v>379046.10755402717</v>
      </c>
      <c r="K27" s="9">
        <f t="shared" si="4"/>
        <v>-29796.502445972852</v>
      </c>
      <c r="L27" s="9">
        <f t="shared" si="4"/>
        <v>378462.01</v>
      </c>
      <c r="M27" s="9">
        <f t="shared" si="4"/>
        <v>-584.0975540271538</v>
      </c>
    </row>
    <row r="28" spans="4:7" ht="12.75">
      <c r="D28" s="3"/>
      <c r="E28" s="3"/>
      <c r="F28" s="3"/>
      <c r="G28" s="3"/>
    </row>
    <row r="29" spans="2:13" ht="12.75">
      <c r="B29" s="7" t="s">
        <v>22</v>
      </c>
      <c r="C29" s="4">
        <f aca="true" t="shared" si="5" ref="C29:M29">C15</f>
        <v>103267</v>
      </c>
      <c r="D29" s="4">
        <f t="shared" si="5"/>
        <v>133125</v>
      </c>
      <c r="E29" s="4">
        <f t="shared" si="5"/>
        <v>29858</v>
      </c>
      <c r="F29" s="4">
        <f t="shared" si="5"/>
        <v>144453</v>
      </c>
      <c r="G29" s="4">
        <f t="shared" si="5"/>
        <v>11328</v>
      </c>
      <c r="H29" s="4">
        <f t="shared" si="5"/>
        <v>127498.58</v>
      </c>
      <c r="I29" s="4">
        <f t="shared" si="5"/>
        <v>-16954.42</v>
      </c>
      <c r="J29" s="4">
        <f t="shared" si="5"/>
        <v>127000</v>
      </c>
      <c r="K29" s="4">
        <f t="shared" si="5"/>
        <v>-498.58000000000175</v>
      </c>
      <c r="L29" s="4">
        <f t="shared" si="5"/>
        <v>126500</v>
      </c>
      <c r="M29" s="4">
        <f t="shared" si="5"/>
        <v>-500</v>
      </c>
    </row>
    <row r="30" spans="2:13" ht="12.75">
      <c r="B30" s="7" t="s">
        <v>23</v>
      </c>
      <c r="C30" s="4">
        <f aca="true" t="shared" si="6" ref="C30:M30">C14</f>
        <v>27565</v>
      </c>
      <c r="D30" s="4">
        <f t="shared" si="6"/>
        <v>72437</v>
      </c>
      <c r="E30" s="4">
        <f t="shared" si="6"/>
        <v>44872</v>
      </c>
      <c r="F30" s="4">
        <f t="shared" si="6"/>
        <v>61033</v>
      </c>
      <c r="G30" s="4">
        <f t="shared" si="6"/>
        <v>-11404</v>
      </c>
      <c r="H30" s="4">
        <f t="shared" si="6"/>
        <v>63140.01</v>
      </c>
      <c r="I30" s="4">
        <f t="shared" si="6"/>
        <v>2107.010000000002</v>
      </c>
      <c r="J30" s="4">
        <f t="shared" si="6"/>
        <v>63140.01</v>
      </c>
      <c r="K30" s="4">
        <f t="shared" si="6"/>
        <v>0</v>
      </c>
      <c r="L30" s="4">
        <f t="shared" si="6"/>
        <v>63140.01</v>
      </c>
      <c r="M30" s="4">
        <f t="shared" si="6"/>
        <v>0</v>
      </c>
    </row>
    <row r="31" spans="2:13" ht="12.75">
      <c r="B31" s="7" t="s">
        <v>24</v>
      </c>
      <c r="C31" s="4">
        <f aca="true" t="shared" si="7" ref="C31:M31">C7+C8+C12+C10+C26+C11+C16+C9</f>
        <v>149461</v>
      </c>
      <c r="D31" s="4">
        <f t="shared" si="7"/>
        <v>158868.3</v>
      </c>
      <c r="E31" s="4">
        <f t="shared" si="7"/>
        <v>9407.300000000003</v>
      </c>
      <c r="F31" s="4">
        <f t="shared" si="7"/>
        <v>164566.91</v>
      </c>
      <c r="G31" s="4">
        <f t="shared" si="7"/>
        <v>5698.610000000001</v>
      </c>
      <c r="H31" s="4">
        <f t="shared" si="7"/>
        <v>157273.13</v>
      </c>
      <c r="I31" s="4">
        <f t="shared" si="7"/>
        <v>-7293.779999999999</v>
      </c>
      <c r="J31" s="4">
        <f t="shared" si="7"/>
        <v>160406.09755402716</v>
      </c>
      <c r="K31" s="4">
        <f t="shared" si="7"/>
        <v>3132.967554027149</v>
      </c>
      <c r="L31" s="4">
        <f t="shared" si="7"/>
        <v>160322</v>
      </c>
      <c r="M31" s="4">
        <f t="shared" si="7"/>
        <v>-84.09755402715382</v>
      </c>
    </row>
    <row r="32" spans="2:13" ht="12.75">
      <c r="B32" s="7" t="s">
        <v>25</v>
      </c>
      <c r="C32" s="4">
        <f>C23+C24</f>
        <v>55271</v>
      </c>
      <c r="D32" s="4">
        <f>D23+D24+D20</f>
        <v>821667.27</v>
      </c>
      <c r="E32" s="4">
        <f>E23+E24+E20</f>
        <v>766396.27</v>
      </c>
      <c r="F32" s="4">
        <f>F23+F24+F20+F18</f>
        <v>108311.19</v>
      </c>
      <c r="G32" s="4">
        <f>G23+G24+G20+G18</f>
        <v>-713356.0800000001</v>
      </c>
      <c r="H32" s="4">
        <f>H23+H24+H20</f>
        <v>60930.89</v>
      </c>
      <c r="I32" s="4">
        <f>I23+I24+I20+I18</f>
        <v>-47380.3</v>
      </c>
      <c r="J32" s="4">
        <f>J23+J24+J20</f>
        <v>28500</v>
      </c>
      <c r="K32" s="4">
        <f>K23+K24+K20</f>
        <v>-32430.89</v>
      </c>
      <c r="L32" s="4">
        <f>L23+L24+L20</f>
        <v>28500</v>
      </c>
      <c r="M32" s="4">
        <f>M23+M24+M20</f>
        <v>0</v>
      </c>
    </row>
    <row r="33" spans="2:13" ht="12.75">
      <c r="B33" s="8" t="s">
        <v>21</v>
      </c>
      <c r="C33" s="9">
        <f>SUM(C29:C32)</f>
        <v>335564</v>
      </c>
      <c r="D33" s="9">
        <f>SUM(D29:D32)</f>
        <v>1186097.57</v>
      </c>
      <c r="E33" s="4">
        <f>D33-C33</f>
        <v>850533.5700000001</v>
      </c>
      <c r="F33" s="9">
        <f>SUM(F29:F32)</f>
        <v>478364.10000000003</v>
      </c>
      <c r="G33" s="10">
        <f>F33-D33</f>
        <v>-707733.47</v>
      </c>
      <c r="H33" s="9">
        <f>SUM(H29:H32)</f>
        <v>408842.61</v>
      </c>
      <c r="I33" s="10">
        <f>H33-F33</f>
        <v>-69521.49000000005</v>
      </c>
      <c r="J33" s="9">
        <f>SUM(J29:J32)</f>
        <v>379046.10755402717</v>
      </c>
      <c r="K33" s="10">
        <f>J33-H33</f>
        <v>-29796.502445972816</v>
      </c>
      <c r="L33" s="9">
        <f>SUM(L29:L32)</f>
        <v>378462.01</v>
      </c>
      <c r="M33" s="10">
        <f>L33-J33</f>
        <v>-584.0975540271611</v>
      </c>
    </row>
    <row r="36" spans="2:13" ht="12.75">
      <c r="B36" s="1" t="s">
        <v>62</v>
      </c>
      <c r="C36" s="1">
        <v>-1</v>
      </c>
      <c r="D36" s="3">
        <f>+(D33-D20)*$C$36</f>
        <v>-559543.3</v>
      </c>
      <c r="E36" s="3">
        <f aca="true" t="shared" si="8" ref="E36:M36">+(E33-E20)*$C$36</f>
        <v>-223979.30000000005</v>
      </c>
      <c r="F36" s="3">
        <f t="shared" si="8"/>
        <v>-442159.91000000003</v>
      </c>
      <c r="G36" s="3">
        <f t="shared" si="8"/>
        <v>117383.3899999999</v>
      </c>
      <c r="H36" s="3">
        <f t="shared" si="8"/>
        <v>-396851.32999999996</v>
      </c>
      <c r="I36" s="3">
        <f t="shared" si="8"/>
        <v>45308.580000000045</v>
      </c>
      <c r="J36" s="3">
        <f t="shared" si="8"/>
        <v>-379046.10755402717</v>
      </c>
      <c r="K36" s="3">
        <f>+(K33-K20)*$C$36</f>
        <v>17805.222445972817</v>
      </c>
      <c r="L36" s="3">
        <f t="shared" si="8"/>
        <v>-378462.01</v>
      </c>
      <c r="M36" s="3">
        <f t="shared" si="8"/>
        <v>584.0975540271611</v>
      </c>
    </row>
    <row r="38" spans="2:4" ht="12.75">
      <c r="B38" s="1" t="s">
        <v>63</v>
      </c>
      <c r="D38" s="3">
        <f>+D36+C33</f>
        <v>-223979.30000000005</v>
      </c>
    </row>
    <row r="39" spans="15:18" ht="25.5">
      <c r="O39" s="96" t="s">
        <v>26</v>
      </c>
      <c r="P39" s="92" t="s">
        <v>43</v>
      </c>
      <c r="Q39" s="92" t="s">
        <v>41</v>
      </c>
      <c r="R39" s="92" t="s">
        <v>42</v>
      </c>
    </row>
    <row r="40" spans="15:18" ht="12.75">
      <c r="O40" s="96"/>
      <c r="P40" s="48" t="s">
        <v>27</v>
      </c>
      <c r="Q40" s="48" t="s">
        <v>27</v>
      </c>
      <c r="R40" s="48" t="s">
        <v>27</v>
      </c>
    </row>
    <row r="41" spans="15:18" ht="12.75">
      <c r="O41" s="60" t="s">
        <v>28</v>
      </c>
      <c r="P41" s="48"/>
      <c r="Q41" s="48"/>
      <c r="R41" s="48"/>
    </row>
    <row r="42" spans="15:18" ht="12.75">
      <c r="O42" s="92" t="s">
        <v>29</v>
      </c>
      <c r="P42" s="23">
        <f>+'Tables for Exhibit 3'!K5</f>
        <v>1913287.7129565743</v>
      </c>
      <c r="Q42" s="23">
        <f>+'Tables for Exhibit 3'!M5</f>
        <v>2556790.201550744</v>
      </c>
      <c r="R42" s="23">
        <f aca="true" t="shared" si="9" ref="R42:R48">+Q42-P42</f>
        <v>643502.4885941697</v>
      </c>
    </row>
    <row r="43" spans="15:18" ht="12.75">
      <c r="O43" s="92" t="s">
        <v>30</v>
      </c>
      <c r="P43" s="23">
        <f>+'Tables for Exhibit 3'!K6</f>
        <v>571656.119179198</v>
      </c>
      <c r="Q43" s="23">
        <f>+'Tables for Exhibit 3'!M6</f>
        <v>725309.1363613592</v>
      </c>
      <c r="R43" s="23">
        <f t="shared" si="9"/>
        <v>153653.0171821611</v>
      </c>
    </row>
    <row r="44" spans="15:18" ht="12.75">
      <c r="O44" s="92" t="s">
        <v>51</v>
      </c>
      <c r="P44" s="23">
        <f>+'Tables for Exhibit 3'!K7</f>
        <v>1194993.3344248603</v>
      </c>
      <c r="Q44" s="23">
        <f>+'Tables for Exhibit 3'!M7</f>
        <v>1181344.5724455896</v>
      </c>
      <c r="R44" s="23">
        <f t="shared" si="9"/>
        <v>-13648.761979270726</v>
      </c>
    </row>
    <row r="45" spans="15:18" ht="12.75">
      <c r="O45" s="92" t="s">
        <v>52</v>
      </c>
      <c r="P45" s="23">
        <f>+'Tables for Exhibit 3'!K8</f>
        <v>41451.177908</v>
      </c>
      <c r="Q45" s="23">
        <f>+'Tables for Exhibit 3'!M8</f>
        <v>61414.11740461746</v>
      </c>
      <c r="R45" s="23">
        <f t="shared" si="9"/>
        <v>19962.93949661746</v>
      </c>
    </row>
    <row r="46" spans="15:18" ht="12.75">
      <c r="O46" s="92" t="s">
        <v>31</v>
      </c>
      <c r="P46" s="23">
        <f>+'Tables for Exhibit 3'!K9</f>
        <v>208549.0277440037</v>
      </c>
      <c r="Q46" s="23">
        <f>+'Tables for Exhibit 3'!M9</f>
        <v>178720.08051496604</v>
      </c>
      <c r="R46" s="23">
        <f t="shared" si="9"/>
        <v>-29828.947229037643</v>
      </c>
    </row>
    <row r="47" spans="15:18" ht="12.75">
      <c r="O47" s="92" t="s">
        <v>32</v>
      </c>
      <c r="P47" s="23">
        <f>+'Tables for Exhibit 3'!K10</f>
        <v>5517.963098875085</v>
      </c>
      <c r="Q47" s="23">
        <f>+'Tables for Exhibit 3'!M10</f>
        <v>5072.334916081537</v>
      </c>
      <c r="R47" s="23">
        <f t="shared" si="9"/>
        <v>-445.62818279354815</v>
      </c>
    </row>
    <row r="48" spans="15:18" ht="12.75">
      <c r="O48" s="92" t="s">
        <v>33</v>
      </c>
      <c r="P48" s="23">
        <f>+'Tables for Exhibit 3'!K11</f>
        <v>31330.6739</v>
      </c>
      <c r="Q48" s="23">
        <f>+'Tables for Exhibit 3'!M11</f>
        <v>44091.077799481274</v>
      </c>
      <c r="R48" s="23">
        <f t="shared" si="9"/>
        <v>12760.403899481273</v>
      </c>
    </row>
    <row r="49" spans="2:18" ht="12.75">
      <c r="B49" s="31" t="s">
        <v>53</v>
      </c>
      <c r="C49" s="32"/>
      <c r="D49" s="31" t="s">
        <v>54</v>
      </c>
      <c r="O49" s="61" t="s">
        <v>21</v>
      </c>
      <c r="P49" s="30">
        <f>+SUM(P42:P48)</f>
        <v>3966786.0092115114</v>
      </c>
      <c r="Q49" s="30">
        <f>+SUM(Q42:Q48)</f>
        <v>4752741.520992839</v>
      </c>
      <c r="R49" s="30">
        <f>+SUM(R42:R48)</f>
        <v>785955.5117813277</v>
      </c>
    </row>
    <row r="50" spans="2:18" ht="12.75">
      <c r="B50" s="98" t="s">
        <v>55</v>
      </c>
      <c r="C50" s="98"/>
      <c r="D50" s="37">
        <v>4235</v>
      </c>
      <c r="E50" t="s">
        <v>61</v>
      </c>
      <c r="O50" s="92"/>
      <c r="P50" s="93"/>
      <c r="Q50" s="93"/>
      <c r="R50" s="93"/>
    </row>
    <row r="51" spans="2:18" ht="12.75">
      <c r="B51" s="98" t="s">
        <v>56</v>
      </c>
      <c r="C51" s="98"/>
      <c r="D51" s="37">
        <v>4225</v>
      </c>
      <c r="E51" t="s">
        <v>61</v>
      </c>
      <c r="O51" s="92"/>
      <c r="P51" s="93"/>
      <c r="Q51" s="93"/>
      <c r="R51" s="64">
        <f>+R49/P49</f>
        <v>0.1981340838543378</v>
      </c>
    </row>
    <row r="52" spans="2:18" ht="12.75">
      <c r="B52" s="98" t="s">
        <v>57</v>
      </c>
      <c r="C52" s="98"/>
      <c r="D52" s="98" t="s">
        <v>58</v>
      </c>
      <c r="E52" s="98"/>
      <c r="F52" s="98"/>
      <c r="G52" s="98"/>
      <c r="H52" s="98"/>
      <c r="O52" s="92"/>
      <c r="P52" s="93"/>
      <c r="Q52" s="93"/>
      <c r="R52" s="93"/>
    </row>
    <row r="53" spans="2:18" ht="12.75" customHeight="1">
      <c r="B53" s="98" t="s">
        <v>59</v>
      </c>
      <c r="C53" s="98"/>
      <c r="D53" s="99" t="s">
        <v>60</v>
      </c>
      <c r="E53" s="99"/>
      <c r="F53" s="99"/>
      <c r="G53" s="99"/>
      <c r="H53" s="99"/>
      <c r="O53" s="60" t="s">
        <v>4</v>
      </c>
      <c r="P53" s="93"/>
      <c r="Q53" s="93"/>
      <c r="R53" s="93"/>
    </row>
    <row r="54" spans="4:18" ht="12.75">
      <c r="D54" s="99"/>
      <c r="E54" s="99"/>
      <c r="F54" s="99"/>
      <c r="G54" s="99"/>
      <c r="H54" s="99"/>
      <c r="O54" s="92" t="s">
        <v>22</v>
      </c>
      <c r="P54" s="93">
        <f>+'Tables for Exhibit 3'!K17</f>
        <v>127000</v>
      </c>
      <c r="Q54" s="93">
        <f>+'Tables for Exhibit 3'!M17</f>
        <v>126500</v>
      </c>
      <c r="R54" s="93">
        <f>+Q54-P54</f>
        <v>-500</v>
      </c>
    </row>
    <row r="55" spans="15:18" ht="12.75">
      <c r="O55" s="92" t="s">
        <v>23</v>
      </c>
      <c r="P55" s="93">
        <f>+'Tables for Exhibit 3'!K18</f>
        <v>63140.01</v>
      </c>
      <c r="Q55" s="93">
        <f>+'Tables for Exhibit 3'!M18</f>
        <v>63140.01</v>
      </c>
      <c r="R55" s="93">
        <f>+Q55-P55</f>
        <v>0</v>
      </c>
    </row>
    <row r="56" spans="15:18" ht="12.75">
      <c r="O56" s="92" t="s">
        <v>4</v>
      </c>
      <c r="P56" s="93">
        <f>+'Tables for Exhibit 3'!K19</f>
        <v>160406.09755402716</v>
      </c>
      <c r="Q56" s="93">
        <f>+'Tables for Exhibit 3'!M19</f>
        <v>160322</v>
      </c>
      <c r="R56" s="93">
        <f>+Q56-P56</f>
        <v>-84.0975540271611</v>
      </c>
    </row>
    <row r="57" spans="15:18" ht="12.75">
      <c r="O57" s="92" t="s">
        <v>25</v>
      </c>
      <c r="P57" s="93">
        <f>+'Tables for Exhibit 3'!K20</f>
        <v>28500</v>
      </c>
      <c r="Q57" s="93">
        <f>+'Tables for Exhibit 3'!M20</f>
        <v>28500</v>
      </c>
      <c r="R57" s="93">
        <f>+Q57-P57</f>
        <v>0</v>
      </c>
    </row>
    <row r="58" spans="15:18" ht="12.75">
      <c r="O58" s="61" t="s">
        <v>21</v>
      </c>
      <c r="P58" s="30">
        <f>+SUM(P54:P57)</f>
        <v>379046.10755402717</v>
      </c>
      <c r="Q58" s="30">
        <f>+SUM(Q54:Q57)</f>
        <v>378462.01</v>
      </c>
      <c r="R58" s="30">
        <f>+SUM(R54:R57)</f>
        <v>-584.0975540271611</v>
      </c>
    </row>
    <row r="59" spans="2:18" ht="13.5" thickBot="1">
      <c r="B59" s="1" t="s">
        <v>64</v>
      </c>
      <c r="O59" s="92" t="s">
        <v>34</v>
      </c>
      <c r="P59" s="29">
        <f>+P58+P49</f>
        <v>4345832.116765538</v>
      </c>
      <c r="Q59" s="29">
        <f>+Q58+Q49</f>
        <v>5131203.530992839</v>
      </c>
      <c r="R59" s="29">
        <f>+R58+R49</f>
        <v>785371.4142273006</v>
      </c>
    </row>
    <row r="60" spans="2:18" ht="13.5" thickTop="1">
      <c r="B60" s="1" t="s">
        <v>65</v>
      </c>
      <c r="O60" s="92"/>
      <c r="P60" s="48"/>
      <c r="Q60" s="48"/>
      <c r="R60" s="48"/>
    </row>
    <row r="61" spans="15:18" ht="12.75">
      <c r="O61" s="92" t="s">
        <v>35</v>
      </c>
      <c r="P61" s="17">
        <f>+P49/P59</f>
        <v>0.9127793947465834</v>
      </c>
      <c r="Q61" s="17">
        <f>+Q49/Q59</f>
        <v>0.9262430329036722</v>
      </c>
      <c r="R61" s="17">
        <f>+R49/R59</f>
        <v>1.0007437214335102</v>
      </c>
    </row>
  </sheetData>
  <sheetProtection/>
  <mergeCells count="8">
    <mergeCell ref="O39:O40"/>
    <mergeCell ref="B53:C53"/>
    <mergeCell ref="D53:H54"/>
    <mergeCell ref="B4:M4"/>
    <mergeCell ref="B50:C50"/>
    <mergeCell ref="B51:C51"/>
    <mergeCell ref="B52:C52"/>
    <mergeCell ref="D52:H5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5" width="11.421875" style="0" bestFit="1" customWidth="1"/>
    <col min="6" max="6" width="10.421875" style="0" bestFit="1" customWidth="1"/>
    <col min="7" max="7" width="17.421875" style="0" customWidth="1"/>
  </cols>
  <sheetData>
    <row r="1" ht="12.75">
      <c r="A1" t="s">
        <v>66</v>
      </c>
    </row>
    <row r="3" spans="2:7" ht="12.75">
      <c r="B3" s="40">
        <v>2006</v>
      </c>
      <c r="C3" s="40">
        <v>2007</v>
      </c>
      <c r="D3" s="40">
        <v>2008</v>
      </c>
      <c r="E3" s="40">
        <v>2009</v>
      </c>
      <c r="F3" s="40">
        <v>2010</v>
      </c>
      <c r="G3" s="41" t="s">
        <v>67</v>
      </c>
    </row>
    <row r="4" spans="1:7" ht="12.75">
      <c r="A4">
        <v>4225</v>
      </c>
      <c r="B4" s="38">
        <v>27565</v>
      </c>
      <c r="C4" s="38">
        <v>32965</v>
      </c>
      <c r="D4" s="38">
        <v>72437</v>
      </c>
      <c r="E4" s="38">
        <v>61033</v>
      </c>
      <c r="F4" s="38">
        <v>63140</v>
      </c>
      <c r="G4" s="39">
        <v>27565</v>
      </c>
    </row>
    <row r="5" spans="1:7" ht="12.75">
      <c r="A5">
        <v>4235</v>
      </c>
      <c r="B5" s="38">
        <v>73266.71</v>
      </c>
      <c r="C5" s="38">
        <v>107757.88</v>
      </c>
      <c r="D5" s="38">
        <v>103125.44</v>
      </c>
      <c r="E5" s="38">
        <v>114453.17</v>
      </c>
      <c r="F5" s="38">
        <v>97498.58</v>
      </c>
      <c r="G5" s="39">
        <v>103267</v>
      </c>
    </row>
    <row r="6" spans="1:7" ht="12.75">
      <c r="A6">
        <v>4375</v>
      </c>
      <c r="B6" s="38">
        <v>238124.31</v>
      </c>
      <c r="C6" s="38">
        <v>449085.55</v>
      </c>
      <c r="D6" s="38">
        <v>626554.27</v>
      </c>
      <c r="E6" s="38">
        <v>335147.66</v>
      </c>
      <c r="F6" s="38">
        <v>11991.28</v>
      </c>
      <c r="G6" s="39">
        <v>0</v>
      </c>
    </row>
    <row r="7" spans="1:7" ht="12.75">
      <c r="A7">
        <v>4405</v>
      </c>
      <c r="B7" s="38">
        <v>55271.13</v>
      </c>
      <c r="C7" s="38">
        <v>48939.61</v>
      </c>
      <c r="D7" s="38">
        <v>195112.91</v>
      </c>
      <c r="E7" s="38">
        <v>61929.07</v>
      </c>
      <c r="F7" s="38">
        <v>48939.61</v>
      </c>
      <c r="G7" s="39">
        <v>55271</v>
      </c>
    </row>
    <row r="8" spans="2:7" ht="12.75">
      <c r="B8" s="38"/>
      <c r="C8" s="38"/>
      <c r="D8" s="38"/>
      <c r="E8" s="38"/>
      <c r="F8" s="38"/>
      <c r="G8" s="39"/>
    </row>
    <row r="9" spans="2:7" ht="12.75">
      <c r="B9" s="38"/>
      <c r="C9" s="38"/>
      <c r="D9" s="38"/>
      <c r="E9" s="38"/>
      <c r="F9" s="38"/>
      <c r="G9" s="39"/>
    </row>
    <row r="10" spans="2:7" ht="12.75">
      <c r="B10" s="38"/>
      <c r="C10" s="38"/>
      <c r="D10" s="38"/>
      <c r="E10" s="38"/>
      <c r="F10" s="38"/>
      <c r="G10" s="39"/>
    </row>
    <row r="11" spans="2:7" ht="12.75">
      <c r="B11" s="38"/>
      <c r="C11" s="38"/>
      <c r="D11" s="38"/>
      <c r="E11" s="38"/>
      <c r="F11" s="38"/>
      <c r="G11" s="39"/>
    </row>
    <row r="12" spans="2:7" ht="12.75">
      <c r="B12" s="38"/>
      <c r="C12" s="38"/>
      <c r="D12" s="38"/>
      <c r="E12" s="38"/>
      <c r="F12" s="38"/>
      <c r="G12" s="39"/>
    </row>
    <row r="13" spans="2:7" ht="12.75">
      <c r="B13" s="38"/>
      <c r="C13" s="38"/>
      <c r="D13" s="38"/>
      <c r="E13" s="38"/>
      <c r="F13" s="38"/>
      <c r="G13" s="39"/>
    </row>
    <row r="14" spans="2:7" ht="12.75">
      <c r="B14" s="38"/>
      <c r="C14" s="38"/>
      <c r="D14" s="38"/>
      <c r="E14" s="38"/>
      <c r="F14" s="38"/>
      <c r="G14" s="39"/>
    </row>
    <row r="15" spans="2:7" ht="12.75">
      <c r="B15" s="38"/>
      <c r="C15" s="38"/>
      <c r="D15" s="38"/>
      <c r="E15" s="38"/>
      <c r="F15" s="38"/>
      <c r="G15" s="39"/>
    </row>
    <row r="16" spans="2:7" ht="12.75">
      <c r="B16" s="38"/>
      <c r="C16" s="38"/>
      <c r="D16" s="38"/>
      <c r="E16" s="38"/>
      <c r="F16" s="38"/>
      <c r="G16" s="39"/>
    </row>
    <row r="17" spans="2:7" ht="12.75">
      <c r="B17" s="38"/>
      <c r="C17" s="38"/>
      <c r="D17" s="38"/>
      <c r="E17" s="38"/>
      <c r="F17" s="38"/>
      <c r="G17" s="39"/>
    </row>
    <row r="18" spans="2:7" ht="12.75">
      <c r="B18" s="38"/>
      <c r="C18" s="38"/>
      <c r="D18" s="38"/>
      <c r="E18" s="38"/>
      <c r="F18" s="38"/>
      <c r="G18" s="39"/>
    </row>
    <row r="19" spans="2:7" ht="12.75">
      <c r="B19" s="38"/>
      <c r="C19" s="38"/>
      <c r="D19" s="38"/>
      <c r="E19" s="38"/>
      <c r="F19" s="38"/>
      <c r="G19" s="39"/>
    </row>
    <row r="20" spans="2:7" ht="12.75">
      <c r="B20" s="38"/>
      <c r="C20" s="38"/>
      <c r="D20" s="38"/>
      <c r="E20" s="38"/>
      <c r="F20" s="38"/>
      <c r="G20" s="39"/>
    </row>
    <row r="21" spans="2:7" ht="12.75">
      <c r="B21" s="38"/>
      <c r="C21" s="38"/>
      <c r="D21" s="38"/>
      <c r="E21" s="38"/>
      <c r="F21" s="38"/>
      <c r="G21" s="39"/>
    </row>
    <row r="22" spans="2:7" ht="12.75">
      <c r="B22" s="38"/>
      <c r="C22" s="38"/>
      <c r="D22" s="38"/>
      <c r="E22" s="38"/>
      <c r="F22" s="38"/>
      <c r="G22" s="39"/>
    </row>
    <row r="23" spans="2:7" ht="12.75">
      <c r="B23" s="38"/>
      <c r="C23" s="38"/>
      <c r="D23" s="38"/>
      <c r="E23" s="38"/>
      <c r="F23" s="38"/>
      <c r="G23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Proctor - Utility Financial Concepts</dc:creator>
  <cp:keywords/>
  <dc:description>updated and complete</dc:description>
  <cp:lastModifiedBy>Greg Nutt</cp:lastModifiedBy>
  <cp:lastPrinted>2011-09-21T18:43:19Z</cp:lastPrinted>
  <dcterms:created xsi:type="dcterms:W3CDTF">2010-08-26T17:30:12Z</dcterms:created>
  <dcterms:modified xsi:type="dcterms:W3CDTF">2011-10-15T01:00:31Z</dcterms:modified>
  <cp:category/>
  <cp:version/>
  <cp:contentType/>
  <cp:contentStatus/>
</cp:coreProperties>
</file>