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345" windowWidth="9000" windowHeight="8280" firstSheet="9" activeTab="14"/>
  </bookViews>
  <sheets>
    <sheet name="App 2-E" sheetId="1" r:id="rId1"/>
    <sheet name="App 2-E with Cost Drivers (2)" sheetId="2" r:id="rId2"/>
    <sheet name="Table 3 Sch 6 (2)" sheetId="3" r:id="rId3"/>
    <sheet name="App 2-J" sheetId="4" r:id="rId4"/>
    <sheet name="Ex.4 Table 1.1" sheetId="5" r:id="rId5"/>
    <sheet name="Ex.4 Table 1.2 1.7" sheetId="6" r:id="rId6"/>
    <sheet name="1.9" sheetId="7" r:id="rId7"/>
    <sheet name="Table 2.2-2.5" sheetId="8" r:id="rId8"/>
    <sheet name="Affiliate " sheetId="9" r:id="rId9"/>
    <sheet name="Sch 6 Table 11&amp;12" sheetId="10" r:id="rId10"/>
    <sheet name="2008 APPROVED VS ACTUAL" sheetId="11" r:id="rId11"/>
    <sheet name="2012 Test bs 2008 Actual Varian" sheetId="12" r:id="rId12"/>
    <sheet name="2010 Act vs 2012 Test" sheetId="13" r:id="rId13"/>
    <sheet name="Table 6 " sheetId="14" r:id="rId14"/>
    <sheet name="Table 7" sheetId="15" r:id="rId15"/>
    <sheet name="Sheet1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1" hidden="1">'2012 Test bs 2008 Actual Varian'!$A$4:$DI$20</definedName>
    <definedName name="_xlnm._FilterDatabase" localSheetId="7" hidden="1">'Table 2.2-2.5'!$A$1:$M$1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jhoward</author>
  </authors>
  <commentList>
    <comment ref="B27" authorId="0">
      <text>
        <r>
          <rPr>
            <b/>
            <sz val="8"/>
            <rFont val="Tahoma"/>
            <family val="2"/>
          </rPr>
          <t>jhoward:</t>
        </r>
        <r>
          <rPr>
            <sz val="8"/>
            <rFont val="Tahoma"/>
            <family val="2"/>
          </rPr>
          <t xml:space="preserve">
Wrong AC used in 2004
confirmed with Trial Bal</t>
        </r>
      </text>
    </comment>
  </commentList>
</comments>
</file>

<file path=xl/sharedStrings.xml><?xml version="1.0" encoding="utf-8"?>
<sst xmlns="http://schemas.openxmlformats.org/spreadsheetml/2006/main" count="1548" uniqueCount="543">
  <si>
    <t>Table  OM&amp;A Cost Table</t>
  </si>
  <si>
    <t>Expense Description</t>
  </si>
  <si>
    <t>2006 Board Approved</t>
  </si>
  <si>
    <t>2008 Actual</t>
  </si>
  <si>
    <t>2009 Actual</t>
  </si>
  <si>
    <t>OEB Appendix 2-E  Summary of OM&amp;A Expenses</t>
  </si>
  <si>
    <t>Operations</t>
  </si>
  <si>
    <t>Matured Long Term Debt</t>
  </si>
  <si>
    <t>5005-Operation Supervision and Engineering</t>
  </si>
  <si>
    <t>TABLE 1: OM&amp;A Year over Year Comparison</t>
  </si>
  <si>
    <t>Matured Interest on Long Term Debt</t>
  </si>
  <si>
    <t>5010-Load Dispatching</t>
  </si>
  <si>
    <t>Variance $</t>
  </si>
  <si>
    <t>Variance %</t>
  </si>
  <si>
    <t>Obligations Under Capital Leases--Current</t>
  </si>
  <si>
    <t>5012-Station Buildings and Fixtures Expense</t>
  </si>
  <si>
    <t>Commodity Taxes</t>
  </si>
  <si>
    <t>5014-Transformer Station Equipment - Operation Labour</t>
  </si>
  <si>
    <t>Maintenance</t>
  </si>
  <si>
    <t>Payroll Deductions / Expenses Payable</t>
  </si>
  <si>
    <t>5015-Transformer Station Equipment - Operation Supplies and Expenses</t>
  </si>
  <si>
    <t>Billing &amp; Collecting</t>
  </si>
  <si>
    <t>Accrual for Taxes, "Payments in Lieu" of Taxes, Etc.</t>
  </si>
  <si>
    <t>5016-Distribution Station Equipment - Operation Labour</t>
  </si>
  <si>
    <t>Community Relations</t>
  </si>
  <si>
    <t>Future Income Taxes - Current</t>
  </si>
  <si>
    <t>5017-Distribution Station Equipment - Operation Supplies and Expenses</t>
  </si>
  <si>
    <t>Administrative and General</t>
  </si>
  <si>
    <t>Non-Current Liabilities</t>
  </si>
  <si>
    <t>5020-Overhead Distribution Lines and Feeders - Operation Labour</t>
  </si>
  <si>
    <t>Total OM&amp;A Expenses</t>
  </si>
  <si>
    <t>Accumulated Provision for Injuries and Damages</t>
  </si>
  <si>
    <t>5025-Overhead Distribution Lines &amp; Feeders - Operation Supplies and Expenses</t>
  </si>
  <si>
    <t>Employee Future Benefits</t>
  </si>
  <si>
    <t>5030-Overhead Subtransmission Feeders - Operation</t>
  </si>
  <si>
    <t>Other Pensions - Past Service Liability</t>
  </si>
  <si>
    <t>5035-Overhead Distribution Transformers- Operation</t>
  </si>
  <si>
    <t>Vested Sick Leave Liability</t>
  </si>
  <si>
    <t>5040-Underground Distribution Lines and Feeders - Operation Labour</t>
  </si>
  <si>
    <t>Accumulated Provision for Rate Refunds</t>
  </si>
  <si>
    <t>5045-Underground Distribution Lines &amp; Feeders - Operation Supplies &amp; Expenses</t>
  </si>
  <si>
    <t>Other Miscellaneous Non-Current Liabilities</t>
  </si>
  <si>
    <t>5050-Underground Subtransmission Feeders - Operation</t>
  </si>
  <si>
    <t>Obligations Under Capital Lease--Non-Current</t>
  </si>
  <si>
    <t>5055-Underground Distribution Transformers - Operation</t>
  </si>
  <si>
    <t>5060-Street Lighting and Signal System Expense</t>
  </si>
  <si>
    <t>Devolpment Charge Fund</t>
  </si>
  <si>
    <t>5065-Meter Expense</t>
  </si>
  <si>
    <t>Long Term Customer Deposits</t>
  </si>
  <si>
    <t>5070-Customer Premises - Operation Labour</t>
  </si>
  <si>
    <t>Inflation Rate</t>
  </si>
  <si>
    <t>Collateral Funds Liability</t>
  </si>
  <si>
    <t>5075-Customer Premises - Materials and Expenses</t>
  </si>
  <si>
    <t>Unamortized Premium on Long Term Debt</t>
  </si>
  <si>
    <t>5085-Miscellaneous Distribution Expense</t>
  </si>
  <si>
    <t>2008 Actual $</t>
  </si>
  <si>
    <t>5090-Underground Distribution Lines &amp; Feeders-Rental Paid</t>
  </si>
  <si>
    <t>5095-Overhead Distribution Lines and Feeders - Rental Paid</t>
  </si>
  <si>
    <t>Future Income Tax - Non-Current</t>
  </si>
  <si>
    <t>5096-Other Rent</t>
  </si>
  <si>
    <t>Sub-Total</t>
  </si>
  <si>
    <t>Other Liabilities and Deferred Credits</t>
  </si>
  <si>
    <t>5105-Maintenance Supervision and Engineering</t>
  </si>
  <si>
    <t>Other Regulatory Liabilities</t>
  </si>
  <si>
    <t>5110-Maintenance of Buildings and Fixtures - Distribution Stations</t>
  </si>
  <si>
    <t>Deferred Gains From Disposition of Utility Plant</t>
  </si>
  <si>
    <t>5112-Maintenance of Transformer Station Equipment</t>
  </si>
  <si>
    <t>2009 Actual $</t>
  </si>
  <si>
    <t>Unamortized Gain on Reacquired Debt</t>
  </si>
  <si>
    <t>5114-Maintenance of Distribution Station Equipment</t>
  </si>
  <si>
    <t>Other Deferred Credits</t>
  </si>
  <si>
    <t>5120-Maintenance of Poles, Towers and Fixtures</t>
  </si>
  <si>
    <t>Accrued Rate-Payer Benefit</t>
  </si>
  <si>
    <t>5125-Maintenance of Overhead Conductors and Devices</t>
  </si>
  <si>
    <t>Long Term Debt</t>
  </si>
  <si>
    <t>5130-Maintenance of Overhead Services</t>
  </si>
  <si>
    <t>Debentures Outstanding - Long Term Portion</t>
  </si>
  <si>
    <t>5135-Overhead Distribution Lines and Feeders - Right of Way</t>
  </si>
  <si>
    <t>Debenture Advances</t>
  </si>
  <si>
    <t>5145-Maintenance of Underground Conduit</t>
  </si>
  <si>
    <t>Required Bonds</t>
  </si>
  <si>
    <t>5150-Maintenance of Underground Conductors and Devices</t>
  </si>
  <si>
    <t>Other Long Term Debt</t>
  </si>
  <si>
    <t>5155-Maintenance of Underground Services</t>
  </si>
  <si>
    <t>Term Bank Loans - Long Term Portion</t>
  </si>
  <si>
    <t>5160-Maintenance of Line Transformers</t>
  </si>
  <si>
    <t>5165-Maintenance of Street Lighting and Signal Systems</t>
  </si>
  <si>
    <t>5170-Sentinel Lights -  Labour</t>
  </si>
  <si>
    <t>5172-Sentinel Lights- Materials and Expenses</t>
  </si>
  <si>
    <t>Ontario Hydro Debt Outstanding - Long Term Portion</t>
  </si>
  <si>
    <t>5175-Maintenance of Meters</t>
  </si>
  <si>
    <t>5178-Customer Installations Expenses - Leased Property</t>
  </si>
  <si>
    <t>5195-Maintenance of Other Installations on Customer Premises</t>
  </si>
  <si>
    <t>Billing and Collections</t>
  </si>
  <si>
    <t>Advances from Associated Companies</t>
  </si>
  <si>
    <t>5305-Supervision</t>
  </si>
  <si>
    <t>Shareholders' Equity</t>
  </si>
  <si>
    <t>5310-Meter Reading Expense</t>
  </si>
  <si>
    <t>Common Shares Issued</t>
  </si>
  <si>
    <t>5315-Customer Billing</t>
  </si>
  <si>
    <t>Preference Shares Issued</t>
  </si>
  <si>
    <t>5320-Collecting</t>
  </si>
  <si>
    <t>Contributed Surplus</t>
  </si>
  <si>
    <t>5325-Collecting- Cash Over and Short</t>
  </si>
  <si>
    <t>Donations Received</t>
  </si>
  <si>
    <t>5330-Collection Charges</t>
  </si>
  <si>
    <t>Devolpment Charges Transferred to Equity</t>
  </si>
  <si>
    <t>5335-Bad Debt Expense</t>
  </si>
  <si>
    <t>Capital Stock Held in Treasury</t>
  </si>
  <si>
    <t>5340-Miscellaneous Customer Accounts Expenses</t>
  </si>
  <si>
    <t>Required Total OM&amp;A Comparison</t>
  </si>
  <si>
    <t>%</t>
  </si>
  <si>
    <t>Miscellaneous Paid-In Capital</t>
  </si>
  <si>
    <t>5405-Supervision</t>
  </si>
  <si>
    <t>Installments Received on Capital Stock</t>
  </si>
  <si>
    <t>5410-Community Relations - Sundry</t>
  </si>
  <si>
    <t>Appropriated Retained Earnings</t>
  </si>
  <si>
    <t>5415-Energy Conservation</t>
  </si>
  <si>
    <t>Simple Average of Variance %</t>
  </si>
  <si>
    <t>Unappropriated Retained Earnings</t>
  </si>
  <si>
    <t>5420-Community Safety Program</t>
  </si>
  <si>
    <t>Balance Transferred From Income</t>
  </si>
  <si>
    <t>5510-Demonstrating and Selling Expense</t>
  </si>
  <si>
    <t>Appropriations of Retained Earnings - Current Period</t>
  </si>
  <si>
    <t>5515-Advertising Expense</t>
  </si>
  <si>
    <t>2009 vs 2008</t>
  </si>
  <si>
    <t>Dividends Payable-Preference Shares</t>
  </si>
  <si>
    <t>5520-Miscellaneous Sales Expense</t>
  </si>
  <si>
    <t>Compound Annual Growth Rate</t>
  </si>
  <si>
    <t>Administrative and General Expenses</t>
  </si>
  <si>
    <t>Dividends Payable-Common Shares</t>
  </si>
  <si>
    <t>5605-Executive Salaries and Expenses</t>
  </si>
  <si>
    <t xml:space="preserve">Adjustment to Retained Earnings                 </t>
  </si>
  <si>
    <t>5610-Management Salaries and Expenses</t>
  </si>
  <si>
    <t>Unappropriated Undistributed Subsidiary Earnings</t>
  </si>
  <si>
    <t>5615-General Administrative Salaries and Expenses</t>
  </si>
  <si>
    <t>Sales of Electricity</t>
  </si>
  <si>
    <t>5620-Office Supplies and Expenses</t>
  </si>
  <si>
    <t>5625-Adminsitrative Expense Transferred-Credit</t>
  </si>
  <si>
    <t>Residential Energy Sales</t>
  </si>
  <si>
    <t>5630-Outside Services Employed</t>
  </si>
  <si>
    <t>Commercial Energy Sales</t>
  </si>
  <si>
    <t>5635-Property Insurance</t>
  </si>
  <si>
    <t>Industrial Energy Sales</t>
  </si>
  <si>
    <t>5640-Injuries and Damages</t>
  </si>
  <si>
    <t>Energy Sales to Large Users</t>
  </si>
  <si>
    <t>5645-Employee Pensions and Benefits</t>
  </si>
  <si>
    <t>5650-Franchise Requirements</t>
  </si>
  <si>
    <t>Street Lighting Energy Sales</t>
  </si>
  <si>
    <t>5655-Regulatory Expenses</t>
  </si>
  <si>
    <t>Sentinel Energy Sales</t>
  </si>
  <si>
    <t>5660-General Advertising Expenses</t>
  </si>
  <si>
    <t>General Energy Sales</t>
  </si>
  <si>
    <t>5665-Miscellaneous General Expenses</t>
  </si>
  <si>
    <t>Other Energy Sales to Public Authorities</t>
  </si>
  <si>
    <t>5670-Rent</t>
  </si>
  <si>
    <t>Energy Sales to Railroads and Railways</t>
  </si>
  <si>
    <t>5675-Maintenance of General Plant</t>
  </si>
  <si>
    <t>5680-Electrical Safety Authority Fees</t>
  </si>
  <si>
    <t>5685-Independent Market Operator Fees and Penalties</t>
  </si>
  <si>
    <t>Total Operating, Maintenance and Administration Expenses</t>
  </si>
  <si>
    <t>Taxes Other Than Income Taxes</t>
  </si>
  <si>
    <t>Billed WMS-One Time</t>
  </si>
  <si>
    <t>6105-Capital</t>
  </si>
  <si>
    <t>Amortization Expenses</t>
  </si>
  <si>
    <t>Revenue Adjustment</t>
  </si>
  <si>
    <t>5705-Amortization Expense - Property, Plant, and Equipment</t>
  </si>
  <si>
    <t>Total Distribution Expense Before Income Taxes</t>
  </si>
  <si>
    <t>Variance Determined as 1% of Total Distribution Expense before Taxes</t>
  </si>
  <si>
    <t>Materiality</t>
  </si>
  <si>
    <t>2011 Bridge</t>
  </si>
  <si>
    <t>2010 Actual</t>
  </si>
  <si>
    <t>2008 Board Approved $</t>
  </si>
  <si>
    <t>2010 Actual $</t>
  </si>
  <si>
    <t>2011 Bridge $</t>
  </si>
  <si>
    <t>2012 Test $</t>
  </si>
  <si>
    <t>2008 Board Approved</t>
  </si>
  <si>
    <t xml:space="preserve">2012     Test    </t>
  </si>
  <si>
    <t>2012 Test vs. 2010 Actual</t>
  </si>
  <si>
    <t>2012 Test vs. 2008 Board Approved</t>
  </si>
  <si>
    <t>2008, 2009, 2010</t>
  </si>
  <si>
    <t>2010 vs 2009</t>
  </si>
  <si>
    <t>2 year Average</t>
  </si>
  <si>
    <t>Table 2: Additional Total OM&amp;A Expense Comparatives</t>
  </si>
  <si>
    <t>This Exhibit only requires cells A5 : E65</t>
  </si>
  <si>
    <t>OEB Appendix 2-J  OM&amp;A Variance Analysis</t>
  </si>
  <si>
    <t>2007 Actual</t>
  </si>
  <si>
    <t>2010 Bridge</t>
  </si>
  <si>
    <t>2012      Test $</t>
  </si>
  <si>
    <t>2012        Test $</t>
  </si>
  <si>
    <t>Summary of OM&amp;A Expenses</t>
  </si>
  <si>
    <t>Description</t>
  </si>
  <si>
    <t>2011 Bridge Year</t>
  </si>
  <si>
    <t>2012 Test Year</t>
  </si>
  <si>
    <t>Billing &amp;Collecting</t>
  </si>
  <si>
    <t>Administrative &amp; General Expense</t>
  </si>
  <si>
    <t>Total OMN&amp;A</t>
  </si>
  <si>
    <t>Year by Year Increase</t>
  </si>
  <si>
    <t>Inflation Rate Canada CPI</t>
  </si>
  <si>
    <t>From Templates</t>
  </si>
  <si>
    <t xml:space="preserve">CPI was pulled from Canada CPI year after year, </t>
  </si>
  <si>
    <t>Used January figures</t>
  </si>
  <si>
    <t>Consumer Price Index, by province</t>
  </si>
  <si>
    <t>(Canada)</t>
  </si>
  <si>
    <t>2002=100</t>
  </si>
  <si>
    <t>Canada</t>
  </si>
  <si>
    <t>All-items</t>
  </si>
  <si>
    <t>Food</t>
  </si>
  <si>
    <t>Shelter</t>
  </si>
  <si>
    <t>Household operations, furnishings and equipment</t>
  </si>
  <si>
    <t>Clothing and footwear</t>
  </si>
  <si>
    <t>Transportation</t>
  </si>
  <si>
    <t>Health and personal care</t>
  </si>
  <si>
    <t>Recreation, education and reading</t>
  </si>
  <si>
    <t>Alcoholic beverages and tobacco products</t>
  </si>
  <si>
    <t>Special aggregates</t>
  </si>
  <si>
    <t>All-items excluding food</t>
  </si>
  <si>
    <t>All-items excluding energy</t>
  </si>
  <si>
    <t>% change from previous year</t>
  </si>
  <si>
    <r>
      <t xml:space="preserve">Note: </t>
    </r>
    <r>
      <rPr>
        <sz val="10.55"/>
        <color indexed="8"/>
        <rFont val="Arial"/>
        <family val="2"/>
      </rPr>
      <t>Annual average indexes are obtained by averaging the indexes for the 12 months of the calendar year.</t>
    </r>
  </si>
  <si>
    <r>
      <t>Source:</t>
    </r>
    <r>
      <rPr>
        <sz val="10.55"/>
        <color indexed="8"/>
        <rFont val="Arial"/>
        <family val="2"/>
      </rPr>
      <t xml:space="preserve"> Statistics Canada, CANSIM, table (for fee) </t>
    </r>
    <r>
      <rPr>
        <sz val="10"/>
        <color indexed="8"/>
        <rFont val="Verdana"/>
        <family val="2"/>
      </rPr>
      <t>326-0021</t>
    </r>
    <r>
      <rPr>
        <sz val="10.55"/>
        <color indexed="8"/>
        <rFont val="Arial"/>
        <family val="2"/>
      </rPr>
      <t xml:space="preserve"> and Catalogue nos. </t>
    </r>
    <r>
      <rPr>
        <sz val="10"/>
        <color indexed="8"/>
        <rFont val="Verdana"/>
        <family val="2"/>
      </rPr>
      <t>62-001-X</t>
    </r>
    <r>
      <rPr>
        <sz val="10.55"/>
        <color indexed="8"/>
        <rFont val="Arial"/>
        <family val="2"/>
      </rPr>
      <t xml:space="preserve"> and </t>
    </r>
    <r>
      <rPr>
        <sz val="10"/>
        <color indexed="8"/>
        <rFont val="Verdana"/>
        <family val="2"/>
      </rPr>
      <t>62-010-X</t>
    </r>
    <r>
      <rPr>
        <sz val="10.55"/>
        <color indexed="8"/>
        <rFont val="Arial"/>
        <family val="2"/>
      </rPr>
      <t>.</t>
    </r>
  </si>
  <si>
    <t>Last modified: 2011-01-25.</t>
  </si>
  <si>
    <t>Month</t>
  </si>
  <si>
    <t>Total CPI</t>
  </si>
  <si>
    <t xml:space="preserve">Core CPI 1 </t>
  </si>
  <si>
    <t xml:space="preserve">Percentage change over 1 year ago (unadjusted) </t>
  </si>
  <si>
    <t>Alternative measures of trend inflation</t>
  </si>
  <si>
    <t>(seas. adj.)</t>
  </si>
  <si>
    <t xml:space="preserve">CPI-XFET 2 </t>
  </si>
  <si>
    <t xml:space="preserve">CPIW 3 </t>
  </si>
  <si>
    <t>2011-04</t>
  </si>
  <si>
    <t>2011-03</t>
  </si>
  <si>
    <t>2011-02</t>
  </si>
  <si>
    <t>2011-01</t>
  </si>
  <si>
    <t>FROM BANK OF CANADA</t>
  </si>
  <si>
    <t>FROM STATS CANADA</t>
  </si>
  <si>
    <t>OM&amp;A: 2008 Approved vs. 2008 Actual</t>
  </si>
  <si>
    <t>2008 Approved</t>
  </si>
  <si>
    <t xml:space="preserve">Total OM&amp;A Expense </t>
  </si>
  <si>
    <t>Table</t>
  </si>
  <si>
    <t>OM&amp;A: 2008 Actual vs. 2009 Actual</t>
  </si>
  <si>
    <t xml:space="preserve">Table </t>
  </si>
  <si>
    <t>OM&amp;A: 2009 Actual vs. 2010 Actual</t>
  </si>
  <si>
    <t>OM&amp;A: 2010 Actual vs. 2011 Bridge Year</t>
  </si>
  <si>
    <t>OM&amp;A: 2011 Bridge Year vs. 2012 Test Year</t>
  </si>
  <si>
    <t>2012 Test</t>
  </si>
  <si>
    <t>Test Year vs. 2009 Actual</t>
  </si>
  <si>
    <t>Test Year vs. 2010 Actual</t>
  </si>
  <si>
    <t>Test Year vs. 2008 Actual</t>
  </si>
  <si>
    <t>Test Year vs. 2008 Approved</t>
  </si>
  <si>
    <t>Simple Average Variance % for all Actual Years</t>
  </si>
  <si>
    <t>Compound Annual Growth rate for actual years</t>
  </si>
  <si>
    <t>Variance</t>
  </si>
  <si>
    <t>2012 Fwd Test Year</t>
  </si>
  <si>
    <t>Distribution Revenue Requirement</t>
  </si>
  <si>
    <t>Materiality (Below $10M)</t>
  </si>
  <si>
    <t xml:space="preserve">CHECK RRM </t>
  </si>
  <si>
    <t>USoA</t>
  </si>
  <si>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</si>
  <si>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</si>
  <si>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</si>
  <si>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</si>
  <si>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</si>
  <si>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</si>
  <si>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</si>
  <si>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</si>
  <si>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&amp; Feeders - Operation Supplies and Expenses</t>
  </si>
  <si>
    <t>Overhead Subtransmission Feeders - Operation</t>
  </si>
  <si>
    <t>Overhead Distribution Transformers- Operation</t>
  </si>
  <si>
    <t>Underground Distribution Lines and Feeders - Operation Labour</t>
  </si>
  <si>
    <t>Underground Distribution Lines &amp; Feeders - Operation Supplies &amp; Expenses</t>
  </si>
  <si>
    <t>Underground Subtransmission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</si>
  <si>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</si>
  <si>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</si>
  <si>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</si>
  <si>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</si>
  <si>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Materials and Expenses</t>
  </si>
  <si>
    <t>Miscellaneous Distribution Expense</t>
  </si>
  <si>
    <t>Underground Distribution Lines &amp; Feeders-Rental Paid</t>
  </si>
  <si>
    <t>Overhead Distribution Lines and Feeders - Rental Paid</t>
  </si>
  <si>
    <t>Other Rent</t>
  </si>
  <si>
    <t>Maintenance Supervision and Engineering</t>
  </si>
  <si>
    <t>Maintenance of Transformer Station Equipment</t>
  </si>
  <si>
    <t>Maintenance of Distribution Station Equipment</t>
  </si>
  <si>
    <t>Maintenance of Poles, Towers and Fixtures</t>
  </si>
  <si>
    <t>Maintenance of Overhead Conductors and Devices</t>
  </si>
  <si>
    <t>Maintenance of Overhead Services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</si>
  <si>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</si>
  <si>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</si>
  <si>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</si>
  <si>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</si>
  <si>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</si>
  <si>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Maintenance of Meters</t>
  </si>
  <si>
    <t>Maintenance of Other Installations on Customer Premises</t>
  </si>
  <si>
    <t>Supervision</t>
  </si>
  <si>
    <t>Meter Reading Expense</t>
  </si>
  <si>
    <t>Customer Billing</t>
  </si>
  <si>
    <t>Collecting</t>
  </si>
  <si>
    <t>Collecting- Cash Over and Short</t>
  </si>
  <si>
    <t>Collection Charges</t>
  </si>
  <si>
    <t>Bad Debt Expense</t>
  </si>
  <si>
    <t>Miscellaneous Customer Accounts Expenses</t>
  </si>
  <si>
    <t>Community Relations - Sundry</t>
  </si>
  <si>
    <t>Energy Conservation</t>
  </si>
  <si>
    <t>Community Safety Program</t>
  </si>
  <si>
    <t>Demonstrating and Selling Expense</t>
  </si>
  <si>
    <t>Advertising Expense</t>
  </si>
  <si>
    <t>Miscellaneous Sales Expense</t>
  </si>
  <si>
    <t>Executive Salaries and Expenses</t>
  </si>
  <si>
    <t>Management Salaries and Expenses</t>
  </si>
  <si>
    <t>General Administrative Salaries and Expenses</t>
  </si>
  <si>
    <t>Office Supplies and Expenses</t>
  </si>
  <si>
    <t>Adminsitrative Expense Transferred-Credit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</si>
  <si>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</si>
  <si>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</si>
  <si>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</si>
  <si>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</si>
  <si>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</si>
  <si>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</si>
  <si>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</si>
  <si>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General Expenses</t>
  </si>
  <si>
    <t>Rent</t>
  </si>
  <si>
    <t>Maintenance of General Plant</t>
  </si>
  <si>
    <t>Electrical Safety Authority Fees</t>
  </si>
  <si>
    <t>Independent Market Operator Fees and Penalties</t>
  </si>
  <si>
    <t>TOTAL OPERATING EXPENSES</t>
  </si>
  <si>
    <t xml:space="preserve">2012  Test    </t>
  </si>
  <si>
    <t>TOTAL MAINTENANCE EXPENSES</t>
  </si>
  <si>
    <t xml:space="preserve">2012 Test    </t>
  </si>
  <si>
    <t>Maintenance of Buildings and Fixtures  Distribution Stations</t>
  </si>
  <si>
    <t>Overhead Distribution Lines and Feeders  Right of Way</t>
  </si>
  <si>
    <t>Sentinel Lights   Labour</t>
  </si>
  <si>
    <t>Sentinel Lights Materials and Expenses</t>
  </si>
  <si>
    <t>Customer Installations Expenses  Leased Property</t>
  </si>
  <si>
    <t>TOTAL BILLING &amp; COLLECTING EXPENSES</t>
  </si>
  <si>
    <t xml:space="preserve">Community Relations Expenses  Operation </t>
  </si>
  <si>
    <t>TOTAL COMMUNITY RELATIONS EXPENSES</t>
  </si>
  <si>
    <t xml:space="preserve">General &amp; Administrative Expenses  </t>
  </si>
  <si>
    <t xml:space="preserve">Billing &amp; Collecting Expenses  </t>
  </si>
  <si>
    <t xml:space="preserve">Maintenance Expenses  </t>
  </si>
  <si>
    <t xml:space="preserve">Distribution Expenses  </t>
  </si>
  <si>
    <t>TOTAL GENERAL &amp; ADMINISTRATIVE EXPENSES</t>
  </si>
  <si>
    <t>5681-Special Purposes Charge Expense</t>
  </si>
  <si>
    <t>5695 - OM&amp;A Contra Account</t>
  </si>
  <si>
    <t>Name of Company</t>
  </si>
  <si>
    <t>Service Offered</t>
  </si>
  <si>
    <t>Pricing Methodology</t>
  </si>
  <si>
    <t>From</t>
  </si>
  <si>
    <t>To</t>
  </si>
  <si>
    <t>LUSI</t>
  </si>
  <si>
    <t>LUI</t>
  </si>
  <si>
    <t>Corporate Administration</t>
  </si>
  <si>
    <t>COST BASED</t>
  </si>
  <si>
    <t>Finance Audit &amp; Consulting</t>
  </si>
  <si>
    <t>Water &amp; Sewer Billing Services</t>
  </si>
  <si>
    <t>MARKET</t>
  </si>
  <si>
    <t>Fibre Rental</t>
  </si>
  <si>
    <t>Management Fee</t>
  </si>
  <si>
    <t>Actual 2008</t>
  </si>
  <si>
    <t>Actual 2009</t>
  </si>
  <si>
    <t>Actual 2010</t>
  </si>
  <si>
    <t>Bridge 2011</t>
  </si>
  <si>
    <t>Directors Fees, Insurance,  Meeting  &amp; Admin Expense</t>
  </si>
  <si>
    <t>CNI</t>
  </si>
  <si>
    <t>Office Rental</t>
  </si>
  <si>
    <t>Total</t>
  </si>
  <si>
    <t>Pension Premium Information</t>
  </si>
  <si>
    <t>Omers Premium Paid</t>
  </si>
  <si>
    <t xml:space="preserve">2008 Actual </t>
  </si>
  <si>
    <t xml:space="preserve">2009 Actual </t>
  </si>
  <si>
    <t>Premiums &amp; Expenses Paid</t>
  </si>
  <si>
    <t>Change in Accrued Liability</t>
  </si>
  <si>
    <t>Total Post Employment Benefirt Expense</t>
  </si>
  <si>
    <t>Variance of 2008</t>
  </si>
  <si>
    <t>Expe</t>
  </si>
  <si>
    <t>nse Description</t>
  </si>
  <si>
    <t>Oper</t>
  </si>
  <si>
    <t>ations</t>
  </si>
  <si>
    <t>Sub-</t>
  </si>
  <si>
    <t>Main</t>
  </si>
  <si>
    <t>tenance</t>
  </si>
  <si>
    <t>Bill</t>
  </si>
  <si>
    <t>ing and Collections</t>
  </si>
  <si>
    <t>Comm</t>
  </si>
  <si>
    <t>unity Relations</t>
  </si>
  <si>
    <t>Admi</t>
  </si>
  <si>
    <t>nistrative and General Expenses</t>
  </si>
  <si>
    <t>Tota</t>
  </si>
  <si>
    <t>l Operating, Maintenance and Administration Expenses</t>
  </si>
  <si>
    <t>Taxe</t>
  </si>
  <si>
    <t>s Other Than Income Taxes</t>
  </si>
  <si>
    <t>Amor</t>
  </si>
  <si>
    <t>tization Expenses</t>
  </si>
  <si>
    <t>l Distribution Expense Before Income Taxes</t>
  </si>
  <si>
    <t>Vari</t>
  </si>
  <si>
    <t>ance Determined as 1% of Total Distribution Expense before Taxes</t>
  </si>
  <si>
    <t>Mate</t>
  </si>
  <si>
    <t>riality</t>
  </si>
  <si>
    <t>Transformer Station Equipment  Operation Labour</t>
  </si>
  <si>
    <t>Transformer Station Equipment  Operation Supplies and Expenses</t>
  </si>
  <si>
    <t>Distribution Station Equipment  Operation Labour</t>
  </si>
  <si>
    <t>Distribution Station Equipment  Operation Supplies and Expenses</t>
  </si>
  <si>
    <t>Overhead Distribution Lines and Feeders  Operation Labour</t>
  </si>
  <si>
    <t>Overhead Distribution Lines &amp; Feeders  Operation Supplies and Expenses</t>
  </si>
  <si>
    <t>Overhead Subtransmission Feeders  Operation</t>
  </si>
  <si>
    <t>Overhead Distribution Transformers Operation</t>
  </si>
  <si>
    <t>Underground Distribution Lines and Feeders  Operation Labour</t>
  </si>
  <si>
    <t>Underground Distribution Lines &amp; Feeders  Operation Supplies &amp; Expenses</t>
  </si>
  <si>
    <t>Underground Subtransmission Feeders  Operation</t>
  </si>
  <si>
    <t>Underground Distribution Transformers  Operation</t>
  </si>
  <si>
    <t>Customer Premises  Operation Labour</t>
  </si>
  <si>
    <t>Customer Premises  Materials and Expenses</t>
  </si>
  <si>
    <t>Underground Distribution Lines &amp; FeedersRental Paid</t>
  </si>
  <si>
    <t>Overhead Distribution Lines and Feeders  Rental Paid</t>
  </si>
  <si>
    <t>Collecting Cash Over and Short</t>
  </si>
  <si>
    <t>Community Relations  Sundry</t>
  </si>
  <si>
    <t>Adminsitrative Expense TransferredCredit</t>
  </si>
  <si>
    <t>Special Purposes Charge Expense</t>
  </si>
  <si>
    <t xml:space="preserve"> OM&amp;A Contra Account</t>
  </si>
  <si>
    <t>Capital</t>
  </si>
  <si>
    <t>Amortization Expense  Property, Plant, and Equipment</t>
  </si>
  <si>
    <t>2008 approved</t>
  </si>
  <si>
    <t>Test 2012</t>
  </si>
  <si>
    <t>G/L</t>
  </si>
  <si>
    <t>5605/5640.02.01.02</t>
  </si>
  <si>
    <t>5610.02.01.10</t>
  </si>
  <si>
    <t>I have taken Jan- June and Multiplied by 2</t>
  </si>
  <si>
    <t>Average</t>
  </si>
  <si>
    <t>CURRENT IN GL</t>
  </si>
  <si>
    <t>JAN2011-JUNE 2011</t>
  </si>
  <si>
    <t>Total OM&amp;A Expense</t>
  </si>
  <si>
    <t>OM&amp;A Cost per Customer</t>
  </si>
  <si>
    <t>Number of FTEs</t>
  </si>
  <si>
    <t>Number of Customer (Excluding Connections)</t>
  </si>
  <si>
    <t>Ongoing</t>
  </si>
  <si>
    <t>FTE/ Customer</t>
  </si>
  <si>
    <t>OM&amp;A Cost per FTE</t>
  </si>
  <si>
    <t>Sub Total - Ongoing Costs</t>
  </si>
  <si>
    <t>Sub Total - One Time Costs</t>
  </si>
  <si>
    <t xml:space="preserve">Total </t>
  </si>
  <si>
    <t>5655/5666</t>
  </si>
  <si>
    <t>One-Time/4</t>
  </si>
  <si>
    <t>USoA Account (B)</t>
  </si>
  <si>
    <t>2008 Actual         (D)</t>
  </si>
  <si>
    <t>Regulatory Cost Category                          (A)</t>
  </si>
  <si>
    <t>Ongoing or One Time Cost                     ( C)</t>
  </si>
  <si>
    <t xml:space="preserve"> 1. OEB Annual Assessment</t>
  </si>
  <si>
    <t>2. OEB Hearing Assessments</t>
  </si>
  <si>
    <t>3. OEB Section 30 Costs - (applicant initiated)</t>
  </si>
  <si>
    <t>4. Expert Witness Cost for Regulatory Matters</t>
  </si>
  <si>
    <t>5. Legal Costs for Regulatory Matters</t>
  </si>
  <si>
    <t>6. Consultant Costs for Regulatory Matters</t>
  </si>
  <si>
    <t>7. Operating Expenses Associated with Staff Resources Allocated to Regulatory Matters</t>
  </si>
  <si>
    <t>8. Operating Expenses Associated with Other Resources Allocated to Regulatory Matters</t>
  </si>
  <si>
    <t>9. Other Regulatory Agency Fees or Assessments</t>
  </si>
  <si>
    <t>10. Any other costs for Regulatory Matters</t>
  </si>
  <si>
    <t>11. Intervenor Costs</t>
  </si>
  <si>
    <t>Opening Balance</t>
  </si>
  <si>
    <t xml:space="preserve">2010 Actual </t>
  </si>
  <si>
    <t>Closing Balance</t>
  </si>
  <si>
    <t>?</t>
  </si>
  <si>
    <t>2009 Cost Drivers</t>
  </si>
  <si>
    <t>2010 Cost Drivers</t>
  </si>
  <si>
    <t>2011 Cost Drivers</t>
  </si>
  <si>
    <t>2012 Cost Drivers</t>
  </si>
  <si>
    <t>Cost Driver</t>
  </si>
  <si>
    <t>Distribution</t>
  </si>
  <si>
    <t>Tree Trimming</t>
  </si>
  <si>
    <t>Regulatory Fees</t>
  </si>
  <si>
    <t>2009 Actual           (E)</t>
  </si>
  <si>
    <t>2010 Actual           (F)</t>
  </si>
  <si>
    <t>2011 Bridge Year              (G)</t>
  </si>
  <si>
    <t>% Change in Bridge Year vs. Last Year of Actuals (H)=((G-F)/F)</t>
  </si>
  <si>
    <t>2012 Test Year Forecast         (I)</t>
  </si>
  <si>
    <t>% Change in Bridge vs Test Years            (J)=((I-G)/G)</t>
  </si>
  <si>
    <t>Consulting Regulatory Fees</t>
  </si>
  <si>
    <t>Legal Regulatory Fees</t>
  </si>
  <si>
    <t>2009 Cost Driver</t>
  </si>
  <si>
    <t>2010 Cost Driver</t>
  </si>
  <si>
    <t>2011 Cost Driver</t>
  </si>
  <si>
    <t>2012 Cost Driver</t>
  </si>
  <si>
    <t>Explanation</t>
  </si>
  <si>
    <t xml:space="preserve">Preventative Maintenance due to Asset protection plan in 2008 - Decreasing Cost Driver </t>
  </si>
  <si>
    <t>Labour decreased due to preventative maintenance</t>
  </si>
  <si>
    <t xml:space="preserve">Contract Tree Trimming - Cycle 4 years </t>
  </si>
  <si>
    <t>Increase is due to the implementing of meters, and maintenance</t>
  </si>
  <si>
    <t>Increases Onward due to decrease in economy, onward uncollectible revenue</t>
  </si>
  <si>
    <t>Meter Maintenance</t>
  </si>
  <si>
    <t>Aging Assets</t>
  </si>
  <si>
    <t>5610/5605/5615</t>
  </si>
  <si>
    <t>Comments</t>
  </si>
  <si>
    <t>Continuous hires of FTEs - Burden - Expense and Training</t>
  </si>
  <si>
    <t>Increase Demand on Regulatory</t>
  </si>
  <si>
    <t>Maintenance Plan Aging Assets - Storms?</t>
  </si>
  <si>
    <t>Cyclical  - Storms Growing etc.</t>
  </si>
  <si>
    <t>Meter Reading</t>
  </si>
  <si>
    <t>Implementing of Smart Meters - additional testing labour costs</t>
  </si>
  <si>
    <t>Third Party Services</t>
  </si>
  <si>
    <t>Increase in project results in the cost of 3rd party services to increase</t>
  </si>
  <si>
    <t>Over Head Distribution Labour</t>
  </si>
  <si>
    <t>No more Metering reading contract due to the Smart Meters</t>
  </si>
  <si>
    <t>Capital Maintenance</t>
  </si>
  <si>
    <t>Collections</t>
  </si>
  <si>
    <t>Sub Total Closing Balance</t>
  </si>
  <si>
    <t xml:space="preserve">Other Ad Hoc Increase/ Decrease </t>
  </si>
  <si>
    <t>2008 Actual vs. Approved</t>
  </si>
  <si>
    <t>2008 Apprvd Cost Driver</t>
  </si>
  <si>
    <t>% Blend</t>
  </si>
  <si>
    <t>2008 Apprvd</t>
  </si>
  <si>
    <t>FROM EXHIBIT 3 - C</t>
  </si>
  <si>
    <t>Inflation - 3%</t>
  </si>
  <si>
    <t>Inflation /  Decrease</t>
  </si>
  <si>
    <t>Non-Union Wage Adjustments</t>
  </si>
  <si>
    <t xml:space="preserve">manager </t>
  </si>
  <si>
    <t>Bad Debts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</si>
  <si>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</si>
  <si>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</si>
  <si>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</si>
  <si>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</si>
  <si>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</si>
  <si>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</si>
  <si>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</si>
  <si>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</si>
  <si>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</si>
  <si>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</si>
  <si>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</si>
  <si>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</si>
  <si>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</si>
  <si>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</si>
  <si>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Software Maintenance</t>
  </si>
  <si>
    <t>% Over Closing Balance</t>
  </si>
  <si>
    <t>Compound Annual Growth Rate from 2008 Approved</t>
  </si>
  <si>
    <t>Compound Annual Growth Rate from 2008 Actual</t>
  </si>
  <si>
    <t>OM&amp;A Contra Account</t>
  </si>
  <si>
    <t>Special Purpose Charge Expense</t>
  </si>
  <si>
    <t>2008 vs 2009</t>
  </si>
  <si>
    <t>2009 vs 2010</t>
  </si>
  <si>
    <t>2010vs 2011</t>
  </si>
  <si>
    <t>2011 vs 2012</t>
  </si>
  <si>
    <t>5640- Liability Insurance</t>
  </si>
  <si>
    <t>5640-Liability Insurance</t>
  </si>
  <si>
    <t>O</t>
  </si>
  <si>
    <t>2010 VS 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</si>
</sst>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;[Red]\(#,##0\)"/>
    <numFmt numFmtId="168" formatCode="_(* #,##0_);_(* \(#,##0\);_(* &quot;-&quot;??_);_(@_)"/>
    <numFmt numFmtId="169" formatCode="_-&quot;$&quot;* #,##0_-;\-&quot;$&quot;* #,##0_-;_-&quot;$&quot;* &quot;-&quot;??_-;_-@_-"/>
    <numFmt numFmtId="170" formatCode="0.0%"/>
    <numFmt numFmtId="171" formatCode="0.00000"/>
    <numFmt numFmtId="172" formatCode="_(&quot;$&quot;* #,##0_);_(&quot;$&quot;* \(#,##0\);_(&quot;$&quot;* &quot;-&quot;??_);_(@_)"/>
    <numFmt numFmtId="173" formatCode="&quot;$&quot;#,##0.00;[Red]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2.65"/>
      <color indexed="10"/>
      <name val="Verdana"/>
      <family val="2"/>
    </font>
    <font>
      <b/>
      <sz val="10.65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.65"/>
      <color indexed="8"/>
      <name val="Verdana"/>
      <family val="2"/>
    </font>
    <font>
      <sz val="10.55"/>
      <color indexed="8"/>
      <name val="Arial"/>
      <family val="2"/>
    </font>
    <font>
      <b/>
      <sz val="10.55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0.65"/>
      <color rgb="FF000000"/>
      <name val="Verdana"/>
      <family val="2"/>
    </font>
    <font>
      <sz val="10.65"/>
      <color rgb="FF000000"/>
      <name val="Verdan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.55"/>
      <color rgb="FF000000"/>
      <name val="Arial"/>
      <family val="2"/>
    </font>
    <font>
      <sz val="10.55"/>
      <color rgb="FF000000"/>
      <name val="Arial"/>
      <family val="2"/>
    </font>
    <font>
      <sz val="10"/>
      <color rgb="FF000000"/>
      <name val="Verdana"/>
      <family val="2"/>
    </font>
    <font>
      <b/>
      <sz val="12.65"/>
      <color rgb="FFCC0000"/>
      <name val="Verdan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ECE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dotted">
        <color rgb="FFE1E6E8"/>
      </right>
      <top/>
      <bottom style="medium">
        <color rgb="FF000000"/>
      </bottom>
    </border>
    <border>
      <left/>
      <right style="medium">
        <color rgb="FFE1E6E8"/>
      </right>
      <top/>
      <bottom style="dotted">
        <color rgb="FFE1E6E8"/>
      </bottom>
    </border>
    <border>
      <left/>
      <right style="dotted">
        <color rgb="FFE1E6E8"/>
      </right>
      <top/>
      <bottom style="dotted">
        <color rgb="FFE1E6E8"/>
      </bottom>
    </border>
    <border>
      <left/>
      <right/>
      <top style="thick">
        <color rgb="FF000000"/>
      </top>
      <bottom style="medium">
        <color rgb="FF000000"/>
      </bottom>
    </border>
    <border>
      <left/>
      <right/>
      <top/>
      <bottom style="dotted">
        <color rgb="FFE1E6E8"/>
      </bottom>
    </border>
    <border>
      <left/>
      <right style="medium"/>
      <top/>
      <bottom style="medium"/>
    </border>
    <border>
      <left style="thin"/>
      <right style="thin"/>
      <top style="thin"/>
      <bottom style="double"/>
    </border>
    <border>
      <left/>
      <right/>
      <top style="dotted">
        <color rgb="FFE1E6E8"/>
      </top>
      <bottom style="dotted">
        <color rgb="FFE1E6E8"/>
      </bottom>
    </border>
    <border>
      <left/>
      <right/>
      <top style="dotted">
        <color rgb="FFE1E6E8"/>
      </top>
      <bottom/>
    </border>
    <border>
      <left/>
      <right/>
      <top/>
      <bottom style="thick">
        <color rgb="FF000000"/>
      </bottom>
    </border>
    <border>
      <left style="dotted">
        <color rgb="FFE1E6E8"/>
      </left>
      <right/>
      <top style="dotted">
        <color rgb="FFE1E6E8"/>
      </top>
      <bottom style="medium">
        <color rgb="FF000000"/>
      </bottom>
    </border>
    <border>
      <left/>
      <right/>
      <top style="dotted">
        <color rgb="FFE1E6E8"/>
      </top>
      <bottom style="medium">
        <color rgb="FF000000"/>
      </bottom>
    </border>
    <border>
      <left style="dotted">
        <color rgb="FFE1E6E8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6">
    <xf numFmtId="0" fontId="0" fillId="0" borderId="0" xfId="0" applyFont="1" applyAlignment="1">
      <alignment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38" fontId="3" fillId="0" borderId="0" xfId="57" applyNumberFormat="1" applyFont="1" applyAlignment="1">
      <alignment vertical="center"/>
      <protection/>
    </xf>
    <xf numFmtId="0" fontId="4" fillId="33" borderId="0" xfId="57" applyFont="1" applyFill="1" applyBorder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67" fontId="3" fillId="33" borderId="0" xfId="57" applyNumberFormat="1" applyFont="1" applyFill="1" applyAlignment="1">
      <alignment vertical="center"/>
      <protection/>
    </xf>
    <xf numFmtId="38" fontId="3" fillId="0" borderId="0" xfId="57" applyNumberFormat="1" applyFont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67" fontId="4" fillId="33" borderId="10" xfId="57" applyNumberFormat="1" applyFont="1" applyFill="1" applyBorder="1" applyAlignment="1">
      <alignment horizontal="center" vertical="center" wrapText="1"/>
      <protection/>
    </xf>
    <xf numFmtId="38" fontId="4" fillId="0" borderId="10" xfId="57" applyNumberFormat="1" applyFont="1" applyFill="1" applyBorder="1" applyAlignment="1">
      <alignment horizontal="center" vertical="center" wrapText="1"/>
      <protection/>
    </xf>
    <xf numFmtId="38" fontId="3" fillId="0" borderId="0" xfId="57" applyNumberFormat="1" applyFont="1" applyFill="1" applyBorder="1" applyAlignment="1">
      <alignment vertical="center" wrapText="1"/>
      <protection/>
    </xf>
    <xf numFmtId="0" fontId="4" fillId="0" borderId="0" xfId="57" applyFont="1" applyFill="1" applyAlignment="1">
      <alignment vertical="center"/>
      <protection/>
    </xf>
    <xf numFmtId="38" fontId="3" fillId="0" borderId="0" xfId="57" applyNumberFormat="1" applyFont="1" applyFill="1" applyAlignment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38" fontId="3" fillId="12" borderId="10" xfId="57" applyNumberFormat="1" applyFont="1" applyFill="1" applyBorder="1" applyAlignment="1">
      <alignment horizontal="center" vertical="center"/>
      <protection/>
    </xf>
    <xf numFmtId="38" fontId="3" fillId="0" borderId="0" xfId="44" applyNumberFormat="1" applyFont="1" applyFill="1" applyAlignment="1">
      <alignment vertical="center"/>
    </xf>
    <xf numFmtId="38" fontId="3" fillId="0" borderId="10" xfId="57" applyNumberFormat="1" applyFont="1" applyBorder="1" applyAlignment="1">
      <alignment horizontal="center" vertical="center"/>
      <protection/>
    </xf>
    <xf numFmtId="0" fontId="5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vertical="center"/>
      <protection/>
    </xf>
    <xf numFmtId="168" fontId="3" fillId="0" borderId="0" xfId="42" applyNumberFormat="1" applyFont="1" applyBorder="1" applyAlignment="1">
      <alignment vertical="center"/>
    </xf>
    <xf numFmtId="9" fontId="3" fillId="0" borderId="0" xfId="60" applyFont="1" applyBorder="1" applyAlignment="1">
      <alignment horizontal="center" vertical="center"/>
    </xf>
    <xf numFmtId="168" fontId="4" fillId="0" borderId="11" xfId="42" applyNumberFormat="1" applyFont="1" applyBorder="1" applyAlignment="1">
      <alignment vertical="center"/>
    </xf>
    <xf numFmtId="9" fontId="4" fillId="0" borderId="11" xfId="60" applyFont="1" applyBorder="1" applyAlignment="1">
      <alignment horizontal="center" vertical="center"/>
    </xf>
    <xf numFmtId="0" fontId="3" fillId="0" borderId="0" xfId="57" applyFont="1" applyBorder="1" applyAlignment="1">
      <alignment horizontal="center" vertical="center"/>
      <protection/>
    </xf>
    <xf numFmtId="0" fontId="4" fillId="0" borderId="10" xfId="57" applyFont="1" applyFill="1" applyBorder="1" applyAlignment="1" applyProtection="1">
      <alignment horizontal="left" vertical="center"/>
      <protection/>
    </xf>
    <xf numFmtId="3" fontId="3" fillId="0" borderId="0" xfId="57" applyNumberFormat="1" applyFont="1" applyAlignment="1">
      <alignment vertical="center"/>
      <protection/>
    </xf>
    <xf numFmtId="0" fontId="4" fillId="0" borderId="0" xfId="57" applyFont="1" applyFill="1" applyAlignment="1">
      <alignment horizontal="center" vertical="center"/>
      <protection/>
    </xf>
    <xf numFmtId="167" fontId="4" fillId="33" borderId="10" xfId="44" applyNumberFormat="1" applyFont="1" applyFill="1" applyBorder="1" applyAlignment="1">
      <alignment horizontal="center" vertical="center"/>
    </xf>
    <xf numFmtId="38" fontId="4" fillId="0" borderId="10" xfId="44" applyNumberFormat="1" applyFont="1" applyFill="1" applyBorder="1" applyAlignment="1">
      <alignment horizontal="center" vertical="center"/>
    </xf>
    <xf numFmtId="167" fontId="3" fillId="33" borderId="0" xfId="44" applyNumberFormat="1" applyFont="1" applyFill="1" applyAlignment="1">
      <alignment vertical="center"/>
    </xf>
    <xf numFmtId="167" fontId="3" fillId="33" borderId="12" xfId="44" applyNumberFormat="1" applyFont="1" applyFill="1" applyBorder="1" applyAlignment="1">
      <alignment horizontal="center" vertical="center"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9" fontId="3" fillId="0" borderId="0" xfId="60" applyFont="1" applyFill="1" applyBorder="1" applyAlignment="1">
      <alignment horizontal="center" vertical="center"/>
    </xf>
    <xf numFmtId="2" fontId="3" fillId="0" borderId="0" xfId="57" applyNumberFormat="1" applyFont="1" applyBorder="1" applyAlignment="1">
      <alignment vertical="center"/>
      <protection/>
    </xf>
    <xf numFmtId="0" fontId="4" fillId="0" borderId="0" xfId="57" applyFont="1" applyBorder="1" applyAlignment="1">
      <alignment horizontal="center" vertical="center"/>
      <protection/>
    </xf>
    <xf numFmtId="9" fontId="4" fillId="0" borderId="11" xfId="60" applyFont="1" applyFill="1" applyBorder="1" applyAlignment="1">
      <alignment horizontal="center" vertical="center"/>
    </xf>
    <xf numFmtId="9" fontId="3" fillId="0" borderId="0" xfId="60" applyNumberFormat="1" applyFont="1" applyBorder="1" applyAlignment="1">
      <alignment horizontal="center" vertical="center"/>
    </xf>
    <xf numFmtId="10" fontId="3" fillId="0" borderId="0" xfId="60" applyNumberFormat="1" applyFont="1" applyBorder="1" applyAlignment="1">
      <alignment vertical="center"/>
    </xf>
    <xf numFmtId="3" fontId="3" fillId="0" borderId="0" xfId="57" applyNumberFormat="1" applyFont="1" applyAlignment="1">
      <alignment horizontal="center" vertical="center"/>
      <protection/>
    </xf>
    <xf numFmtId="167" fontId="4" fillId="33" borderId="13" xfId="44" applyNumberFormat="1" applyFont="1" applyFill="1" applyBorder="1" applyAlignment="1">
      <alignment horizontal="center" vertical="center"/>
    </xf>
    <xf numFmtId="38" fontId="3" fillId="0" borderId="0" xfId="44" applyNumberFormat="1" applyFont="1" applyFill="1" applyBorder="1" applyAlignment="1">
      <alignment vertical="center"/>
    </xf>
    <xf numFmtId="38" fontId="3" fillId="0" borderId="14" xfId="44" applyNumberFormat="1" applyFont="1" applyFill="1" applyBorder="1" applyAlignment="1">
      <alignment vertical="center"/>
    </xf>
    <xf numFmtId="167" fontId="4" fillId="33" borderId="0" xfId="44" applyNumberFormat="1" applyFont="1" applyFill="1" applyBorder="1" applyAlignment="1">
      <alignment horizontal="center" vertical="center"/>
    </xf>
    <xf numFmtId="38" fontId="4" fillId="0" borderId="0" xfId="44" applyNumberFormat="1" applyFont="1" applyFill="1" applyBorder="1" applyAlignment="1">
      <alignment horizontal="center" vertical="center"/>
    </xf>
    <xf numFmtId="167" fontId="3" fillId="33" borderId="0" xfId="44" applyNumberFormat="1" applyFont="1" applyFill="1" applyAlignment="1">
      <alignment horizontal="left" vertical="center"/>
    </xf>
    <xf numFmtId="38" fontId="3" fillId="0" borderId="0" xfId="44" applyNumberFormat="1" applyFont="1" applyFill="1" applyAlignment="1">
      <alignment horizontal="left" vertical="center"/>
    </xf>
    <xf numFmtId="0" fontId="3" fillId="0" borderId="0" xfId="57" applyFont="1" applyFill="1" applyAlignment="1">
      <alignment horizontal="left" vertical="center"/>
      <protection/>
    </xf>
    <xf numFmtId="38" fontId="3" fillId="0" borderId="10" xfId="44" applyNumberFormat="1" applyFont="1" applyFill="1" applyBorder="1" applyAlignment="1">
      <alignment horizontal="center" vertical="center"/>
    </xf>
    <xf numFmtId="168" fontId="3" fillId="13" borderId="0" xfId="42" applyNumberFormat="1" applyFont="1" applyFill="1" applyBorder="1" applyAlignment="1">
      <alignment vertical="center"/>
    </xf>
    <xf numFmtId="167" fontId="4" fillId="0" borderId="0" xfId="44" applyNumberFormat="1" applyFont="1" applyFill="1" applyBorder="1" applyAlignment="1">
      <alignment horizontal="center" vertical="center"/>
    </xf>
    <xf numFmtId="167" fontId="3" fillId="0" borderId="0" xfId="44" applyNumberFormat="1" applyFont="1" applyFill="1" applyAlignment="1">
      <alignment horizontal="left" vertical="center"/>
    </xf>
    <xf numFmtId="167" fontId="3" fillId="0" borderId="0" xfId="44" applyNumberFormat="1" applyFont="1" applyFill="1" applyAlignment="1">
      <alignment vertical="center"/>
    </xf>
    <xf numFmtId="167" fontId="3" fillId="0" borderId="0" xfId="57" applyNumberFormat="1" applyFont="1" applyFill="1" applyAlignment="1">
      <alignment vertical="center"/>
      <protection/>
    </xf>
    <xf numFmtId="9" fontId="4" fillId="0" borderId="11" xfId="60" applyNumberFormat="1" applyFont="1" applyBorder="1" applyAlignment="1">
      <alignment horizontal="center" vertical="center"/>
    </xf>
    <xf numFmtId="38" fontId="3" fillId="0" borderId="15" xfId="57" applyNumberFormat="1" applyFont="1" applyBorder="1" applyAlignment="1">
      <alignment horizontal="center" vertical="center"/>
      <protection/>
    </xf>
    <xf numFmtId="38" fontId="4" fillId="0" borderId="13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167" fontId="4" fillId="0" borderId="0" xfId="57" applyNumberFormat="1" applyFont="1" applyFill="1" applyBorder="1" applyAlignment="1">
      <alignment horizontal="center" vertical="center" wrapText="1"/>
      <protection/>
    </xf>
    <xf numFmtId="38" fontId="3" fillId="0" borderId="0" xfId="57" applyNumberFormat="1" applyFont="1" applyFill="1" applyBorder="1" applyAlignment="1">
      <alignment horizontal="center" vertical="center"/>
      <protection/>
    </xf>
    <xf numFmtId="38" fontId="3" fillId="0" borderId="0" xfId="57" applyNumberFormat="1" applyFont="1" applyFill="1" applyBorder="1" applyAlignment="1">
      <alignment vertical="center"/>
      <protection/>
    </xf>
    <xf numFmtId="0" fontId="3" fillId="34" borderId="0" xfId="57" applyFont="1" applyFill="1" applyBorder="1" applyAlignment="1">
      <alignment vertical="center"/>
      <protection/>
    </xf>
    <xf numFmtId="167" fontId="3" fillId="33" borderId="13" xfId="44" applyNumberFormat="1" applyFont="1" applyFill="1" applyBorder="1" applyAlignment="1">
      <alignment horizontal="center" vertical="center"/>
    </xf>
    <xf numFmtId="38" fontId="3" fillId="12" borderId="12" xfId="57" applyNumberFormat="1" applyFont="1" applyFill="1" applyBorder="1" applyAlignment="1">
      <alignment horizontal="center" vertical="center"/>
      <protection/>
    </xf>
    <xf numFmtId="38" fontId="3" fillId="12" borderId="13" xfId="57" applyNumberFormat="1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vertical="center"/>
      <protection/>
    </xf>
    <xf numFmtId="38" fontId="3" fillId="0" borderId="10" xfId="57" applyNumberFormat="1" applyFont="1" applyBorder="1" applyAlignment="1">
      <alignment vertical="center"/>
      <protection/>
    </xf>
    <xf numFmtId="9" fontId="3" fillId="0" borderId="10" xfId="60" applyNumberFormat="1" applyFont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 wrapText="1"/>
      <protection/>
    </xf>
    <xf numFmtId="9" fontId="4" fillId="0" borderId="10" xfId="60" applyNumberFormat="1" applyFont="1" applyBorder="1" applyAlignment="1">
      <alignment horizontal="center" vertical="center"/>
    </xf>
    <xf numFmtId="38" fontId="4" fillId="0" borderId="13" xfId="44" applyNumberFormat="1" applyFont="1" applyFill="1" applyBorder="1" applyAlignment="1">
      <alignment horizontal="center" vertical="center"/>
    </xf>
    <xf numFmtId="38" fontId="4" fillId="0" borderId="10" xfId="57" applyNumberFormat="1" applyFont="1" applyBorder="1" applyAlignment="1">
      <alignment vertical="center"/>
      <protection/>
    </xf>
    <xf numFmtId="38" fontId="3" fillId="0" borderId="0" xfId="44" applyNumberFormat="1" applyFont="1" applyFill="1" applyAlignment="1">
      <alignment horizontal="center" vertical="center"/>
    </xf>
    <xf numFmtId="38" fontId="3" fillId="0" borderId="0" xfId="57" applyNumberFormat="1" applyFont="1" applyBorder="1" applyAlignment="1">
      <alignment vertical="center"/>
      <protection/>
    </xf>
    <xf numFmtId="38" fontId="3" fillId="0" borderId="0" xfId="44" applyNumberFormat="1" applyFont="1" applyFill="1" applyBorder="1" applyAlignment="1">
      <alignment horizontal="left" vertical="center"/>
    </xf>
    <xf numFmtId="0" fontId="4" fillId="0" borderId="0" xfId="57" applyFont="1" applyFill="1" applyBorder="1" applyAlignment="1">
      <alignment horizontal="left" vertical="center"/>
      <protection/>
    </xf>
    <xf numFmtId="167" fontId="3" fillId="0" borderId="0" xfId="44" applyNumberFormat="1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vertical="center"/>
      <protection/>
    </xf>
    <xf numFmtId="167" fontId="3" fillId="0" borderId="0" xfId="44" applyNumberFormat="1" applyFont="1" applyFill="1" applyBorder="1" applyAlignment="1">
      <alignment vertical="center"/>
    </xf>
    <xf numFmtId="38" fontId="3" fillId="0" borderId="0" xfId="44" applyNumberFormat="1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left" vertical="center"/>
      <protection/>
    </xf>
    <xf numFmtId="167" fontId="3" fillId="0" borderId="0" xfId="57" applyNumberFormat="1" applyFont="1" applyFill="1" applyBorder="1" applyAlignment="1">
      <alignment vertical="center"/>
      <protection/>
    </xf>
    <xf numFmtId="0" fontId="3" fillId="34" borderId="17" xfId="57" applyFont="1" applyFill="1" applyBorder="1" applyAlignment="1">
      <alignment vertical="center"/>
      <protection/>
    </xf>
    <xf numFmtId="38" fontId="3" fillId="0" borderId="18" xfId="57" applyNumberFormat="1" applyFont="1" applyFill="1" applyBorder="1" applyAlignment="1">
      <alignment vertical="center"/>
      <protection/>
    </xf>
    <xf numFmtId="38" fontId="3" fillId="0" borderId="19" xfId="44" applyNumberFormat="1" applyFont="1" applyFill="1" applyBorder="1" applyAlignment="1">
      <alignment vertical="center"/>
    </xf>
    <xf numFmtId="38" fontId="4" fillId="0" borderId="20" xfId="44" applyNumberFormat="1" applyFont="1" applyFill="1" applyBorder="1" applyAlignment="1">
      <alignment horizontal="center" vertical="center"/>
    </xf>
    <xf numFmtId="38" fontId="4" fillId="0" borderId="0" xfId="44" applyNumberFormat="1" applyFont="1" applyFill="1" applyAlignment="1">
      <alignment vertical="center"/>
    </xf>
    <xf numFmtId="38" fontId="4" fillId="0" borderId="0" xfId="57" applyNumberFormat="1" applyFont="1" applyFill="1" applyAlignment="1">
      <alignment vertical="center"/>
      <protection/>
    </xf>
    <xf numFmtId="0" fontId="4" fillId="34" borderId="17" xfId="57" applyFont="1" applyFill="1" applyBorder="1" applyAlignment="1">
      <alignment vertical="center"/>
      <protection/>
    </xf>
    <xf numFmtId="38" fontId="4" fillId="0" borderId="0" xfId="57" applyNumberFormat="1" applyFont="1" applyAlignment="1">
      <alignment horizontal="center" vertical="center"/>
      <protection/>
    </xf>
    <xf numFmtId="38" fontId="4" fillId="0" borderId="0" xfId="57" applyNumberFormat="1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0" borderId="10" xfId="0" applyBorder="1" applyAlignment="1">
      <alignment/>
    </xf>
    <xf numFmtId="9" fontId="0" fillId="0" borderId="0" xfId="60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60" applyFont="1" applyAlignment="1">
      <alignment horizontal="center"/>
    </xf>
    <xf numFmtId="170" fontId="0" fillId="0" borderId="0" xfId="60" applyNumberFormat="1" applyFont="1" applyAlignment="1">
      <alignment horizontal="center"/>
    </xf>
    <xf numFmtId="9" fontId="0" fillId="0" borderId="10" xfId="60" applyFont="1" applyFill="1" applyBorder="1" applyAlignment="1">
      <alignment horizontal="center"/>
    </xf>
    <xf numFmtId="170" fontId="0" fillId="0" borderId="10" xfId="60" applyNumberFormat="1" applyFont="1" applyFill="1" applyBorder="1" applyAlignment="1">
      <alignment horizontal="center"/>
    </xf>
    <xf numFmtId="10" fontId="0" fillId="0" borderId="10" xfId="60" applyNumberFormat="1" applyFont="1" applyFill="1" applyBorder="1" applyAlignment="1">
      <alignment horizontal="center"/>
    </xf>
    <xf numFmtId="0" fontId="52" fillId="35" borderId="21" xfId="0" applyFont="1" applyFill="1" applyBorder="1" applyAlignment="1">
      <alignment horizontal="right" wrapText="1"/>
    </xf>
    <xf numFmtId="0" fontId="53" fillId="35" borderId="22" xfId="0" applyFont="1" applyFill="1" applyBorder="1" applyAlignment="1">
      <alignment horizontal="left" vertical="top" wrapText="1"/>
    </xf>
    <xf numFmtId="0" fontId="52" fillId="35" borderId="23" xfId="0" applyFont="1" applyFill="1" applyBorder="1" applyAlignment="1">
      <alignment horizontal="right" wrapText="1"/>
    </xf>
    <xf numFmtId="0" fontId="54" fillId="35" borderId="22" xfId="0" applyFont="1" applyFill="1" applyBorder="1" applyAlignment="1">
      <alignment horizontal="right" wrapText="1"/>
    </xf>
    <xf numFmtId="0" fontId="52" fillId="35" borderId="22" xfId="0" applyFont="1" applyFill="1" applyBorder="1" applyAlignment="1">
      <alignment horizontal="left" vertical="top" wrapText="1"/>
    </xf>
    <xf numFmtId="0" fontId="55" fillId="35" borderId="22" xfId="0" applyFont="1" applyFill="1" applyBorder="1" applyAlignment="1">
      <alignment horizontal="right" wrapText="1"/>
    </xf>
    <xf numFmtId="0" fontId="54" fillId="35" borderId="24" xfId="0" applyFont="1" applyFill="1" applyBorder="1" applyAlignment="1">
      <alignment horizontal="right" vertical="top" wrapText="1"/>
    </xf>
    <xf numFmtId="0" fontId="52" fillId="35" borderId="25" xfId="0" applyFont="1" applyFill="1" applyBorder="1" applyAlignment="1">
      <alignment horizontal="right" wrapText="1"/>
    </xf>
    <xf numFmtId="0" fontId="54" fillId="35" borderId="25" xfId="0" applyFont="1" applyFill="1" applyBorder="1" applyAlignment="1">
      <alignment horizontal="right" wrapText="1"/>
    </xf>
    <xf numFmtId="0" fontId="55" fillId="35" borderId="25" xfId="0" applyFont="1" applyFill="1" applyBorder="1" applyAlignment="1">
      <alignment horizontal="right" wrapText="1"/>
    </xf>
    <xf numFmtId="0" fontId="50" fillId="0" borderId="0" xfId="0" applyFont="1" applyAlignment="1">
      <alignment horizontal="center" vertical="center" wrapText="1"/>
    </xf>
    <xf numFmtId="0" fontId="44" fillId="0" borderId="0" xfId="53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164" fontId="0" fillId="0" borderId="10" xfId="0" applyNumberFormat="1" applyBorder="1" applyAlignment="1">
      <alignment/>
    </xf>
    <xf numFmtId="170" fontId="0" fillId="0" borderId="0" xfId="60" applyNumberFormat="1" applyFont="1" applyAlignment="1">
      <alignment/>
    </xf>
    <xf numFmtId="9" fontId="0" fillId="0" borderId="10" xfId="60" applyFont="1" applyBorder="1" applyAlignment="1">
      <alignment/>
    </xf>
    <xf numFmtId="164" fontId="0" fillId="0" borderId="10" xfId="0" applyNumberFormat="1" applyFill="1" applyBorder="1" applyAlignment="1">
      <alignment/>
    </xf>
    <xf numFmtId="170" fontId="0" fillId="0" borderId="10" xfId="6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9" fontId="3" fillId="0" borderId="10" xfId="45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169" fontId="4" fillId="0" borderId="10" xfId="4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12" borderId="0" xfId="0" applyFill="1" applyAlignment="1">
      <alignment/>
    </xf>
    <xf numFmtId="170" fontId="50" fillId="0" borderId="10" xfId="60" applyNumberFormat="1" applyFont="1" applyFill="1" applyBorder="1" applyAlignment="1">
      <alignment/>
    </xf>
    <xf numFmtId="9" fontId="0" fillId="0" borderId="10" xfId="60" applyFont="1" applyFill="1" applyBorder="1" applyAlignment="1">
      <alignment/>
    </xf>
    <xf numFmtId="164" fontId="56" fillId="0" borderId="26" xfId="0" applyNumberFormat="1" applyFont="1" applyBorder="1" applyAlignment="1">
      <alignment horizontal="center"/>
    </xf>
    <xf numFmtId="167" fontId="3" fillId="0" borderId="10" xfId="44" applyNumberFormat="1" applyFont="1" applyFill="1" applyBorder="1" applyAlignment="1">
      <alignment horizontal="center" vertical="center"/>
    </xf>
    <xf numFmtId="167" fontId="4" fillId="0" borderId="10" xfId="44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50" fillId="0" borderId="15" xfId="0" applyFont="1" applyBorder="1" applyAlignment="1">
      <alignment horizontal="center" vertical="center"/>
    </xf>
    <xf numFmtId="165" fontId="0" fillId="0" borderId="0" xfId="45" applyFont="1" applyAlignment="1">
      <alignment/>
    </xf>
    <xf numFmtId="4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top" wrapText="1"/>
      <protection/>
    </xf>
    <xf numFmtId="0" fontId="4" fillId="0" borderId="10" xfId="57" applyFont="1" applyBorder="1" applyAlignment="1">
      <alignment vertical="center"/>
      <protection/>
    </xf>
    <xf numFmtId="168" fontId="3" fillId="0" borderId="10" xfId="42" applyNumberFormat="1" applyFont="1" applyBorder="1" applyAlignment="1">
      <alignment vertical="center"/>
    </xf>
    <xf numFmtId="9" fontId="3" fillId="0" borderId="10" xfId="60" applyFont="1" applyBorder="1" applyAlignment="1">
      <alignment horizontal="center" vertical="center"/>
    </xf>
    <xf numFmtId="168" fontId="4" fillId="0" borderId="10" xfId="42" applyNumberFormat="1" applyFont="1" applyBorder="1" applyAlignment="1">
      <alignment vertical="center"/>
    </xf>
    <xf numFmtId="9" fontId="3" fillId="0" borderId="0" xfId="6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38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38" fontId="4" fillId="0" borderId="10" xfId="44" applyNumberFormat="1" applyFont="1" applyFill="1" applyBorder="1" applyAlignment="1">
      <alignment vertical="center"/>
    </xf>
    <xf numFmtId="38" fontId="3" fillId="0" borderId="13" xfId="57" applyNumberFormat="1" applyFont="1" applyFill="1" applyBorder="1" applyAlignment="1">
      <alignment vertical="center"/>
      <protection/>
    </xf>
    <xf numFmtId="38" fontId="3" fillId="0" borderId="10" xfId="57" applyNumberFormat="1" applyFont="1" applyFill="1" applyBorder="1" applyAlignment="1">
      <alignment horizontal="center" vertical="center"/>
      <protection/>
    </xf>
    <xf numFmtId="38" fontId="3" fillId="0" borderId="0" xfId="57" applyNumberFormat="1" applyFont="1" applyFill="1" applyAlignment="1">
      <alignment horizontal="center" vertical="center"/>
      <protection/>
    </xf>
    <xf numFmtId="168" fontId="3" fillId="0" borderId="10" xfId="42" applyNumberFormat="1" applyFont="1" applyFill="1" applyBorder="1" applyAlignment="1">
      <alignment vertical="center"/>
    </xf>
    <xf numFmtId="9" fontId="4" fillId="0" borderId="0" xfId="60" applyFont="1" applyFill="1" applyBorder="1" applyAlignment="1">
      <alignment horizontal="center" vertical="center"/>
    </xf>
    <xf numFmtId="38" fontId="4" fillId="0" borderId="10" xfId="57" applyNumberFormat="1" applyFont="1" applyFill="1" applyBorder="1" applyAlignment="1">
      <alignment vertical="center"/>
      <protection/>
    </xf>
    <xf numFmtId="169" fontId="0" fillId="0" borderId="10" xfId="45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3" fillId="0" borderId="10" xfId="60" applyFont="1" applyFill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165" fontId="0" fillId="0" borderId="10" xfId="45" applyFont="1" applyBorder="1" applyAlignment="1">
      <alignment/>
    </xf>
    <xf numFmtId="2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44" fontId="0" fillId="0" borderId="10" xfId="45" applyNumberFormat="1" applyFont="1" applyBorder="1" applyAlignment="1">
      <alignment/>
    </xf>
    <xf numFmtId="0" fontId="0" fillId="0" borderId="0" xfId="0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3" fillId="0" borderId="0" xfId="57" applyFont="1" applyFill="1" applyAlignment="1">
      <alignment horizontal="left" vertical="center"/>
      <protection/>
    </xf>
    <xf numFmtId="167" fontId="4" fillId="0" borderId="10" xfId="57" applyNumberFormat="1" applyFont="1" applyFill="1" applyBorder="1" applyAlignment="1">
      <alignment horizontal="center" vertical="center" wrapText="1"/>
      <protection/>
    </xf>
    <xf numFmtId="38" fontId="3" fillId="0" borderId="17" xfId="57" applyNumberFormat="1" applyFont="1" applyFill="1" applyBorder="1" applyAlignment="1">
      <alignment horizontal="center" vertical="center"/>
      <protection/>
    </xf>
    <xf numFmtId="167" fontId="3" fillId="0" borderId="12" xfId="44" applyNumberFormat="1" applyFont="1" applyFill="1" applyBorder="1" applyAlignment="1">
      <alignment horizontal="center" vertical="center"/>
    </xf>
    <xf numFmtId="167" fontId="4" fillId="0" borderId="13" xfId="44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9" fontId="3" fillId="0" borderId="0" xfId="60" applyFont="1" applyFill="1" applyBorder="1" applyAlignment="1">
      <alignment vertical="center"/>
    </xf>
    <xf numFmtId="9" fontId="4" fillId="0" borderId="10" xfId="60" applyFont="1" applyFill="1" applyBorder="1" applyAlignment="1">
      <alignment vertical="center"/>
    </xf>
    <xf numFmtId="0" fontId="3" fillId="0" borderId="13" xfId="57" applyFont="1" applyFill="1" applyBorder="1" applyAlignment="1">
      <alignment vertical="center"/>
      <protection/>
    </xf>
    <xf numFmtId="38" fontId="4" fillId="0" borderId="13" xfId="57" applyNumberFormat="1" applyFont="1" applyFill="1" applyBorder="1" applyAlignment="1">
      <alignment vertical="center"/>
      <protection/>
    </xf>
    <xf numFmtId="9" fontId="3" fillId="0" borderId="0" xfId="60" applyFont="1" applyFill="1" applyAlignment="1">
      <alignment vertical="center"/>
    </xf>
    <xf numFmtId="0" fontId="5" fillId="0" borderId="0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9" fontId="3" fillId="0" borderId="10" xfId="60" applyFont="1" applyFill="1" applyBorder="1" applyAlignment="1">
      <alignment horizontal="center" vertical="center"/>
    </xf>
    <xf numFmtId="0" fontId="4" fillId="0" borderId="27" xfId="57" applyFont="1" applyFill="1" applyBorder="1" applyAlignment="1">
      <alignment vertical="center"/>
      <protection/>
    </xf>
    <xf numFmtId="168" fontId="4" fillId="0" borderId="27" xfId="42" applyNumberFormat="1" applyFont="1" applyFill="1" applyBorder="1" applyAlignment="1">
      <alignment vertical="center"/>
    </xf>
    <xf numFmtId="9" fontId="4" fillId="0" borderId="27" xfId="6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top" wrapText="1"/>
      <protection/>
    </xf>
    <xf numFmtId="168" fontId="3" fillId="0" borderId="0" xfId="42" applyNumberFormat="1" applyFont="1" applyFill="1" applyBorder="1" applyAlignment="1">
      <alignment vertical="center"/>
    </xf>
    <xf numFmtId="168" fontId="4" fillId="0" borderId="0" xfId="42" applyNumberFormat="1" applyFont="1" applyFill="1" applyBorder="1" applyAlignment="1">
      <alignment vertical="center"/>
    </xf>
    <xf numFmtId="9" fontId="4" fillId="0" borderId="0" xfId="60" applyNumberFormat="1" applyFont="1" applyFill="1" applyBorder="1" applyAlignment="1">
      <alignment horizontal="center" vertical="center"/>
    </xf>
    <xf numFmtId="3" fontId="3" fillId="0" borderId="0" xfId="57" applyNumberFormat="1" applyFont="1" applyFill="1" applyAlignment="1">
      <alignment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2" fontId="3" fillId="0" borderId="0" xfId="57" applyNumberFormat="1" applyFont="1" applyFill="1" applyBorder="1" applyAlignment="1">
      <alignment vertical="center"/>
      <protection/>
    </xf>
    <xf numFmtId="9" fontId="3" fillId="0" borderId="0" xfId="60" applyNumberFormat="1" applyFont="1" applyFill="1" applyBorder="1" applyAlignment="1">
      <alignment horizontal="center" vertical="center"/>
    </xf>
    <xf numFmtId="10" fontId="3" fillId="0" borderId="0" xfId="60" applyNumberFormat="1" applyFont="1" applyFill="1" applyBorder="1" applyAlignment="1">
      <alignment vertical="center"/>
    </xf>
    <xf numFmtId="3" fontId="3" fillId="0" borderId="0" xfId="57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169" fontId="0" fillId="34" borderId="10" xfId="45" applyNumberFormat="1" applyFont="1" applyFill="1" applyBorder="1" applyAlignment="1">
      <alignment/>
    </xf>
    <xf numFmtId="9" fontId="0" fillId="34" borderId="10" xfId="60" applyFont="1" applyFill="1" applyBorder="1" applyAlignment="1">
      <alignment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/>
    </xf>
    <xf numFmtId="165" fontId="50" fillId="34" borderId="10" xfId="45" applyFont="1" applyFill="1" applyBorder="1" applyAlignment="1">
      <alignment/>
    </xf>
    <xf numFmtId="9" fontId="50" fillId="34" borderId="10" xfId="6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0" fillId="33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38" fontId="3" fillId="33" borderId="0" xfId="44" applyNumberFormat="1" applyFont="1" applyFill="1" applyAlignment="1">
      <alignment vertical="center"/>
    </xf>
    <xf numFmtId="38" fontId="4" fillId="33" borderId="0" xfId="57" applyNumberFormat="1" applyFont="1" applyFill="1" applyBorder="1" applyAlignment="1">
      <alignment vertical="center" wrapText="1"/>
      <protection/>
    </xf>
    <xf numFmtId="38" fontId="4" fillId="33" borderId="0" xfId="44" applyNumberFormat="1" applyFont="1" applyFill="1" applyAlignment="1">
      <alignment vertical="center"/>
    </xf>
    <xf numFmtId="38" fontId="4" fillId="0" borderId="0" xfId="57" applyNumberFormat="1" applyFont="1" applyFill="1" applyBorder="1" applyAlignment="1">
      <alignment vertical="center" wrapText="1"/>
      <protection/>
    </xf>
    <xf numFmtId="38" fontId="3" fillId="36" borderId="0" xfId="44" applyNumberFormat="1" applyFont="1" applyFill="1" applyAlignment="1">
      <alignment vertical="center"/>
    </xf>
    <xf numFmtId="0" fontId="50" fillId="36" borderId="10" xfId="0" applyFont="1" applyFill="1" applyBorder="1" applyAlignment="1">
      <alignment horizontal="center" vertical="center" wrapText="1"/>
    </xf>
    <xf numFmtId="169" fontId="0" fillId="36" borderId="10" xfId="0" applyNumberFormat="1" applyFill="1" applyBorder="1" applyAlignment="1">
      <alignment/>
    </xf>
    <xf numFmtId="165" fontId="0" fillId="36" borderId="10" xfId="0" applyNumberForma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9" fontId="0" fillId="0" borderId="0" xfId="60" applyFont="1" applyFill="1" applyBorder="1" applyAlignment="1">
      <alignment/>
    </xf>
    <xf numFmtId="0" fontId="0" fillId="0" borderId="0" xfId="0" applyFont="1" applyFill="1" applyAlignment="1">
      <alignment/>
    </xf>
    <xf numFmtId="38" fontId="3" fillId="33" borderId="0" xfId="57" applyNumberFormat="1" applyFont="1" applyFill="1" applyBorder="1" applyAlignment="1">
      <alignment vertical="center"/>
      <protection/>
    </xf>
    <xf numFmtId="40" fontId="0" fillId="0" borderId="10" xfId="45" applyNumberFormat="1" applyFont="1" applyFill="1" applyBorder="1" applyAlignment="1">
      <alignment/>
    </xf>
    <xf numFmtId="40" fontId="0" fillId="0" borderId="10" xfId="45" applyNumberFormat="1" applyFont="1" applyBorder="1" applyAlignment="1">
      <alignment/>
    </xf>
    <xf numFmtId="38" fontId="3" fillId="36" borderId="0" xfId="57" applyNumberFormat="1" applyFont="1" applyFill="1" applyBorder="1" applyAlignment="1">
      <alignment vertical="center"/>
      <protection/>
    </xf>
    <xf numFmtId="40" fontId="0" fillId="0" borderId="0" xfId="0" applyNumberFormat="1" applyAlignment="1">
      <alignment/>
    </xf>
    <xf numFmtId="40" fontId="0" fillId="0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57" applyFont="1" applyFill="1" applyAlignment="1">
      <alignment horizontal="left"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50" fillId="34" borderId="10" xfId="0" applyFont="1" applyFill="1" applyBorder="1" applyAlignment="1">
      <alignment horizontal="center" vertical="center"/>
    </xf>
    <xf numFmtId="40" fontId="3" fillId="0" borderId="10" xfId="45" applyNumberFormat="1" applyFont="1" applyFill="1" applyBorder="1" applyAlignment="1">
      <alignment/>
    </xf>
    <xf numFmtId="165" fontId="0" fillId="0" borderId="17" xfId="45" applyFont="1" applyFill="1" applyBorder="1" applyAlignment="1">
      <alignment horizontal="center" vertical="center" wrapText="1"/>
    </xf>
    <xf numFmtId="165" fontId="0" fillId="0" borderId="0" xfId="45" applyFont="1" applyFill="1" applyBorder="1" applyAlignment="1">
      <alignment/>
    </xf>
    <xf numFmtId="165" fontId="0" fillId="0" borderId="0" xfId="45" applyFont="1" applyFill="1" applyAlignment="1">
      <alignment/>
    </xf>
    <xf numFmtId="9" fontId="3" fillId="0" borderId="18" xfId="60" applyFont="1" applyFill="1" applyBorder="1" applyAlignment="1">
      <alignment vertical="center"/>
    </xf>
    <xf numFmtId="9" fontId="3" fillId="0" borderId="19" xfId="60" applyFont="1" applyFill="1" applyBorder="1" applyAlignment="1">
      <alignment vertical="center"/>
    </xf>
    <xf numFmtId="9" fontId="3" fillId="0" borderId="10" xfId="60" applyFont="1" applyFill="1" applyBorder="1" applyAlignment="1">
      <alignment vertical="center"/>
    </xf>
    <xf numFmtId="38" fontId="4" fillId="0" borderId="10" xfId="57" applyNumberFormat="1" applyFont="1" applyFill="1" applyBorder="1" applyAlignment="1">
      <alignment horizontal="center" vertical="center" wrapText="1"/>
      <protection/>
    </xf>
    <xf numFmtId="9" fontId="3" fillId="0" borderId="10" xfId="60" applyFont="1" applyFill="1" applyBorder="1" applyAlignment="1">
      <alignment vertical="center"/>
    </xf>
    <xf numFmtId="9" fontId="3" fillId="0" borderId="0" xfId="60" applyFont="1" applyFill="1" applyBorder="1" applyAlignment="1">
      <alignment vertical="center"/>
    </xf>
    <xf numFmtId="9" fontId="4" fillId="0" borderId="10" xfId="60" applyFont="1" applyFill="1" applyBorder="1" applyAlignment="1">
      <alignment vertical="center"/>
    </xf>
    <xf numFmtId="165" fontId="0" fillId="0" borderId="10" xfId="45" applyNumberFormat="1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57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164" fontId="5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57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70" fontId="0" fillId="0" borderId="0" xfId="6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0" fillId="34" borderId="10" xfId="0" applyFont="1" applyFill="1" applyBorder="1" applyAlignment="1">
      <alignment horizontal="left"/>
    </xf>
    <xf numFmtId="170" fontId="0" fillId="34" borderId="10" xfId="60" applyNumberFormat="1" applyFont="1" applyFill="1" applyBorder="1" applyAlignment="1">
      <alignment horizontal="center"/>
    </xf>
    <xf numFmtId="0" fontId="4" fillId="34" borderId="10" xfId="57" applyFont="1" applyFill="1" applyBorder="1" applyAlignment="1">
      <alignment horizontal="left" vertical="center"/>
      <protection/>
    </xf>
    <xf numFmtId="40" fontId="0" fillId="34" borderId="10" xfId="45" applyNumberFormat="1" applyFont="1" applyFill="1" applyBorder="1" applyAlignment="1">
      <alignment/>
    </xf>
    <xf numFmtId="38" fontId="3" fillId="37" borderId="0" xfId="44" applyNumberFormat="1" applyFont="1" applyFill="1" applyAlignment="1">
      <alignment vertical="center"/>
    </xf>
    <xf numFmtId="38" fontId="3" fillId="37" borderId="0" xfId="57" applyNumberFormat="1" applyFont="1" applyFill="1" applyBorder="1" applyAlignment="1">
      <alignment vertical="center"/>
      <protection/>
    </xf>
    <xf numFmtId="0" fontId="50" fillId="0" borderId="0" xfId="0" applyFont="1" applyAlignment="1">
      <alignment horizontal="center"/>
    </xf>
    <xf numFmtId="0" fontId="0" fillId="33" borderId="0" xfId="0" applyFill="1" applyAlignment="1">
      <alignment/>
    </xf>
    <xf numFmtId="170" fontId="0" fillId="33" borderId="10" xfId="6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0" xfId="0" applyNumberFormat="1" applyFill="1" applyAlignment="1">
      <alignment/>
    </xf>
    <xf numFmtId="170" fontId="0" fillId="0" borderId="17" xfId="6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" fillId="34" borderId="10" xfId="57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172" fontId="0" fillId="36" borderId="0" xfId="0" applyNumberFormat="1" applyFill="1" applyAlignment="1">
      <alignment/>
    </xf>
    <xf numFmtId="0" fontId="4" fillId="36" borderId="10" xfId="57" applyFont="1" applyFill="1" applyBorder="1" applyAlignment="1">
      <alignment horizontal="center" vertical="center"/>
      <protection/>
    </xf>
    <xf numFmtId="9" fontId="0" fillId="0" borderId="0" xfId="60" applyFont="1" applyFill="1" applyAlignment="1">
      <alignment/>
    </xf>
    <xf numFmtId="10" fontId="0" fillId="0" borderId="0" xfId="60" applyNumberFormat="1" applyFont="1" applyAlignment="1">
      <alignment/>
    </xf>
    <xf numFmtId="0" fontId="50" fillId="38" borderId="10" xfId="0" applyFont="1" applyFill="1" applyBorder="1" applyAlignment="1">
      <alignment horizontal="center"/>
    </xf>
    <xf numFmtId="0" fontId="50" fillId="38" borderId="10" xfId="0" applyFont="1" applyFill="1" applyBorder="1" applyAlignment="1">
      <alignment horizontal="left"/>
    </xf>
    <xf numFmtId="170" fontId="0" fillId="34" borderId="10" xfId="60" applyNumberFormat="1" applyFont="1" applyFill="1" applyBorder="1" applyAlignment="1">
      <alignment/>
    </xf>
    <xf numFmtId="0" fontId="0" fillId="0" borderId="0" xfId="0" applyAlignment="1">
      <alignment/>
    </xf>
    <xf numFmtId="0" fontId="58" fillId="0" borderId="10" xfId="0" applyFont="1" applyFill="1" applyBorder="1" applyAlignment="1">
      <alignment wrapText="1"/>
    </xf>
    <xf numFmtId="38" fontId="50" fillId="38" borderId="10" xfId="45" applyNumberFormat="1" applyFont="1" applyFill="1" applyBorder="1" applyAlignment="1">
      <alignment/>
    </xf>
    <xf numFmtId="38" fontId="0" fillId="38" borderId="10" xfId="45" applyNumberFormat="1" applyFont="1" applyFill="1" applyBorder="1" applyAlignment="1">
      <alignment/>
    </xf>
    <xf numFmtId="38" fontId="0" fillId="34" borderId="10" xfId="45" applyNumberFormat="1" applyFont="1" applyFill="1" applyBorder="1" applyAlignment="1">
      <alignment/>
    </xf>
    <xf numFmtId="38" fontId="0" fillId="0" borderId="0" xfId="0" applyNumberFormat="1" applyAlignment="1">
      <alignment/>
    </xf>
    <xf numFmtId="0" fontId="3" fillId="0" borderId="0" xfId="57" applyFont="1" applyFill="1" applyAlignment="1">
      <alignment horizontal="left"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38" fontId="4" fillId="0" borderId="0" xfId="57" applyNumberFormat="1" applyFont="1" applyAlignment="1">
      <alignment horizontal="center" vertical="center"/>
      <protection/>
    </xf>
    <xf numFmtId="0" fontId="44" fillId="0" borderId="0" xfId="53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53" fillId="35" borderId="28" xfId="0" applyFont="1" applyFill="1" applyBorder="1" applyAlignment="1">
      <alignment horizontal="left" vertical="top" wrapText="1"/>
    </xf>
    <xf numFmtId="0" fontId="59" fillId="39" borderId="29" xfId="0" applyFont="1" applyFill="1" applyBorder="1" applyAlignment="1">
      <alignment wrapText="1"/>
    </xf>
    <xf numFmtId="0" fontId="59" fillId="39" borderId="0" xfId="0" applyFont="1" applyFill="1" applyAlignment="1">
      <alignment wrapText="1"/>
    </xf>
    <xf numFmtId="0" fontId="60" fillId="39" borderId="30" xfId="0" applyFont="1" applyFill="1" applyBorder="1" applyAlignment="1">
      <alignment wrapText="1"/>
    </xf>
    <xf numFmtId="0" fontId="50" fillId="0" borderId="0" xfId="0" applyFont="1" applyAlignment="1">
      <alignment horizontal="right" vertical="center" wrapText="1"/>
    </xf>
    <xf numFmtId="0" fontId="52" fillId="35" borderId="31" xfId="0" applyFont="1" applyFill="1" applyBorder="1" applyAlignment="1">
      <alignment horizontal="center" wrapText="1"/>
    </xf>
    <xf numFmtId="0" fontId="52" fillId="35" borderId="32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61" fillId="35" borderId="0" xfId="0" applyFont="1" applyFill="1" applyAlignment="1">
      <alignment horizontal="left"/>
    </xf>
    <xf numFmtId="0" fontId="0" fillId="0" borderId="0" xfId="0" applyAlignment="1">
      <alignment/>
    </xf>
    <xf numFmtId="0" fontId="62" fillId="35" borderId="30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52" fillId="35" borderId="33" xfId="0" applyFont="1" applyFill="1" applyBorder="1" applyAlignment="1">
      <alignment horizontal="center" wrapText="1"/>
    </xf>
    <xf numFmtId="0" fontId="52" fillId="35" borderId="34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34" borderId="10" xfId="0" applyFont="1" applyFill="1" applyBorder="1" applyAlignment="1">
      <alignment vertical="center"/>
    </xf>
    <xf numFmtId="0" fontId="50" fillId="34" borderId="13" xfId="0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ankofcanada.ca/stats/assets/graphs/cpi_graphs_en.png" TargetMode="External" /><Relationship Id="rId3" Type="http://schemas.openxmlformats.org/officeDocument/2006/relationships/hyperlink" Target="http://www.bankofcanada.ca/stats/assets/graphs/cpi_graphs_en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23</xdr:row>
      <xdr:rowOff>0</xdr:rowOff>
    </xdr:from>
    <xdr:to>
      <xdr:col>11</xdr:col>
      <xdr:colOff>133350</xdr:colOff>
      <xdr:row>23</xdr:row>
      <xdr:rowOff>133350</xdr:rowOff>
    </xdr:to>
    <xdr:pic>
      <xdr:nvPicPr>
        <xdr:cNvPr id="1" name="Picture 1" descr="Percentage change over 1 year ago (unadjusted)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472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3</xdr:col>
      <xdr:colOff>561975</xdr:colOff>
      <xdr:row>61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0"/>
          <a:ext cx="4457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15</xdr:row>
      <xdr:rowOff>0</xdr:rowOff>
    </xdr:from>
    <xdr:to>
      <xdr:col>14</xdr:col>
      <xdr:colOff>47625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3257550"/>
          <a:ext cx="5943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roctor\Revenue%20Requirement%20Model\Revenue%20Requirement%20Model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UI%20Appendix%202-C%20Operating%20Revenu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proctor\Weather%20Regression\FINAL%20DSP%20May%2024%20WNRModel%20regre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roctor\FTE%20Table%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2008 Balance Sheet"/>
      <sheetName val="2008 Income Statement"/>
      <sheetName val="2009 Income Statement"/>
      <sheetName val="2009 Balance Sheet"/>
      <sheetName val="2010 Balance Sheet"/>
      <sheetName val="2010 Income Statement"/>
      <sheetName val="2011 Balance Sheet"/>
      <sheetName val="2011 Income Statement"/>
      <sheetName val="2012 Balance Shee"/>
      <sheetName val="2012 Income Statement"/>
      <sheetName val="CCA Continuity 2011"/>
      <sheetName val="FA Continuity 2011"/>
      <sheetName val="FA Continuity 2012"/>
      <sheetName val="CCA Continuity 2012"/>
      <sheetName val="Reserves Continuity"/>
      <sheetName val="Corporation Loss Continuity"/>
      <sheetName val="Tax Adjustments 2011"/>
      <sheetName val="Tax Adjustments 2012"/>
      <sheetName val="Tax rates"/>
      <sheetName val="Capital Tax &amp; Expense Schedules"/>
      <sheetName val="Return on Capital"/>
      <sheetName val="Debt &amp; Capital Structure"/>
      <sheetName val="Trial Balance"/>
      <sheetName val="2012 Rev Deficiency"/>
      <sheetName val="Revenue Requirement"/>
    </sheetNames>
    <sheetDataSet>
      <sheetData sheetId="26">
        <row r="276">
          <cell r="D276">
            <v>148399</v>
          </cell>
          <cell r="F276">
            <v>158401</v>
          </cell>
          <cell r="H276">
            <v>183439.76</v>
          </cell>
          <cell r="J276">
            <v>188942.95280000003</v>
          </cell>
          <cell r="L276">
            <v>323678.441384</v>
          </cell>
        </row>
        <row r="279">
          <cell r="J279">
            <v>0</v>
          </cell>
          <cell r="L279">
            <v>0</v>
          </cell>
        </row>
        <row r="280">
          <cell r="J280">
            <v>0</v>
          </cell>
          <cell r="L280">
            <v>0</v>
          </cell>
        </row>
        <row r="281">
          <cell r="D281">
            <v>1314</v>
          </cell>
          <cell r="F281">
            <v>5211</v>
          </cell>
          <cell r="H281">
            <v>1043.42</v>
          </cell>
          <cell r="J281">
            <v>2522.9106666666667</v>
          </cell>
          <cell r="L281">
            <v>2598.5979866666667</v>
          </cell>
        </row>
        <row r="282">
          <cell r="D282">
            <v>63084</v>
          </cell>
          <cell r="F282">
            <v>21690</v>
          </cell>
          <cell r="H282">
            <v>4150.81</v>
          </cell>
          <cell r="J282">
            <v>29641.71</v>
          </cell>
          <cell r="L282">
            <v>35331.28333333333</v>
          </cell>
        </row>
        <row r="283">
          <cell r="D283">
            <v>223159</v>
          </cell>
          <cell r="F283">
            <v>153369</v>
          </cell>
          <cell r="H283">
            <v>160832.22</v>
          </cell>
          <cell r="J283">
            <v>178880.01</v>
          </cell>
          <cell r="L283">
            <v>309975.41030000005</v>
          </cell>
        </row>
        <row r="284">
          <cell r="D284">
            <v>133540</v>
          </cell>
          <cell r="F284">
            <v>107960</v>
          </cell>
          <cell r="H284">
            <v>26977.19</v>
          </cell>
          <cell r="J284">
            <v>122487.91333333333</v>
          </cell>
          <cell r="L284">
            <v>126162.55073333334</v>
          </cell>
        </row>
        <row r="286">
          <cell r="D286">
            <v>2449</v>
          </cell>
          <cell r="J286">
            <v>0</v>
          </cell>
          <cell r="L286">
            <v>630.6175000000001</v>
          </cell>
        </row>
        <row r="287">
          <cell r="D287">
            <v>29339</v>
          </cell>
          <cell r="F287">
            <v>25509</v>
          </cell>
          <cell r="H287">
            <v>17497.72</v>
          </cell>
          <cell r="J287">
            <v>18022.6516</v>
          </cell>
          <cell r="L287">
            <v>25000</v>
          </cell>
        </row>
        <row r="288">
          <cell r="D288">
            <v>15286</v>
          </cell>
          <cell r="F288">
            <v>25314</v>
          </cell>
          <cell r="H288">
            <v>17456.27</v>
          </cell>
          <cell r="J288">
            <v>19352.37</v>
          </cell>
          <cell r="L288">
            <v>19932.9411</v>
          </cell>
        </row>
        <row r="292">
          <cell r="J292">
            <v>15202</v>
          </cell>
          <cell r="L292">
            <v>31316.120000000003</v>
          </cell>
        </row>
        <row r="293">
          <cell r="F293">
            <v>300</v>
          </cell>
        </row>
        <row r="294">
          <cell r="J294">
            <v>0</v>
          </cell>
          <cell r="L294">
            <v>77.25</v>
          </cell>
        </row>
        <row r="295">
          <cell r="D295">
            <v>607</v>
          </cell>
          <cell r="F295">
            <v>7921</v>
          </cell>
          <cell r="H295">
            <v>4423.56</v>
          </cell>
          <cell r="J295">
            <v>4556.266799999999</v>
          </cell>
          <cell r="L295">
            <v>4692.954804</v>
          </cell>
        </row>
        <row r="300">
          <cell r="J300">
            <v>34875</v>
          </cell>
          <cell r="L300">
            <v>52312.5</v>
          </cell>
        </row>
        <row r="303">
          <cell r="J303">
            <v>0</v>
          </cell>
          <cell r="L303">
            <v>0</v>
          </cell>
        </row>
        <row r="304">
          <cell r="D304">
            <v>3033</v>
          </cell>
          <cell r="F304">
            <v>8375</v>
          </cell>
          <cell r="H304">
            <v>36678.38</v>
          </cell>
          <cell r="J304">
            <v>40569.7314</v>
          </cell>
          <cell r="L304">
            <v>41786.823342</v>
          </cell>
        </row>
        <row r="305">
          <cell r="L305">
            <v>10000</v>
          </cell>
        </row>
        <row r="306">
          <cell r="J306">
            <v>0</v>
          </cell>
          <cell r="L306">
            <v>3000</v>
          </cell>
        </row>
        <row r="307">
          <cell r="D307">
            <v>24233</v>
          </cell>
          <cell r="F307">
            <v>39912</v>
          </cell>
          <cell r="H307">
            <v>69204.25</v>
          </cell>
          <cell r="J307">
            <v>44862.8075</v>
          </cell>
          <cell r="L307">
            <v>45053.931725</v>
          </cell>
        </row>
        <row r="310">
          <cell r="D310">
            <v>1197</v>
          </cell>
          <cell r="F310">
            <v>9015</v>
          </cell>
          <cell r="H310">
            <v>8699.33</v>
          </cell>
          <cell r="J310">
            <v>8960.309899999998</v>
          </cell>
          <cell r="L310">
            <v>9229.119197</v>
          </cell>
        </row>
        <row r="311">
          <cell r="D311">
            <v>35904</v>
          </cell>
          <cell r="F311">
            <v>42096</v>
          </cell>
          <cell r="H311">
            <v>30881.41</v>
          </cell>
          <cell r="J311">
            <v>35674.4174</v>
          </cell>
          <cell r="L311">
            <v>36138.89685</v>
          </cell>
        </row>
        <row r="315">
          <cell r="D315">
            <v>12970</v>
          </cell>
          <cell r="F315">
            <v>40217</v>
          </cell>
          <cell r="H315">
            <v>79848.32</v>
          </cell>
          <cell r="J315">
            <v>141276.5964</v>
          </cell>
          <cell r="L315">
            <v>194264.250696</v>
          </cell>
        </row>
        <row r="324">
          <cell r="D324">
            <v>64970</v>
          </cell>
          <cell r="F324">
            <v>63778</v>
          </cell>
          <cell r="H324">
            <v>62889.54</v>
          </cell>
          <cell r="J324">
            <v>134191.21</v>
          </cell>
          <cell r="L324">
            <v>17191.9512</v>
          </cell>
        </row>
        <row r="325">
          <cell r="D325">
            <v>122411</v>
          </cell>
          <cell r="F325">
            <v>129841</v>
          </cell>
          <cell r="H325">
            <v>126867.12</v>
          </cell>
          <cell r="J325">
            <v>130575.2836</v>
          </cell>
          <cell r="L325">
            <v>131000</v>
          </cell>
        </row>
        <row r="326">
          <cell r="D326">
            <v>97641</v>
          </cell>
          <cell r="F326">
            <v>92675</v>
          </cell>
          <cell r="H326">
            <v>103730.38</v>
          </cell>
          <cell r="J326">
            <v>106842.2914</v>
          </cell>
          <cell r="L326">
            <v>130277.17214200002</v>
          </cell>
        </row>
        <row r="327">
          <cell r="D327">
            <v>5</v>
          </cell>
          <cell r="F327">
            <v>128</v>
          </cell>
          <cell r="H327">
            <v>-16.85</v>
          </cell>
        </row>
        <row r="328">
          <cell r="D328">
            <v>4440</v>
          </cell>
          <cell r="F328">
            <v>8925</v>
          </cell>
          <cell r="H328">
            <v>4067.17</v>
          </cell>
          <cell r="J328">
            <v>4050.32</v>
          </cell>
          <cell r="L328">
            <v>4171.8296</v>
          </cell>
        </row>
        <row r="329">
          <cell r="D329">
            <v>29693</v>
          </cell>
          <cell r="F329">
            <v>13290</v>
          </cell>
          <cell r="H329">
            <v>22681.1</v>
          </cell>
          <cell r="J329">
            <v>21888.063333333335</v>
          </cell>
          <cell r="L329">
            <v>22544.705233333338</v>
          </cell>
        </row>
        <row r="330">
          <cell r="D330">
            <v>121125</v>
          </cell>
          <cell r="F330">
            <v>99078</v>
          </cell>
          <cell r="H330">
            <v>105260.86</v>
          </cell>
          <cell r="J330">
            <v>103995.2158</v>
          </cell>
          <cell r="L330">
            <v>195112.49062</v>
          </cell>
        </row>
        <row r="333">
          <cell r="D333">
            <v>8053</v>
          </cell>
          <cell r="F333">
            <v>-4705</v>
          </cell>
          <cell r="H333">
            <v>13354.54</v>
          </cell>
          <cell r="J333">
            <v>13926.842733333335</v>
          </cell>
          <cell r="L333">
            <v>14344.648015333336</v>
          </cell>
        </row>
        <row r="343">
          <cell r="D343">
            <v>16612.16</v>
          </cell>
          <cell r="F343">
            <v>33309.87</v>
          </cell>
          <cell r="H343">
            <v>46510</v>
          </cell>
          <cell r="J343">
            <v>47905.6502</v>
          </cell>
          <cell r="L343">
            <v>49342.819705999995</v>
          </cell>
        </row>
        <row r="344">
          <cell r="D344">
            <v>336516.18</v>
          </cell>
          <cell r="F344">
            <v>365366.74</v>
          </cell>
          <cell r="H344">
            <v>426686</v>
          </cell>
          <cell r="J344">
            <v>449700.3004</v>
          </cell>
          <cell r="L344">
            <v>494916.309412</v>
          </cell>
        </row>
        <row r="345">
          <cell r="D345">
            <v>86694</v>
          </cell>
          <cell r="F345">
            <v>77739</v>
          </cell>
          <cell r="H345">
            <v>91247.28</v>
          </cell>
          <cell r="J345">
            <v>93984.69840000001</v>
          </cell>
          <cell r="L345">
            <v>143854.239352</v>
          </cell>
        </row>
        <row r="346">
          <cell r="D346">
            <v>77736</v>
          </cell>
          <cell r="F346">
            <v>95090</v>
          </cell>
          <cell r="H346">
            <v>99807.9</v>
          </cell>
          <cell r="J346">
            <v>102802.137</v>
          </cell>
          <cell r="L346">
            <v>105886.20111000001</v>
          </cell>
        </row>
        <row r="348">
          <cell r="D348">
            <v>7309</v>
          </cell>
          <cell r="F348">
            <v>62428</v>
          </cell>
          <cell r="H348">
            <v>70227.74</v>
          </cell>
          <cell r="J348">
            <v>101364.19489999999</v>
          </cell>
          <cell r="L348">
            <v>155405.477047</v>
          </cell>
        </row>
        <row r="349">
          <cell r="D349">
            <v>20347</v>
          </cell>
          <cell r="F349">
            <v>24675</v>
          </cell>
          <cell r="H349">
            <v>27066.44</v>
          </cell>
          <cell r="J349">
            <v>27878.4332</v>
          </cell>
          <cell r="L349">
            <v>28714.786196</v>
          </cell>
        </row>
        <row r="350">
          <cell r="D350">
            <v>48141</v>
          </cell>
          <cell r="F350">
            <v>48045</v>
          </cell>
          <cell r="H350">
            <v>58794.32</v>
          </cell>
          <cell r="J350">
            <v>60558.149600000004</v>
          </cell>
          <cell r="L350">
            <v>62374.894088</v>
          </cell>
        </row>
        <row r="351">
          <cell r="J351">
            <v>0</v>
          </cell>
          <cell r="L351">
            <v>0</v>
          </cell>
        </row>
        <row r="353">
          <cell r="D353">
            <v>85631</v>
          </cell>
          <cell r="F353">
            <v>33127</v>
          </cell>
          <cell r="H353">
            <v>58782.48</v>
          </cell>
          <cell r="J353">
            <v>85545.9544</v>
          </cell>
          <cell r="L353">
            <v>103562.33303200001</v>
          </cell>
        </row>
        <row r="354">
          <cell r="D354">
            <v>2050</v>
          </cell>
          <cell r="F354">
            <v>3486</v>
          </cell>
          <cell r="H354">
            <v>2212.81</v>
          </cell>
          <cell r="J354">
            <v>2582.903333333333</v>
          </cell>
          <cell r="L354">
            <v>4660.390433333334</v>
          </cell>
        </row>
        <row r="355">
          <cell r="D355">
            <v>2450</v>
          </cell>
          <cell r="F355">
            <v>40</v>
          </cell>
          <cell r="J355">
            <v>830.4133333333333</v>
          </cell>
          <cell r="L355">
            <v>855.3257333333333</v>
          </cell>
        </row>
        <row r="357">
          <cell r="D357">
            <v>28575</v>
          </cell>
          <cell r="F357">
            <v>44930</v>
          </cell>
          <cell r="H357">
            <v>32397.86</v>
          </cell>
          <cell r="J357">
            <v>33369.7958</v>
          </cell>
          <cell r="L357">
            <v>84370.889674</v>
          </cell>
        </row>
        <row r="358">
          <cell r="D358">
            <v>29704</v>
          </cell>
          <cell r="F358">
            <v>40600</v>
          </cell>
          <cell r="H358">
            <v>53616.02</v>
          </cell>
          <cell r="J358">
            <v>41306.34333333333</v>
          </cell>
          <cell r="L358">
            <v>47545.53363333333</v>
          </cell>
        </row>
        <row r="359">
          <cell r="H359">
            <v>106153</v>
          </cell>
          <cell r="J359">
            <v>0</v>
          </cell>
          <cell r="L359">
            <v>0</v>
          </cell>
        </row>
        <row r="361">
          <cell r="F361">
            <v>-21913</v>
          </cell>
          <cell r="H361">
            <v>-53778.14</v>
          </cell>
          <cell r="J361">
            <v>0</v>
          </cell>
          <cell r="L361">
            <v>0</v>
          </cell>
        </row>
        <row r="363">
          <cell r="D363">
            <v>838633</v>
          </cell>
          <cell r="F363">
            <v>893443</v>
          </cell>
          <cell r="H363">
            <v>894072.6499999998</v>
          </cell>
          <cell r="J363">
            <v>1119962.206666667</v>
          </cell>
          <cell r="L363">
            <v>773769.1891872174</v>
          </cell>
        </row>
        <row r="383">
          <cell r="D383">
            <v>42890</v>
          </cell>
          <cell r="F383">
            <v>53482</v>
          </cell>
          <cell r="H383">
            <v>46698.2</v>
          </cell>
          <cell r="J383">
            <v>48099.146</v>
          </cell>
          <cell r="L383">
            <v>49542.12038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 3 Distribution Revenue"/>
      <sheetName val="LUI Ex 3 Sum of Other Dist Rev"/>
      <sheetName val="Tables for Exhibit 3"/>
      <sheetName val="2008 VS BUDGET"/>
      <sheetName val="2009 vs2008"/>
      <sheetName val="2010 vs 2009"/>
      <sheetName val="2010 vs2011"/>
      <sheetName val="2011 vs 2012"/>
      <sheetName val="analysis"/>
      <sheetName val="ananlysis 2"/>
      <sheetName val="Sheet3"/>
      <sheetName val="4235"/>
    </sheetNames>
    <sheetDataSet>
      <sheetData sheetId="0">
        <row r="11">
          <cell r="B11">
            <v>3985246</v>
          </cell>
          <cell r="C11">
            <v>3717997.9648814863</v>
          </cell>
          <cell r="F11">
            <v>4005725.492359999</v>
          </cell>
          <cell r="I11">
            <v>4010859.3400000003</v>
          </cell>
          <cell r="K11">
            <v>3966786.0092115114</v>
          </cell>
          <cell r="M11">
            <v>4752740.397933303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 DNU"/>
      <sheetName val="original data to IESO"/>
      <sheetName val="Summary for Rate App"/>
      <sheetName val="Summary"/>
      <sheetName val="Summary for Submission"/>
      <sheetName val="Purchased Power Model"/>
      <sheetName val="Rate Class Energy Model"/>
      <sheetName val="Rate Class Customer Model"/>
      <sheetName val="Rate Class Load Model"/>
      <sheetName val="Tables Used for Exhibits"/>
      <sheetName val="Exhibit 3 Energy by Rate Class"/>
      <sheetName val="2011 COP"/>
      <sheetName val="2012 COP"/>
      <sheetName val="APPENDIX A"/>
      <sheetName val="Weather data"/>
    </sheetNames>
    <sheetDataSet>
      <sheetData sheetId="3">
        <row r="12">
          <cell r="H12">
            <v>7941.75</v>
          </cell>
          <cell r="I12">
            <v>8195.583333333334</v>
          </cell>
          <cell r="J12">
            <v>8305.25</v>
          </cell>
          <cell r="K12">
            <v>8452.955450132284</v>
          </cell>
          <cell r="L12">
            <v>8603.287780852</v>
          </cell>
        </row>
        <row r="17">
          <cell r="H17">
            <v>1043.8333333333333</v>
          </cell>
          <cell r="I17">
            <v>1060.8333333333333</v>
          </cell>
          <cell r="J17">
            <v>1066.6666666666667</v>
          </cell>
          <cell r="K17">
            <v>1084.155761020844</v>
          </cell>
          <cell r="L17">
            <v>1101.9316070200175</v>
          </cell>
        </row>
        <row r="21">
          <cell r="H21">
            <v>132.75</v>
          </cell>
          <cell r="I21">
            <v>129.75</v>
          </cell>
          <cell r="J21">
            <v>131.5</v>
          </cell>
          <cell r="K21">
            <v>129.288957956534</v>
          </cell>
          <cell r="L21">
            <v>127.1150923915317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16.5</v>
          </cell>
          <cell r="C5">
            <v>17.5</v>
          </cell>
          <cell r="D5">
            <v>19</v>
          </cell>
          <cell r="E5">
            <v>19.5</v>
          </cell>
          <cell r="F5">
            <v>22.25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ootnote_1_5014" TargetMode="External" /><Relationship Id="rId2" Type="http://schemas.openxmlformats.org/officeDocument/2006/relationships/hyperlink" Target="http://www.bankofcanada.ca/stats/assets/graphs/cpi_graphs_en.png" TargetMode="External" /><Relationship Id="rId3" Type="http://schemas.openxmlformats.org/officeDocument/2006/relationships/hyperlink" Target="footnote_1_5014" TargetMode="External" /><Relationship Id="rId4" Type="http://schemas.openxmlformats.org/officeDocument/2006/relationships/hyperlink" Target="footnote_2_5014" TargetMode="External" /><Relationship Id="rId5" Type="http://schemas.openxmlformats.org/officeDocument/2006/relationships/hyperlink" Target="footnote_3_5014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10"/>
  <sheetViews>
    <sheetView zoomScale="90" zoomScaleNormal="90" zoomScalePageLayoutView="0" workbookViewId="0" topLeftCell="K55">
      <selection activeCell="V84" sqref="V84"/>
    </sheetView>
  </sheetViews>
  <sheetFormatPr defaultColWidth="8.140625" defaultRowHeight="15"/>
  <cols>
    <col min="1" max="1" width="32.00390625" style="2" bestFit="1" customWidth="1"/>
    <col min="2" max="2" width="20.00390625" style="2" bestFit="1" customWidth="1"/>
    <col min="3" max="3" width="13.28125" style="2" customWidth="1"/>
    <col min="4" max="4" width="13.140625" style="2" customWidth="1"/>
    <col min="5" max="5" width="14.421875" style="2" customWidth="1"/>
    <col min="6" max="6" width="8.140625" style="2" hidden="1" customWidth="1"/>
    <col min="7" max="7" width="62.421875" style="2" hidden="1" customWidth="1"/>
    <col min="8" max="8" width="30.421875" style="2" hidden="1" customWidth="1"/>
    <col min="9" max="9" width="15.57421875" style="2" bestFit="1" customWidth="1"/>
    <col min="10" max="10" width="15.57421875" style="2" customWidth="1"/>
    <col min="11" max="11" width="73.140625" style="2" customWidth="1"/>
    <col min="12" max="12" width="11.140625" style="59" customWidth="1"/>
    <col min="13" max="13" width="2.57421875" style="13" customWidth="1"/>
    <col min="14" max="14" width="10.421875" style="13" customWidth="1"/>
    <col min="15" max="15" width="2.57421875" style="13" customWidth="1"/>
    <col min="16" max="16" width="10.421875" style="13" bestFit="1" customWidth="1"/>
    <col min="17" max="17" width="2.57421875" style="13" customWidth="1"/>
    <col min="18" max="18" width="10.421875" style="13" bestFit="1" customWidth="1"/>
    <col min="19" max="19" width="2.7109375" style="13" customWidth="1"/>
    <col min="20" max="20" width="10.421875" style="13" bestFit="1" customWidth="1"/>
    <col min="21" max="21" width="2.7109375" style="13" customWidth="1"/>
    <col min="22" max="22" width="10.421875" style="13" bestFit="1" customWidth="1"/>
    <col min="23" max="23" width="15.28125" style="34" bestFit="1" customWidth="1"/>
    <col min="24" max="24" width="8.140625" style="1" customWidth="1"/>
    <col min="25" max="25" width="78.140625" style="1" customWidth="1"/>
    <col min="26" max="124" width="8.140625" style="1" customWidth="1"/>
    <col min="125" max="16384" width="8.140625" style="2" customWidth="1"/>
  </cols>
  <sheetData>
    <row r="1" spans="6:23" s="1" customFormat="1" ht="15">
      <c r="F1" s="2"/>
      <c r="G1" s="2"/>
      <c r="H1" s="2"/>
      <c r="I1" s="2"/>
      <c r="J1" s="2"/>
      <c r="K1" s="314"/>
      <c r="L1" s="314"/>
      <c r="M1" s="314"/>
      <c r="N1" s="314"/>
      <c r="O1" s="314"/>
      <c r="P1" s="314"/>
      <c r="Q1" s="13"/>
      <c r="R1" s="13"/>
      <c r="S1" s="13"/>
      <c r="T1" s="13"/>
      <c r="U1" s="13"/>
      <c r="V1" s="13"/>
      <c r="W1" s="34"/>
    </row>
    <row r="2" spans="1:23" s="1" customFormat="1" ht="15">
      <c r="A2" s="4" t="s">
        <v>184</v>
      </c>
      <c r="B2" s="4"/>
      <c r="F2" s="2"/>
      <c r="G2" s="2"/>
      <c r="H2" s="2"/>
      <c r="I2" s="2"/>
      <c r="J2" s="2"/>
      <c r="K2" s="314" t="s">
        <v>0</v>
      </c>
      <c r="L2" s="314"/>
      <c r="M2" s="314"/>
      <c r="N2" s="314"/>
      <c r="O2" s="314"/>
      <c r="P2" s="314"/>
      <c r="Q2" s="314"/>
      <c r="R2" s="314"/>
      <c r="S2" s="314"/>
      <c r="T2" s="314"/>
      <c r="U2" s="28"/>
      <c r="V2" s="34"/>
      <c r="W2" s="34"/>
    </row>
    <row r="3" spans="6:23" s="1" customFormat="1" ht="15">
      <c r="F3" s="2"/>
      <c r="G3" s="2"/>
      <c r="H3" s="2"/>
      <c r="I3" s="2"/>
      <c r="J3" s="2"/>
      <c r="K3" s="2"/>
      <c r="L3" s="59"/>
      <c r="M3" s="13"/>
      <c r="N3" s="13"/>
      <c r="O3" s="13"/>
      <c r="P3" s="13"/>
      <c r="Q3" s="13"/>
      <c r="R3" s="13"/>
      <c r="S3" s="13"/>
      <c r="T3" s="13"/>
      <c r="U3" s="13"/>
      <c r="V3" s="13"/>
      <c r="W3" s="34"/>
    </row>
    <row r="4" spans="6:23" s="1" customFormat="1" ht="30">
      <c r="F4" s="2"/>
      <c r="G4" s="2"/>
      <c r="H4" s="2"/>
      <c r="I4" s="2"/>
      <c r="J4" s="2"/>
      <c r="K4" s="8" t="s">
        <v>1</v>
      </c>
      <c r="L4" s="193" t="s">
        <v>176</v>
      </c>
      <c r="M4" s="11"/>
      <c r="N4" s="10" t="s">
        <v>3</v>
      </c>
      <c r="O4" s="239"/>
      <c r="P4" s="10" t="s">
        <v>4</v>
      </c>
      <c r="Q4" s="239"/>
      <c r="R4" s="10" t="s">
        <v>171</v>
      </c>
      <c r="S4" s="239"/>
      <c r="T4" s="10" t="s">
        <v>170</v>
      </c>
      <c r="U4" s="94"/>
      <c r="V4" s="10" t="s">
        <v>177</v>
      </c>
      <c r="W4" s="85"/>
    </row>
    <row r="5" spans="1:23" s="1" customFormat="1" ht="15">
      <c r="A5" s="315" t="s">
        <v>5</v>
      </c>
      <c r="B5" s="315"/>
      <c r="C5" s="315"/>
      <c r="D5" s="315"/>
      <c r="E5" s="315"/>
      <c r="F5" s="2"/>
      <c r="G5" s="2"/>
      <c r="H5" s="2"/>
      <c r="I5" s="2"/>
      <c r="J5" s="2"/>
      <c r="K5" s="12" t="s">
        <v>6</v>
      </c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34"/>
    </row>
    <row r="6" spans="6:23" s="1" customFormat="1" ht="15">
      <c r="F6" s="2">
        <v>2270</v>
      </c>
      <c r="G6" s="2" t="s">
        <v>7</v>
      </c>
      <c r="H6" s="2"/>
      <c r="I6" s="2"/>
      <c r="J6" s="2"/>
      <c r="K6" s="14" t="s">
        <v>8</v>
      </c>
      <c r="L6" s="146">
        <v>140459</v>
      </c>
      <c r="M6" s="16"/>
      <c r="N6" s="175">
        <f>'[1]Trial Balance'!$D$276</f>
        <v>148399</v>
      </c>
      <c r="O6" s="16"/>
      <c r="P6" s="175">
        <f>'[1]Trial Balance'!$F$276</f>
        <v>158401</v>
      </c>
      <c r="Q6" s="16"/>
      <c r="R6" s="175">
        <f>'[1]Trial Balance'!$H$276</f>
        <v>183439.76</v>
      </c>
      <c r="S6" s="16"/>
      <c r="T6" s="175">
        <f>'[1]Trial Balance'!$J$276</f>
        <v>188942.95280000003</v>
      </c>
      <c r="U6" s="16"/>
      <c r="V6" s="175">
        <f>'[1]Trial Balance'!$L$276</f>
        <v>323678.441384</v>
      </c>
      <c r="W6" s="67"/>
    </row>
    <row r="7" spans="1:23" s="1" customFormat="1" ht="15">
      <c r="A7" s="18" t="s">
        <v>9</v>
      </c>
      <c r="F7" s="2">
        <v>2272</v>
      </c>
      <c r="G7" s="2" t="s">
        <v>10</v>
      </c>
      <c r="H7" s="2"/>
      <c r="I7" s="2"/>
      <c r="J7" s="2"/>
      <c r="K7" s="14" t="s">
        <v>11</v>
      </c>
      <c r="L7" s="146"/>
      <c r="M7" s="16"/>
      <c r="N7" s="175">
        <f>'[1]Trial Balance'!$D$277</f>
        <v>0</v>
      </c>
      <c r="O7" s="16"/>
      <c r="P7" s="175">
        <f>'[1]Trial Balance'!$F$277</f>
        <v>0</v>
      </c>
      <c r="Q7" s="16"/>
      <c r="R7" s="175">
        <f>'[1]Trial Balance'!$H$277</f>
        <v>0</v>
      </c>
      <c r="S7" s="16"/>
      <c r="T7" s="175">
        <f>'[1]Trial Balance'!$J$277</f>
        <v>0</v>
      </c>
      <c r="U7" s="16"/>
      <c r="V7" s="175">
        <f>'[1]Trial Balance'!$L$277</f>
        <v>0</v>
      </c>
      <c r="W7" s="67"/>
    </row>
    <row r="8" spans="2:23" s="1" customFormat="1" ht="30">
      <c r="B8" s="19" t="s">
        <v>172</v>
      </c>
      <c r="C8" s="19" t="s">
        <v>55</v>
      </c>
      <c r="D8" s="19" t="s">
        <v>12</v>
      </c>
      <c r="E8" s="19" t="s">
        <v>13</v>
      </c>
      <c r="F8" s="2">
        <v>2285</v>
      </c>
      <c r="G8" s="2" t="s">
        <v>14</v>
      </c>
      <c r="H8" s="2"/>
      <c r="I8" s="2"/>
      <c r="J8" s="2"/>
      <c r="K8" s="14" t="s">
        <v>15</v>
      </c>
      <c r="L8" s="146"/>
      <c r="M8" s="16"/>
      <c r="N8" s="175">
        <f>'[1]Trial Balance'!$D$278</f>
        <v>0</v>
      </c>
      <c r="O8" s="16"/>
      <c r="P8" s="175">
        <f>'[1]Trial Balance'!$F$278</f>
        <v>0</v>
      </c>
      <c r="Q8" s="16"/>
      <c r="R8" s="175">
        <f>'[1]Trial Balance'!$H$278</f>
        <v>0</v>
      </c>
      <c r="S8" s="16"/>
      <c r="T8" s="175">
        <f>'[1]Trial Balance'!$J$278</f>
        <v>0</v>
      </c>
      <c r="U8" s="16"/>
      <c r="V8" s="175">
        <f>'[1]Trial Balance'!$L$278</f>
        <v>0</v>
      </c>
      <c r="W8" s="67"/>
    </row>
    <row r="9" spans="1:23" s="1" customFormat="1" ht="15">
      <c r="A9" s="20" t="s">
        <v>6</v>
      </c>
      <c r="B9" s="55">
        <f>L29</f>
        <v>620871</v>
      </c>
      <c r="C9" s="21">
        <f>N29</f>
        <v>617177</v>
      </c>
      <c r="D9" s="21">
        <f aca="true" t="shared" si="0" ref="D9:D14">C9-B9</f>
        <v>-3694</v>
      </c>
      <c r="E9" s="22">
        <f aca="true" t="shared" si="1" ref="E9:E14">D9/B9</f>
        <v>-0.005949706138634273</v>
      </c>
      <c r="F9" s="2">
        <v>2290</v>
      </c>
      <c r="G9" s="2" t="s">
        <v>16</v>
      </c>
      <c r="H9" s="2"/>
      <c r="I9" s="2"/>
      <c r="J9" s="2"/>
      <c r="K9" s="14" t="s">
        <v>17</v>
      </c>
      <c r="L9" s="146"/>
      <c r="M9" s="16"/>
      <c r="N9" s="175">
        <f>'[1]Trial Balance'!D279</f>
        <v>0</v>
      </c>
      <c r="O9" s="16"/>
      <c r="P9" s="175">
        <f>'[1]Trial Balance'!$F$279</f>
        <v>0</v>
      </c>
      <c r="Q9" s="16"/>
      <c r="R9" s="175">
        <f>'[1]Trial Balance'!$H$279</f>
        <v>0</v>
      </c>
      <c r="S9" s="16"/>
      <c r="T9" s="175">
        <f>'[1]Trial Balance'!$J$279</f>
        <v>0</v>
      </c>
      <c r="U9" s="16"/>
      <c r="V9" s="175">
        <f>'[1]Trial Balance'!$L$279</f>
        <v>0</v>
      </c>
      <c r="W9" s="67"/>
    </row>
    <row r="10" spans="1:23" s="1" customFormat="1" ht="15">
      <c r="A10" s="20" t="s">
        <v>18</v>
      </c>
      <c r="B10" s="55">
        <f>L50</f>
        <v>104107</v>
      </c>
      <c r="C10" s="21">
        <f>N50</f>
        <v>77337</v>
      </c>
      <c r="D10" s="21">
        <f t="shared" si="0"/>
        <v>-26770</v>
      </c>
      <c r="E10" s="22">
        <f t="shared" si="1"/>
        <v>-0.2571392893849597</v>
      </c>
      <c r="F10" s="2">
        <v>2292</v>
      </c>
      <c r="G10" s="2" t="s">
        <v>19</v>
      </c>
      <c r="H10" s="2"/>
      <c r="I10" s="2"/>
      <c r="J10" s="2"/>
      <c r="K10" s="14" t="s">
        <v>20</v>
      </c>
      <c r="L10" s="146"/>
      <c r="M10" s="16"/>
      <c r="N10" s="175">
        <f>'[1]Trial Balance'!$D$280</f>
        <v>0</v>
      </c>
      <c r="O10" s="16"/>
      <c r="P10" s="175">
        <f>'[1]Trial Balance'!$F$280</f>
        <v>0</v>
      </c>
      <c r="Q10" s="16"/>
      <c r="R10" s="175">
        <f>'[1]Trial Balance'!$H$280</f>
        <v>0</v>
      </c>
      <c r="S10" s="16"/>
      <c r="T10" s="175">
        <f>'[1]Trial Balance'!$J$280</f>
        <v>0</v>
      </c>
      <c r="U10" s="16"/>
      <c r="V10" s="175">
        <f>'[1]Trial Balance'!$L$280</f>
        <v>0</v>
      </c>
      <c r="W10" s="67"/>
    </row>
    <row r="11" spans="1:23" s="1" customFormat="1" ht="15">
      <c r="A11" s="20" t="s">
        <v>21</v>
      </c>
      <c r="B11" s="55">
        <f>L61</f>
        <v>428844</v>
      </c>
      <c r="C11" s="21">
        <f>N61</f>
        <v>440285</v>
      </c>
      <c r="D11" s="21">
        <f t="shared" si="0"/>
        <v>11441</v>
      </c>
      <c r="E11" s="22">
        <f t="shared" si="1"/>
        <v>0.026678699014093702</v>
      </c>
      <c r="F11" s="2">
        <v>2294</v>
      </c>
      <c r="G11" s="2" t="s">
        <v>22</v>
      </c>
      <c r="H11" s="2"/>
      <c r="I11" s="2"/>
      <c r="J11" s="2"/>
      <c r="K11" s="14" t="s">
        <v>23</v>
      </c>
      <c r="L11" s="146">
        <v>7686</v>
      </c>
      <c r="M11" s="16"/>
      <c r="N11" s="175">
        <f>'[1]Trial Balance'!$D$281</f>
        <v>1314</v>
      </c>
      <c r="O11" s="16"/>
      <c r="P11" s="175">
        <f>'[1]Trial Balance'!$F$281</f>
        <v>5211</v>
      </c>
      <c r="Q11" s="16"/>
      <c r="R11" s="175">
        <f>'[1]Trial Balance'!$H$281</f>
        <v>1043.42</v>
      </c>
      <c r="S11" s="16"/>
      <c r="T11" s="175">
        <f>'[1]Trial Balance'!$J$281</f>
        <v>2522.9106666666667</v>
      </c>
      <c r="U11" s="16"/>
      <c r="V11" s="175">
        <f>'[1]Trial Balance'!$L$281</f>
        <v>2598.5979866666667</v>
      </c>
      <c r="W11" s="67"/>
    </row>
    <row r="12" spans="1:23" s="1" customFormat="1" ht="15">
      <c r="A12" s="20" t="s">
        <v>24</v>
      </c>
      <c r="B12" s="55">
        <f>L71</f>
        <v>19767</v>
      </c>
      <c r="C12" s="21">
        <f>N71</f>
        <v>8053</v>
      </c>
      <c r="D12" s="21">
        <f t="shared" si="0"/>
        <v>-11714</v>
      </c>
      <c r="E12" s="22">
        <f t="shared" si="1"/>
        <v>-0.5926038346739515</v>
      </c>
      <c r="F12" s="2">
        <v>2296</v>
      </c>
      <c r="G12" s="2" t="s">
        <v>25</v>
      </c>
      <c r="H12" s="2"/>
      <c r="I12" s="2"/>
      <c r="J12" s="2"/>
      <c r="K12" s="14" t="s">
        <v>26</v>
      </c>
      <c r="L12" s="146">
        <v>41527</v>
      </c>
      <c r="M12" s="16"/>
      <c r="N12" s="175">
        <f>'[1]Trial Balance'!$D$282</f>
        <v>63084</v>
      </c>
      <c r="O12" s="16"/>
      <c r="P12" s="175">
        <f>'[1]Trial Balance'!$F$282</f>
        <v>21690</v>
      </c>
      <c r="Q12" s="16"/>
      <c r="R12" s="175">
        <f>'[1]Trial Balance'!$H$282</f>
        <v>4150.81</v>
      </c>
      <c r="S12" s="16"/>
      <c r="T12" s="175">
        <f>'[1]Trial Balance'!$J$282</f>
        <v>29641.71</v>
      </c>
      <c r="U12" s="16"/>
      <c r="V12" s="175">
        <f>'[1]Trial Balance'!$L$282</f>
        <v>35331.28333333333</v>
      </c>
      <c r="W12" s="67"/>
    </row>
    <row r="13" spans="1:23" s="1" customFormat="1" ht="15">
      <c r="A13" s="20" t="s">
        <v>27</v>
      </c>
      <c r="B13" s="55">
        <f>L93</f>
        <v>921831</v>
      </c>
      <c r="C13" s="21">
        <f>N93</f>
        <v>741765.34</v>
      </c>
      <c r="D13" s="21">
        <f t="shared" si="0"/>
        <v>-180065.66000000003</v>
      </c>
      <c r="E13" s="22">
        <f t="shared" si="1"/>
        <v>-0.1953347847924403</v>
      </c>
      <c r="F13" s="2">
        <v>0</v>
      </c>
      <c r="G13" s="2" t="s">
        <v>28</v>
      </c>
      <c r="H13" s="2"/>
      <c r="I13" s="2"/>
      <c r="J13" s="2"/>
      <c r="K13" s="14" t="s">
        <v>29</v>
      </c>
      <c r="L13" s="146">
        <v>260858</v>
      </c>
      <c r="M13" s="16"/>
      <c r="N13" s="175">
        <f>'[1]Trial Balance'!$D$283</f>
        <v>223159</v>
      </c>
      <c r="O13" s="16"/>
      <c r="P13" s="175">
        <f>'[1]Trial Balance'!$F$283</f>
        <v>153369</v>
      </c>
      <c r="Q13" s="16"/>
      <c r="R13" s="175">
        <f>'[1]Trial Balance'!$H$283</f>
        <v>160832.22</v>
      </c>
      <c r="S13" s="16"/>
      <c r="T13" s="175">
        <f>'[1]Trial Balance'!$J$283</f>
        <v>178880.01</v>
      </c>
      <c r="U13" s="16"/>
      <c r="V13" s="175">
        <f>'[1]Trial Balance'!$L$283</f>
        <v>309975.41030000005</v>
      </c>
      <c r="W13" s="67"/>
    </row>
    <row r="14" spans="1:23" s="1" customFormat="1" ht="15.75" thickBot="1">
      <c r="A14" s="20" t="s">
        <v>30</v>
      </c>
      <c r="B14" s="23">
        <f>SUM(B9:B13)</f>
        <v>2095420</v>
      </c>
      <c r="C14" s="23">
        <f>SUM(C9:C13)</f>
        <v>1884617.3399999999</v>
      </c>
      <c r="D14" s="23">
        <f t="shared" si="0"/>
        <v>-210802.66000000015</v>
      </c>
      <c r="E14" s="24">
        <f t="shared" si="1"/>
        <v>-0.10060162640425316</v>
      </c>
      <c r="F14" s="2">
        <v>2305</v>
      </c>
      <c r="G14" s="2" t="s">
        <v>31</v>
      </c>
      <c r="H14" s="2"/>
      <c r="I14" s="2"/>
      <c r="J14" s="2"/>
      <c r="K14" s="14" t="s">
        <v>32</v>
      </c>
      <c r="L14" s="146">
        <v>137134</v>
      </c>
      <c r="M14" s="16"/>
      <c r="N14" s="175">
        <f>'[1]Trial Balance'!$D$284</f>
        <v>133540</v>
      </c>
      <c r="O14" s="16"/>
      <c r="P14" s="175">
        <f>'[1]Trial Balance'!$F$284</f>
        <v>107960</v>
      </c>
      <c r="Q14" s="16"/>
      <c r="R14" s="175">
        <f>'[1]Trial Balance'!$H$284</f>
        <v>26977.19</v>
      </c>
      <c r="S14" s="16"/>
      <c r="T14" s="175">
        <f>'[1]Trial Balance'!$J$284</f>
        <v>122487.91333333333</v>
      </c>
      <c r="U14" s="16"/>
      <c r="V14" s="175">
        <f>'[1]Trial Balance'!$L$284</f>
        <v>126162.55073333334</v>
      </c>
      <c r="W14" s="67"/>
    </row>
    <row r="15" spans="1:23" s="1" customFormat="1" ht="15.75" thickTop="1">
      <c r="A15" s="20"/>
      <c r="E15" s="25"/>
      <c r="F15" s="2">
        <v>2306</v>
      </c>
      <c r="G15" s="2" t="s">
        <v>33</v>
      </c>
      <c r="H15" s="2"/>
      <c r="I15" s="2"/>
      <c r="J15" s="2"/>
      <c r="K15" s="14" t="s">
        <v>34</v>
      </c>
      <c r="L15" s="146"/>
      <c r="M15" s="16"/>
      <c r="N15" s="175">
        <f>'[1]Trial Balance'!$D$285</f>
        <v>0</v>
      </c>
      <c r="O15" s="16"/>
      <c r="P15" s="175">
        <f>'[1]Trial Balance'!F285</f>
        <v>0</v>
      </c>
      <c r="Q15" s="16"/>
      <c r="R15" s="175">
        <f>'[1]Trial Balance'!$H$285</f>
        <v>0</v>
      </c>
      <c r="S15" s="16"/>
      <c r="T15" s="175">
        <f>'[1]Trial Balance'!$J$285</f>
        <v>0</v>
      </c>
      <c r="U15" s="16"/>
      <c r="V15" s="175">
        <f>'[1]Trial Balance'!$L$285</f>
        <v>0</v>
      </c>
      <c r="W15" s="67"/>
    </row>
    <row r="16" spans="5:23" s="1" customFormat="1" ht="15">
      <c r="E16" s="25"/>
      <c r="F16" s="2">
        <v>2308</v>
      </c>
      <c r="G16" s="2" t="s">
        <v>35</v>
      </c>
      <c r="H16" s="2"/>
      <c r="I16" s="2"/>
      <c r="J16" s="2"/>
      <c r="K16" s="14" t="s">
        <v>36</v>
      </c>
      <c r="L16" s="146">
        <v>1558</v>
      </c>
      <c r="M16" s="16"/>
      <c r="N16" s="175">
        <f>'[1]Trial Balance'!$D$286</f>
        <v>2449</v>
      </c>
      <c r="O16" s="16"/>
      <c r="P16" s="175">
        <f>'[1]Trial Balance'!$F$286</f>
        <v>0</v>
      </c>
      <c r="Q16" s="16"/>
      <c r="R16" s="175">
        <f>'[1]Trial Balance'!$H$286</f>
        <v>0</v>
      </c>
      <c r="S16" s="16"/>
      <c r="T16" s="175">
        <f>'[1]Trial Balance'!$J$286</f>
        <v>0</v>
      </c>
      <c r="U16" s="16"/>
      <c r="V16" s="175">
        <f>'[1]Trial Balance'!$L$286</f>
        <v>630.6175000000001</v>
      </c>
      <c r="W16" s="67"/>
    </row>
    <row r="17" spans="2:23" s="1" customFormat="1" ht="15">
      <c r="B17" s="19" t="s">
        <v>55</v>
      </c>
      <c r="C17" s="19" t="s">
        <v>67</v>
      </c>
      <c r="D17" s="19" t="s">
        <v>12</v>
      </c>
      <c r="E17" s="19" t="s">
        <v>13</v>
      </c>
      <c r="F17" s="2">
        <v>2310</v>
      </c>
      <c r="G17" s="2" t="s">
        <v>37</v>
      </c>
      <c r="H17" s="2"/>
      <c r="I17" s="2"/>
      <c r="J17" s="2"/>
      <c r="K17" s="14" t="s">
        <v>38</v>
      </c>
      <c r="L17" s="146">
        <v>25467</v>
      </c>
      <c r="M17" s="16"/>
      <c r="N17" s="175">
        <f>'[1]Trial Balance'!$D$287</f>
        <v>29339</v>
      </c>
      <c r="O17" s="16"/>
      <c r="P17" s="175">
        <f>'[1]Trial Balance'!$F$287</f>
        <v>25509</v>
      </c>
      <c r="Q17" s="16"/>
      <c r="R17" s="175">
        <f>'[1]Trial Balance'!$H$287</f>
        <v>17497.72</v>
      </c>
      <c r="S17" s="16"/>
      <c r="T17" s="175">
        <f>'[1]Trial Balance'!$J$287</f>
        <v>18022.6516</v>
      </c>
      <c r="U17" s="16"/>
      <c r="V17" s="175">
        <f>'[1]Trial Balance'!$L$287</f>
        <v>25000</v>
      </c>
      <c r="W17" s="67"/>
    </row>
    <row r="18" spans="1:23" s="1" customFormat="1" ht="15">
      <c r="A18" s="20" t="s">
        <v>6</v>
      </c>
      <c r="B18" s="21">
        <f>C9</f>
        <v>617177</v>
      </c>
      <c r="C18" s="21">
        <f>P29</f>
        <v>505675</v>
      </c>
      <c r="D18" s="21">
        <f aca="true" t="shared" si="2" ref="D18:D23">C18-B18</f>
        <v>-111502</v>
      </c>
      <c r="E18" s="22">
        <f aca="true" t="shared" si="3" ref="E18:E23">D18/B18</f>
        <v>-0.18066454193853626</v>
      </c>
      <c r="F18" s="2">
        <v>2315</v>
      </c>
      <c r="G18" s="2" t="s">
        <v>39</v>
      </c>
      <c r="H18" s="2"/>
      <c r="I18" s="2"/>
      <c r="J18" s="2"/>
      <c r="K18" s="14" t="s">
        <v>40</v>
      </c>
      <c r="L18" s="146">
        <v>3966</v>
      </c>
      <c r="M18" s="16"/>
      <c r="N18" s="175">
        <f>'[1]Trial Balance'!$D$288</f>
        <v>15286</v>
      </c>
      <c r="O18" s="16"/>
      <c r="P18" s="175">
        <f>'[1]Trial Balance'!$F$288</f>
        <v>25314</v>
      </c>
      <c r="Q18" s="16"/>
      <c r="R18" s="175">
        <f>'[1]Trial Balance'!$H$288</f>
        <v>17456.27</v>
      </c>
      <c r="S18" s="16"/>
      <c r="T18" s="175">
        <f>'[1]Trial Balance'!$J$288</f>
        <v>19352.37</v>
      </c>
      <c r="U18" s="16"/>
      <c r="V18" s="175">
        <f>'[1]Trial Balance'!$L$288</f>
        <v>19932.9411</v>
      </c>
      <c r="W18" s="67"/>
    </row>
    <row r="19" spans="1:23" s="1" customFormat="1" ht="15">
      <c r="A19" s="20" t="s">
        <v>18</v>
      </c>
      <c r="B19" s="21">
        <f>C10</f>
        <v>77337</v>
      </c>
      <c r="C19" s="21">
        <f>P50</f>
        <v>139615</v>
      </c>
      <c r="D19" s="21">
        <f t="shared" si="2"/>
        <v>62278</v>
      </c>
      <c r="E19" s="22">
        <f t="shared" si="3"/>
        <v>0.8052807841007539</v>
      </c>
      <c r="F19" s="2">
        <v>2320</v>
      </c>
      <c r="G19" s="2" t="s">
        <v>41</v>
      </c>
      <c r="H19" s="2"/>
      <c r="I19" s="2"/>
      <c r="J19" s="2"/>
      <c r="K19" s="14" t="s">
        <v>42</v>
      </c>
      <c r="L19" s="146"/>
      <c r="M19" s="16"/>
      <c r="N19" s="175">
        <f>'[1]Trial Balance'!$D$289</f>
        <v>0</v>
      </c>
      <c r="O19" s="16"/>
      <c r="P19" s="175">
        <f>'[1]Trial Balance'!$F$289</f>
        <v>0</v>
      </c>
      <c r="Q19" s="16"/>
      <c r="R19" s="175">
        <f>'[1]Trial Balance'!$H$289</f>
        <v>0</v>
      </c>
      <c r="S19" s="16"/>
      <c r="T19" s="175">
        <f>'[1]Trial Balance'!$J$289</f>
        <v>0</v>
      </c>
      <c r="U19" s="16"/>
      <c r="V19" s="175">
        <f>'[1]Trial Balance'!$L$289</f>
        <v>0</v>
      </c>
      <c r="W19" s="67"/>
    </row>
    <row r="20" spans="1:23" s="1" customFormat="1" ht="15">
      <c r="A20" s="20" t="s">
        <v>21</v>
      </c>
      <c r="B20" s="21">
        <f>C11</f>
        <v>440285</v>
      </c>
      <c r="C20" s="21">
        <f>P61</f>
        <v>407715</v>
      </c>
      <c r="D20" s="21">
        <f t="shared" si="2"/>
        <v>-32570</v>
      </c>
      <c r="E20" s="22">
        <f t="shared" si="3"/>
        <v>-0.0739748117696492</v>
      </c>
      <c r="F20" s="2">
        <v>2325</v>
      </c>
      <c r="G20" s="2" t="s">
        <v>43</v>
      </c>
      <c r="H20" s="2"/>
      <c r="I20" s="2"/>
      <c r="J20" s="2"/>
      <c r="K20" s="14" t="s">
        <v>44</v>
      </c>
      <c r="L20" s="146"/>
      <c r="M20" s="16"/>
      <c r="N20" s="175">
        <f>'[1]Trial Balance'!$D$290</f>
        <v>0</v>
      </c>
      <c r="O20" s="16"/>
      <c r="P20" s="175">
        <f>'[1]Trial Balance'!$F$290</f>
        <v>0</v>
      </c>
      <c r="Q20" s="16"/>
      <c r="R20" s="175">
        <f>'[1]Trial Balance'!$H$290</f>
        <v>0</v>
      </c>
      <c r="S20" s="16"/>
      <c r="T20" s="175">
        <f>'[1]Trial Balance'!$J$290</f>
        <v>0</v>
      </c>
      <c r="U20" s="16"/>
      <c r="V20" s="175">
        <f>'[1]Trial Balance'!$L$290</f>
        <v>0</v>
      </c>
      <c r="W20" s="67"/>
    </row>
    <row r="21" spans="1:23" s="1" customFormat="1" ht="15">
      <c r="A21" s="20" t="s">
        <v>24</v>
      </c>
      <c r="B21" s="21">
        <f>C12</f>
        <v>8053</v>
      </c>
      <c r="C21" s="21">
        <f>P71</f>
        <v>-4705</v>
      </c>
      <c r="D21" s="21">
        <f t="shared" si="2"/>
        <v>-12758</v>
      </c>
      <c r="E21" s="22">
        <f t="shared" si="3"/>
        <v>-1.5842543151620514</v>
      </c>
      <c r="F21" s="2"/>
      <c r="G21" s="2"/>
      <c r="H21" s="2"/>
      <c r="I21" s="2"/>
      <c r="J21" s="2"/>
      <c r="K21" s="14" t="s">
        <v>45</v>
      </c>
      <c r="L21" s="146"/>
      <c r="M21" s="16"/>
      <c r="N21" s="175">
        <f>'[1]Trial Balance'!$D$291</f>
        <v>0</v>
      </c>
      <c r="O21" s="16"/>
      <c r="P21" s="175">
        <f>'[1]Trial Balance'!$F$291</f>
        <v>0</v>
      </c>
      <c r="Q21" s="16"/>
      <c r="R21" s="175">
        <f>'[1]Trial Balance'!$H$291</f>
        <v>0</v>
      </c>
      <c r="S21" s="16"/>
      <c r="T21" s="175">
        <f>'[1]Trial Balance'!$J$291</f>
        <v>0</v>
      </c>
      <c r="U21" s="16"/>
      <c r="V21" s="175">
        <f>'[1]Trial Balance'!$L$291</f>
        <v>0</v>
      </c>
      <c r="W21" s="67"/>
    </row>
    <row r="22" spans="1:23" s="1" customFormat="1" ht="15">
      <c r="A22" s="20" t="s">
        <v>27</v>
      </c>
      <c r="B22" s="21">
        <f>C13</f>
        <v>741765.34</v>
      </c>
      <c r="C22" s="21">
        <f>P93</f>
        <v>806923.61</v>
      </c>
      <c r="D22" s="21">
        <f t="shared" si="2"/>
        <v>65158.27000000002</v>
      </c>
      <c r="E22" s="22">
        <f t="shared" si="3"/>
        <v>0.08784216043310951</v>
      </c>
      <c r="F22" s="2">
        <v>2330</v>
      </c>
      <c r="G22" s="2" t="s">
        <v>46</v>
      </c>
      <c r="H22" s="2"/>
      <c r="I22" s="2"/>
      <c r="J22" s="2"/>
      <c r="K22" s="14" t="s">
        <v>47</v>
      </c>
      <c r="L22" s="146"/>
      <c r="M22" s="16"/>
      <c r="N22" s="175">
        <f>'[1]Trial Balance'!$D$292</f>
        <v>0</v>
      </c>
      <c r="O22" s="16"/>
      <c r="P22" s="175">
        <f>'[1]Trial Balance'!$F$292</f>
        <v>0</v>
      </c>
      <c r="Q22" s="16"/>
      <c r="R22" s="175">
        <f>'[1]Trial Balance'!$H$292</f>
        <v>0</v>
      </c>
      <c r="S22" s="16"/>
      <c r="T22" s="175">
        <f>'[1]Trial Balance'!$J$292</f>
        <v>15202</v>
      </c>
      <c r="U22" s="16"/>
      <c r="V22" s="175">
        <f>'[1]Trial Balance'!$L$292</f>
        <v>31316.120000000003</v>
      </c>
      <c r="W22" s="67"/>
    </row>
    <row r="23" spans="1:23" s="1" customFormat="1" ht="15.75" thickBot="1">
      <c r="A23" s="20" t="s">
        <v>30</v>
      </c>
      <c r="B23" s="23">
        <f>SUM(B18:B22)</f>
        <v>1884617.3399999999</v>
      </c>
      <c r="C23" s="23">
        <f>SUM(C18:C22)</f>
        <v>1855223.6099999999</v>
      </c>
      <c r="D23" s="23">
        <f t="shared" si="2"/>
        <v>-29393.72999999998</v>
      </c>
      <c r="E23" s="60">
        <f t="shared" si="3"/>
        <v>-0.015596656878897221</v>
      </c>
      <c r="F23" s="2">
        <v>2335</v>
      </c>
      <c r="G23" s="2" t="s">
        <v>48</v>
      </c>
      <c r="H23" s="2"/>
      <c r="I23" s="2"/>
      <c r="J23" s="2"/>
      <c r="K23" s="14" t="s">
        <v>49</v>
      </c>
      <c r="L23" s="146"/>
      <c r="M23" s="16"/>
      <c r="N23" s="175">
        <f>'[1]Trial Balance'!$D$293</f>
        <v>0</v>
      </c>
      <c r="O23" s="16"/>
      <c r="P23" s="175">
        <f>'[1]Trial Balance'!$F$293</f>
        <v>300</v>
      </c>
      <c r="Q23" s="16"/>
      <c r="R23" s="175">
        <f>'[1]Trial Balance'!$H$293</f>
        <v>0</v>
      </c>
      <c r="S23" s="16"/>
      <c r="T23" s="175">
        <f>'[1]Trial Balance'!$J$293</f>
        <v>0</v>
      </c>
      <c r="U23" s="16"/>
      <c r="V23" s="175">
        <f>'[1]Trial Balance'!$L$293</f>
        <v>0</v>
      </c>
      <c r="W23" s="67"/>
    </row>
    <row r="24" spans="1:23" s="1" customFormat="1" ht="15.75" customHeight="1" thickTop="1">
      <c r="A24" s="20" t="s">
        <v>50</v>
      </c>
      <c r="E24" s="25"/>
      <c r="F24" s="2">
        <v>2340</v>
      </c>
      <c r="G24" s="2" t="s">
        <v>51</v>
      </c>
      <c r="H24" s="2"/>
      <c r="I24" s="2"/>
      <c r="J24" s="2"/>
      <c r="K24" s="14" t="s">
        <v>52</v>
      </c>
      <c r="L24" s="146"/>
      <c r="M24" s="16"/>
      <c r="N24" s="175">
        <f>'[1]Trial Balance'!$D$294</f>
        <v>0</v>
      </c>
      <c r="O24" s="16"/>
      <c r="P24" s="175">
        <f>'[1]Trial Balance'!$F$294</f>
        <v>0</v>
      </c>
      <c r="Q24" s="16"/>
      <c r="R24" s="175">
        <f>'[1]Trial Balance'!$H$294</f>
        <v>0</v>
      </c>
      <c r="S24" s="16"/>
      <c r="T24" s="175">
        <f>'[1]Trial Balance'!$J$294</f>
        <v>0</v>
      </c>
      <c r="U24" s="16"/>
      <c r="V24" s="175">
        <f>'[1]Trial Balance'!$L$294</f>
        <v>77.25</v>
      </c>
      <c r="W24" s="67"/>
    </row>
    <row r="25" spans="5:23" s="1" customFormat="1" ht="15">
      <c r="E25" s="25"/>
      <c r="F25" s="2">
        <v>2345</v>
      </c>
      <c r="G25" s="2" t="s">
        <v>53</v>
      </c>
      <c r="H25" s="2"/>
      <c r="I25" s="2"/>
      <c r="J25" s="2"/>
      <c r="K25" s="14" t="s">
        <v>54</v>
      </c>
      <c r="L25" s="146">
        <v>2216</v>
      </c>
      <c r="M25" s="16"/>
      <c r="N25" s="175">
        <f>'[1]Trial Balance'!$D$295</f>
        <v>607</v>
      </c>
      <c r="O25" s="16"/>
      <c r="P25" s="175">
        <f>'[1]Trial Balance'!$F$295</f>
        <v>7921</v>
      </c>
      <c r="Q25" s="16"/>
      <c r="R25" s="175">
        <f>'[1]Trial Balance'!$H$295</f>
        <v>4423.56</v>
      </c>
      <c r="S25" s="16"/>
      <c r="T25" s="175">
        <f>'[1]Trial Balance'!$J$295</f>
        <v>4556.266799999999</v>
      </c>
      <c r="U25" s="16"/>
      <c r="V25" s="175">
        <f>'[1]Trial Balance'!$L$295</f>
        <v>4692.954804</v>
      </c>
      <c r="W25" s="67"/>
    </row>
    <row r="26" spans="2:23" s="1" customFormat="1" ht="15">
      <c r="B26" s="19" t="s">
        <v>67</v>
      </c>
      <c r="C26" s="19" t="s">
        <v>173</v>
      </c>
      <c r="D26" s="19" t="s">
        <v>12</v>
      </c>
      <c r="E26" s="19" t="s">
        <v>13</v>
      </c>
      <c r="F26" s="2"/>
      <c r="G26" s="2"/>
      <c r="H26" s="2"/>
      <c r="I26" s="2"/>
      <c r="J26" s="2"/>
      <c r="K26" s="14" t="s">
        <v>56</v>
      </c>
      <c r="L26" s="146"/>
      <c r="M26" s="16"/>
      <c r="N26" s="175">
        <f>'[1]Trial Balance'!$D$296</f>
        <v>0</v>
      </c>
      <c r="O26" s="16"/>
      <c r="P26" s="175">
        <f>'[1]Trial Balance'!$F$296</f>
        <v>0</v>
      </c>
      <c r="Q26" s="16"/>
      <c r="R26" s="175">
        <f>'[1]Trial Balance'!$H$296</f>
        <v>0</v>
      </c>
      <c r="S26" s="16"/>
      <c r="T26" s="175">
        <f>'[1]Trial Balance'!$J$296</f>
        <v>0</v>
      </c>
      <c r="U26" s="16"/>
      <c r="V26" s="175">
        <f>'[1]Trial Balance'!$L$296</f>
        <v>0</v>
      </c>
      <c r="W26" s="67"/>
    </row>
    <row r="27" spans="1:23" s="1" customFormat="1" ht="15">
      <c r="A27" s="20" t="s">
        <v>6</v>
      </c>
      <c r="B27" s="21">
        <f>C18</f>
        <v>505675</v>
      </c>
      <c r="C27" s="21">
        <f>R$29</f>
        <v>415820.95</v>
      </c>
      <c r="D27" s="21">
        <f aca="true" t="shared" si="4" ref="D27:D32">C27-B27</f>
        <v>-89854.04999999999</v>
      </c>
      <c r="E27" s="22">
        <f aca="true" t="shared" si="5" ref="E27:E32">D27/B27</f>
        <v>-0.17769130370297126</v>
      </c>
      <c r="F27" s="2"/>
      <c r="G27" s="2"/>
      <c r="H27" s="2"/>
      <c r="I27" s="2"/>
      <c r="J27" s="2"/>
      <c r="K27" s="26" t="s">
        <v>57</v>
      </c>
      <c r="L27" s="146"/>
      <c r="M27" s="16"/>
      <c r="N27" s="175">
        <f>'[1]Trial Balance'!$D$297</f>
        <v>0</v>
      </c>
      <c r="O27" s="16"/>
      <c r="P27" s="175">
        <f>'[1]Trial Balance'!$F$297</f>
        <v>0</v>
      </c>
      <c r="Q27" s="16"/>
      <c r="R27" s="175">
        <f>'[1]Trial Balance'!$H$297</f>
        <v>0</v>
      </c>
      <c r="S27" s="16"/>
      <c r="T27" s="175">
        <f>'[1]Trial Balance'!$J$297</f>
        <v>0</v>
      </c>
      <c r="U27" s="16"/>
      <c r="V27" s="175">
        <f>'[1]Trial Balance'!$L$297</f>
        <v>0</v>
      </c>
      <c r="W27" s="67"/>
    </row>
    <row r="28" spans="1:23" s="1" customFormat="1" ht="15">
      <c r="A28" s="20" t="s">
        <v>18</v>
      </c>
      <c r="B28" s="21">
        <f>C19</f>
        <v>139615</v>
      </c>
      <c r="C28" s="21">
        <f>R$50</f>
        <v>225311.69</v>
      </c>
      <c r="D28" s="21">
        <f t="shared" si="4"/>
        <v>85696.69</v>
      </c>
      <c r="E28" s="22">
        <f t="shared" si="5"/>
        <v>0.6138071840418293</v>
      </c>
      <c r="F28" s="2">
        <v>2350</v>
      </c>
      <c r="G28" s="2" t="s">
        <v>58</v>
      </c>
      <c r="H28" s="2"/>
      <c r="I28" s="2"/>
      <c r="J28" s="2"/>
      <c r="K28" s="14" t="s">
        <v>59</v>
      </c>
      <c r="L28" s="146"/>
      <c r="M28" s="16"/>
      <c r="N28" s="175">
        <f>'[1]Trial Balance'!$D$298</f>
        <v>0</v>
      </c>
      <c r="O28" s="16"/>
      <c r="P28" s="175">
        <f>'[1]Trial Balance'!$F$298</f>
        <v>0</v>
      </c>
      <c r="Q28" s="16"/>
      <c r="R28" s="175">
        <f>'[1]Trial Balance'!$H$298</f>
        <v>0</v>
      </c>
      <c r="S28" s="16"/>
      <c r="T28" s="175">
        <f>'[1]Trial Balance'!$J$298</f>
        <v>0</v>
      </c>
      <c r="U28" s="16"/>
      <c r="V28" s="175">
        <f>'[1]Trial Balance'!$L$298</f>
        <v>0</v>
      </c>
      <c r="W28" s="67"/>
    </row>
    <row r="29" spans="1:23" s="1" customFormat="1" ht="15">
      <c r="A29" s="20" t="s">
        <v>21</v>
      </c>
      <c r="B29" s="21">
        <f>C20</f>
        <v>407715</v>
      </c>
      <c r="C29" s="21">
        <f>R$61</f>
        <v>425479.32</v>
      </c>
      <c r="D29" s="21">
        <f t="shared" si="4"/>
        <v>17764.320000000007</v>
      </c>
      <c r="E29" s="22">
        <f t="shared" si="5"/>
        <v>0.04357043523049191</v>
      </c>
      <c r="F29" s="2"/>
      <c r="G29" s="2"/>
      <c r="H29" s="27"/>
      <c r="I29" s="2"/>
      <c r="J29" s="2"/>
      <c r="K29" s="28" t="s">
        <v>60</v>
      </c>
      <c r="L29" s="147">
        <f>SUM(L6:L28)</f>
        <v>620871</v>
      </c>
      <c r="M29" s="16"/>
      <c r="N29" s="30">
        <f>SUM(N6:N28)</f>
        <v>617177</v>
      </c>
      <c r="O29" s="16"/>
      <c r="P29" s="30">
        <f>SUM(P6:P28)</f>
        <v>505675</v>
      </c>
      <c r="Q29" s="16"/>
      <c r="R29" s="30">
        <f>SUM(R6:R28)</f>
        <v>415820.95</v>
      </c>
      <c r="S29" s="16"/>
      <c r="T29" s="30">
        <f>SUM(T6:T28)</f>
        <v>579608.7852</v>
      </c>
      <c r="U29" s="16"/>
      <c r="V29" s="30">
        <f>SUM(V6:V28)</f>
        <v>879396.1671413335</v>
      </c>
      <c r="W29" s="67"/>
    </row>
    <row r="30" spans="1:23" s="1" customFormat="1" ht="15">
      <c r="A30" s="20" t="s">
        <v>24</v>
      </c>
      <c r="B30" s="21">
        <f>C21</f>
        <v>-4705</v>
      </c>
      <c r="C30" s="21">
        <f>R$71</f>
        <v>13354.54</v>
      </c>
      <c r="D30" s="21">
        <f t="shared" si="4"/>
        <v>18059.54</v>
      </c>
      <c r="E30" s="22">
        <f t="shared" si="5"/>
        <v>-3.838371944739639</v>
      </c>
      <c r="F30" s="2"/>
      <c r="G30" s="2"/>
      <c r="H30" s="27"/>
      <c r="I30" s="2"/>
      <c r="J30" s="2"/>
      <c r="K30" s="313"/>
      <c r="L30" s="313"/>
      <c r="M30" s="313"/>
      <c r="N30" s="313"/>
      <c r="O30" s="313"/>
      <c r="P30" s="313"/>
      <c r="Q30" s="16"/>
      <c r="R30" s="13"/>
      <c r="S30" s="16"/>
      <c r="T30" s="13"/>
      <c r="U30" s="16"/>
      <c r="V30" s="13"/>
      <c r="W30" s="67"/>
    </row>
    <row r="31" spans="1:23" s="1" customFormat="1" ht="15">
      <c r="A31" s="20" t="s">
        <v>27</v>
      </c>
      <c r="B31" s="21">
        <f>C22</f>
        <v>806923.61</v>
      </c>
      <c r="C31" s="21">
        <f>R$93</f>
        <v>1019723.7100000001</v>
      </c>
      <c r="D31" s="21">
        <f t="shared" si="4"/>
        <v>212800.1000000001</v>
      </c>
      <c r="E31" s="22">
        <f t="shared" si="5"/>
        <v>0.2637177762093243</v>
      </c>
      <c r="F31" s="2"/>
      <c r="G31" s="2"/>
      <c r="H31" s="2"/>
      <c r="I31" s="2"/>
      <c r="J31" s="2"/>
      <c r="K31" s="12" t="s">
        <v>18</v>
      </c>
      <c r="L31" s="58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67"/>
    </row>
    <row r="32" spans="1:23" s="1" customFormat="1" ht="15.75" thickBot="1">
      <c r="A32" s="20" t="s">
        <v>30</v>
      </c>
      <c r="B32" s="23">
        <f>SUM(B27:B31)</f>
        <v>1855223.6099999999</v>
      </c>
      <c r="C32" s="23">
        <f>SUM(C27:C31)</f>
        <v>2099690.21</v>
      </c>
      <c r="D32" s="23">
        <f t="shared" si="4"/>
        <v>244466.6000000001</v>
      </c>
      <c r="E32" s="24">
        <f t="shared" si="5"/>
        <v>0.13177204013698388</v>
      </c>
      <c r="F32" s="2">
        <v>0</v>
      </c>
      <c r="G32" s="2" t="s">
        <v>61</v>
      </c>
      <c r="H32" s="2"/>
      <c r="I32" s="2"/>
      <c r="J32" s="2"/>
      <c r="K32" s="14" t="s">
        <v>62</v>
      </c>
      <c r="L32" s="195"/>
      <c r="M32" s="16"/>
      <c r="N32" s="175">
        <f>'[1]Trial Balance'!$D$300</f>
        <v>0</v>
      </c>
      <c r="O32" s="16"/>
      <c r="P32" s="175">
        <f>'[1]Trial Balance'!$F$300</f>
        <v>0</v>
      </c>
      <c r="Q32" s="16"/>
      <c r="R32" s="175">
        <f>'[1]Trial Balance'!$H$300</f>
        <v>0</v>
      </c>
      <c r="S32" s="16"/>
      <c r="T32" s="175">
        <f>'[1]Trial Balance'!$J$300</f>
        <v>34875</v>
      </c>
      <c r="U32" s="16"/>
      <c r="V32" s="175">
        <f>'[1]Trial Balance'!$L$300</f>
        <v>52312.5</v>
      </c>
      <c r="W32" s="67"/>
    </row>
    <row r="33" spans="1:23" s="1" customFormat="1" ht="15.75" thickTop="1">
      <c r="A33" s="20" t="s">
        <v>50</v>
      </c>
      <c r="E33" s="25"/>
      <c r="F33" s="2">
        <v>2405</v>
      </c>
      <c r="G33" s="2" t="s">
        <v>63</v>
      </c>
      <c r="H33" s="2"/>
      <c r="I33" s="2"/>
      <c r="J33" s="2"/>
      <c r="K33" s="14" t="s">
        <v>64</v>
      </c>
      <c r="L33" s="195"/>
      <c r="M33" s="16"/>
      <c r="N33" s="175">
        <f>'[1]Trial Balance'!$D$301</f>
        <v>0</v>
      </c>
      <c r="O33" s="16"/>
      <c r="P33" s="175">
        <f>'[1]Trial Balance'!$F$301</f>
        <v>0</v>
      </c>
      <c r="Q33" s="16"/>
      <c r="R33" s="175">
        <f>'[1]Trial Balance'!$H$301</f>
        <v>0</v>
      </c>
      <c r="S33" s="16"/>
      <c r="T33" s="175">
        <f>'[1]Trial Balance'!$J$301</f>
        <v>0</v>
      </c>
      <c r="U33" s="16"/>
      <c r="V33" s="175">
        <f>'[1]Trial Balance'!$L$301</f>
        <v>0</v>
      </c>
      <c r="W33" s="67"/>
    </row>
    <row r="34" spans="5:23" s="1" customFormat="1" ht="15">
      <c r="E34" s="25"/>
      <c r="F34" s="2">
        <v>2410</v>
      </c>
      <c r="G34" s="2" t="s">
        <v>65</v>
      </c>
      <c r="H34" s="2"/>
      <c r="I34" s="2"/>
      <c r="J34" s="2"/>
      <c r="K34" s="14" t="s">
        <v>66</v>
      </c>
      <c r="L34" s="195"/>
      <c r="M34" s="16"/>
      <c r="N34" s="175">
        <f>'[1]Trial Balance'!$D$302</f>
        <v>0</v>
      </c>
      <c r="O34" s="16"/>
      <c r="P34" s="175">
        <f>'[1]Trial Balance'!$F$302</f>
        <v>0</v>
      </c>
      <c r="Q34" s="16"/>
      <c r="R34" s="175">
        <f>'[1]Trial Balance'!$H$302</f>
        <v>0</v>
      </c>
      <c r="S34" s="16"/>
      <c r="T34" s="175">
        <f>'[1]Trial Balance'!$J$302</f>
        <v>0</v>
      </c>
      <c r="U34" s="16"/>
      <c r="V34" s="175">
        <f>'[1]Trial Balance'!$L$302</f>
        <v>0</v>
      </c>
      <c r="W34" s="67"/>
    </row>
    <row r="35" spans="2:23" s="1" customFormat="1" ht="15">
      <c r="B35" s="19" t="s">
        <v>173</v>
      </c>
      <c r="C35" s="19" t="s">
        <v>174</v>
      </c>
      <c r="D35" s="19" t="s">
        <v>12</v>
      </c>
      <c r="E35" s="19" t="s">
        <v>13</v>
      </c>
      <c r="F35" s="2">
        <v>2415</v>
      </c>
      <c r="G35" s="2" t="s">
        <v>68</v>
      </c>
      <c r="H35" s="2"/>
      <c r="I35" s="2"/>
      <c r="J35" s="2"/>
      <c r="K35" s="14" t="s">
        <v>69</v>
      </c>
      <c r="L35" s="195"/>
      <c r="M35" s="16"/>
      <c r="N35" s="175">
        <f>'[1]Trial Balance'!$D$303</f>
        <v>0</v>
      </c>
      <c r="O35" s="16"/>
      <c r="P35" s="175">
        <f>'[1]Trial Balance'!$F$303</f>
        <v>0</v>
      </c>
      <c r="Q35" s="16"/>
      <c r="R35" s="175">
        <f>'[1]Trial Balance'!$H$303</f>
        <v>0</v>
      </c>
      <c r="S35" s="16"/>
      <c r="T35" s="175">
        <f>'[1]Trial Balance'!J303</f>
        <v>0</v>
      </c>
      <c r="U35" s="16"/>
      <c r="V35" s="175">
        <f>'[1]Trial Balance'!$L$303</f>
        <v>0</v>
      </c>
      <c r="W35" s="67"/>
    </row>
    <row r="36" spans="1:23" s="1" customFormat="1" ht="15">
      <c r="A36" s="20" t="s">
        <v>6</v>
      </c>
      <c r="B36" s="21">
        <f>C27</f>
        <v>415820.95</v>
      </c>
      <c r="C36" s="21">
        <f>T$29</f>
        <v>579608.7852</v>
      </c>
      <c r="D36" s="21">
        <f aca="true" t="shared" si="6" ref="D36:D41">C36-B36</f>
        <v>163787.83520000003</v>
      </c>
      <c r="E36" s="22">
        <f aca="true" t="shared" si="7" ref="E36:E41">D36/B36</f>
        <v>0.39389029148242777</v>
      </c>
      <c r="F36" s="2">
        <v>2425</v>
      </c>
      <c r="G36" s="2" t="s">
        <v>70</v>
      </c>
      <c r="H36" s="2"/>
      <c r="I36" s="2"/>
      <c r="J36" s="2"/>
      <c r="K36" s="14" t="s">
        <v>71</v>
      </c>
      <c r="L36" s="195">
        <v>3124</v>
      </c>
      <c r="M36" s="16"/>
      <c r="N36" s="175">
        <f>'[1]Trial Balance'!$D$304</f>
        <v>3033</v>
      </c>
      <c r="O36" s="16"/>
      <c r="P36" s="175">
        <f>'[1]Trial Balance'!$F$304</f>
        <v>8375</v>
      </c>
      <c r="Q36" s="16"/>
      <c r="R36" s="175">
        <f>'[1]Trial Balance'!$H$304</f>
        <v>36678.38</v>
      </c>
      <c r="S36" s="16"/>
      <c r="T36" s="175">
        <f>'[1]Trial Balance'!$J$304</f>
        <v>40569.7314</v>
      </c>
      <c r="U36" s="16"/>
      <c r="V36" s="175">
        <f>'[1]Trial Balance'!$L$304</f>
        <v>41786.823342</v>
      </c>
      <c r="W36" s="67"/>
    </row>
    <row r="37" spans="1:23" s="1" customFormat="1" ht="15">
      <c r="A37" s="20" t="s">
        <v>18</v>
      </c>
      <c r="B37" s="21">
        <f>C28</f>
        <v>225311.69</v>
      </c>
      <c r="C37" s="21">
        <f>T$50</f>
        <v>306218.8626</v>
      </c>
      <c r="D37" s="21">
        <f t="shared" si="6"/>
        <v>80907.17259999999</v>
      </c>
      <c r="E37" s="22">
        <f t="shared" si="7"/>
        <v>0.3590899904039599</v>
      </c>
      <c r="F37" s="2">
        <v>2435</v>
      </c>
      <c r="G37" s="2" t="s">
        <v>72</v>
      </c>
      <c r="H37" s="2"/>
      <c r="I37" s="2"/>
      <c r="J37" s="2"/>
      <c r="K37" s="14" t="s">
        <v>73</v>
      </c>
      <c r="L37" s="195"/>
      <c r="M37" s="16"/>
      <c r="N37" s="175">
        <f>'[1]Trial Balance'!$D$305</f>
        <v>0</v>
      </c>
      <c r="O37" s="16"/>
      <c r="P37" s="175">
        <f>'[1]Trial Balance'!$F$305</f>
        <v>0</v>
      </c>
      <c r="Q37" s="16"/>
      <c r="R37" s="175">
        <f>'[1]Trial Balance'!$H$305</f>
        <v>0</v>
      </c>
      <c r="S37" s="16"/>
      <c r="T37" s="175">
        <f>'[1]Trial Balance'!$J$305</f>
        <v>0</v>
      </c>
      <c r="U37" s="16"/>
      <c r="V37" s="175">
        <f>'[1]Trial Balance'!$L$305</f>
        <v>10000</v>
      </c>
      <c r="W37" s="67"/>
    </row>
    <row r="38" spans="1:23" s="1" customFormat="1" ht="15">
      <c r="A38" s="20" t="s">
        <v>21</v>
      </c>
      <c r="B38" s="21">
        <f>C29</f>
        <v>425479.32</v>
      </c>
      <c r="C38" s="21">
        <f>T$61</f>
        <v>501542.38413333334</v>
      </c>
      <c r="D38" s="21">
        <f t="shared" si="6"/>
        <v>76063.06413333333</v>
      </c>
      <c r="E38" s="22">
        <f t="shared" si="7"/>
        <v>0.17877029636442338</v>
      </c>
      <c r="F38" s="2">
        <v>0</v>
      </c>
      <c r="G38" s="2" t="s">
        <v>74</v>
      </c>
      <c r="H38" s="2"/>
      <c r="I38" s="2"/>
      <c r="J38" s="2"/>
      <c r="K38" s="14" t="s">
        <v>75</v>
      </c>
      <c r="L38" s="195"/>
      <c r="M38" s="16"/>
      <c r="N38" s="175">
        <f>'[1]Trial Balance'!D306</f>
        <v>0</v>
      </c>
      <c r="O38" s="16"/>
      <c r="P38" s="175">
        <f>'[1]Trial Balance'!$F$306</f>
        <v>0</v>
      </c>
      <c r="Q38" s="16"/>
      <c r="R38" s="175">
        <f>'[1]Trial Balance'!$H$306</f>
        <v>0</v>
      </c>
      <c r="S38" s="16"/>
      <c r="T38" s="175">
        <f>'[1]Trial Balance'!$J$306</f>
        <v>0</v>
      </c>
      <c r="U38" s="16"/>
      <c r="V38" s="175">
        <f>'[1]Trial Balance'!$L$306</f>
        <v>3000</v>
      </c>
      <c r="W38" s="67"/>
    </row>
    <row r="39" spans="1:23" s="1" customFormat="1" ht="15">
      <c r="A39" s="20" t="s">
        <v>24</v>
      </c>
      <c r="B39" s="21">
        <f>C30</f>
        <v>13354.54</v>
      </c>
      <c r="C39" s="21">
        <f>T$71</f>
        <v>13926.842733333335</v>
      </c>
      <c r="D39" s="21">
        <f t="shared" si="6"/>
        <v>572.3027333333339</v>
      </c>
      <c r="E39" s="22">
        <f t="shared" si="7"/>
        <v>0.0428545448464218</v>
      </c>
      <c r="F39" s="2">
        <v>2505</v>
      </c>
      <c r="G39" s="2" t="s">
        <v>76</v>
      </c>
      <c r="H39" s="2"/>
      <c r="I39" s="2"/>
      <c r="J39" s="2"/>
      <c r="K39" s="14" t="s">
        <v>77</v>
      </c>
      <c r="L39" s="195">
        <v>18016</v>
      </c>
      <c r="M39" s="16"/>
      <c r="N39" s="175">
        <f>'[1]Trial Balance'!$D$307</f>
        <v>24233</v>
      </c>
      <c r="O39" s="16"/>
      <c r="P39" s="175">
        <f>'[1]Trial Balance'!$F$307</f>
        <v>39912</v>
      </c>
      <c r="Q39" s="16"/>
      <c r="R39" s="175">
        <f>'[1]Trial Balance'!$H$307</f>
        <v>69204.25</v>
      </c>
      <c r="S39" s="16"/>
      <c r="T39" s="175">
        <f>'[1]Trial Balance'!$J$307</f>
        <v>44862.8075</v>
      </c>
      <c r="U39" s="16"/>
      <c r="V39" s="175">
        <f>'[1]Trial Balance'!$L$307</f>
        <v>45053.931725</v>
      </c>
      <c r="W39" s="67"/>
    </row>
    <row r="40" spans="1:23" s="1" customFormat="1" ht="15">
      <c r="A40" s="20" t="s">
        <v>27</v>
      </c>
      <c r="B40" s="21">
        <f>C31</f>
        <v>1019723.7100000001</v>
      </c>
      <c r="C40" s="21">
        <f>T$93</f>
        <v>1047828.9739</v>
      </c>
      <c r="D40" s="21">
        <f t="shared" si="6"/>
        <v>28105.263899999904</v>
      </c>
      <c r="E40" s="22">
        <f t="shared" si="7"/>
        <v>0.02756164598742134</v>
      </c>
      <c r="F40" s="2">
        <v>2510</v>
      </c>
      <c r="G40" s="2" t="s">
        <v>78</v>
      </c>
      <c r="H40" s="2"/>
      <c r="I40" s="2"/>
      <c r="J40" s="2"/>
      <c r="K40" s="14" t="s">
        <v>79</v>
      </c>
      <c r="L40" s="195"/>
      <c r="M40" s="16"/>
      <c r="N40" s="175">
        <f>'[1]Trial Balance'!$D$308</f>
        <v>0</v>
      </c>
      <c r="O40" s="16"/>
      <c r="P40" s="175">
        <f>'[1]Trial Balance'!$F$308</f>
        <v>0</v>
      </c>
      <c r="Q40" s="16"/>
      <c r="R40" s="175">
        <f>'[1]Trial Balance'!$H$308</f>
        <v>0</v>
      </c>
      <c r="S40" s="16"/>
      <c r="T40" s="175">
        <f>'[1]Trial Balance'!$J$308</f>
        <v>0</v>
      </c>
      <c r="U40" s="16"/>
      <c r="V40" s="175">
        <f>'[1]Trial Balance'!$L$308</f>
        <v>0</v>
      </c>
      <c r="W40" s="67"/>
    </row>
    <row r="41" spans="1:23" s="1" customFormat="1" ht="15.75" thickBot="1">
      <c r="A41" s="20" t="s">
        <v>30</v>
      </c>
      <c r="B41" s="23">
        <f>SUM(B36:B40)</f>
        <v>2099690.21</v>
      </c>
      <c r="C41" s="23">
        <f>SUM(C36:C40)</f>
        <v>2449125.8485666667</v>
      </c>
      <c r="D41" s="23">
        <f t="shared" si="6"/>
        <v>349435.63856666675</v>
      </c>
      <c r="E41" s="24">
        <f t="shared" si="7"/>
        <v>0.1664224736117938</v>
      </c>
      <c r="F41" s="2">
        <v>2515</v>
      </c>
      <c r="G41" s="2" t="s">
        <v>80</v>
      </c>
      <c r="H41" s="2"/>
      <c r="I41" s="2"/>
      <c r="J41" s="2"/>
      <c r="K41" s="14" t="s">
        <v>81</v>
      </c>
      <c r="L41" s="195"/>
      <c r="M41" s="16"/>
      <c r="N41" s="175">
        <f>'[1]Trial Balance'!$D$309</f>
        <v>0</v>
      </c>
      <c r="O41" s="16"/>
      <c r="P41" s="175">
        <f>'[1]Trial Balance'!$F$309</f>
        <v>0</v>
      </c>
      <c r="Q41" s="16"/>
      <c r="R41" s="175">
        <f>'[1]Trial Balance'!$H$309</f>
        <v>0</v>
      </c>
      <c r="S41" s="16"/>
      <c r="T41" s="175">
        <f>'[1]Trial Balance'!$J$309</f>
        <v>0</v>
      </c>
      <c r="U41" s="16"/>
      <c r="V41" s="175">
        <f>'[1]Trial Balance'!$L$309</f>
        <v>0</v>
      </c>
      <c r="W41" s="67"/>
    </row>
    <row r="42" spans="1:23" s="1" customFormat="1" ht="15.75" thickTop="1">
      <c r="A42" s="20" t="s">
        <v>50</v>
      </c>
      <c r="E42" s="25"/>
      <c r="F42" s="2">
        <v>2520</v>
      </c>
      <c r="G42" s="2" t="s">
        <v>82</v>
      </c>
      <c r="H42" s="2"/>
      <c r="I42" s="2"/>
      <c r="J42" s="2"/>
      <c r="K42" s="14" t="s">
        <v>83</v>
      </c>
      <c r="L42" s="195">
        <v>214</v>
      </c>
      <c r="M42" s="16"/>
      <c r="N42" s="175">
        <f>'[1]Trial Balance'!$D$310</f>
        <v>1197</v>
      </c>
      <c r="O42" s="16"/>
      <c r="P42" s="175">
        <f>'[1]Trial Balance'!$F$310</f>
        <v>9015</v>
      </c>
      <c r="Q42" s="16"/>
      <c r="R42" s="175">
        <f>'[1]Trial Balance'!$H$310</f>
        <v>8699.33</v>
      </c>
      <c r="S42" s="16"/>
      <c r="T42" s="175">
        <f>'[1]Trial Balance'!$J$310</f>
        <v>8960.309899999998</v>
      </c>
      <c r="U42" s="16"/>
      <c r="V42" s="175">
        <f>'[1]Trial Balance'!$L$310</f>
        <v>9229.119197</v>
      </c>
      <c r="W42" s="67"/>
    </row>
    <row r="43" spans="1:23" s="1" customFormat="1" ht="15">
      <c r="A43" s="2"/>
      <c r="B43" s="2"/>
      <c r="C43" s="2"/>
      <c r="D43" s="2"/>
      <c r="E43" s="35"/>
      <c r="F43" s="2">
        <v>2525</v>
      </c>
      <c r="G43" s="2" t="s">
        <v>84</v>
      </c>
      <c r="H43" s="2"/>
      <c r="I43" s="2"/>
      <c r="J43" s="2"/>
      <c r="K43" s="14" t="s">
        <v>85</v>
      </c>
      <c r="L43" s="195">
        <v>65522</v>
      </c>
      <c r="M43" s="16"/>
      <c r="N43" s="175">
        <f>'[1]Trial Balance'!$D$311</f>
        <v>35904</v>
      </c>
      <c r="O43" s="16"/>
      <c r="P43" s="175">
        <f>'[1]Trial Balance'!$F$311</f>
        <v>42096</v>
      </c>
      <c r="Q43" s="16"/>
      <c r="R43" s="175">
        <f>'[1]Trial Balance'!$H$311</f>
        <v>30881.41</v>
      </c>
      <c r="S43" s="16"/>
      <c r="T43" s="175">
        <f>'[1]Trial Balance'!$J$311</f>
        <v>35674.4174</v>
      </c>
      <c r="U43" s="16"/>
      <c r="V43" s="175">
        <f>'[1]Trial Balance'!$L$311</f>
        <v>36138.89685</v>
      </c>
      <c r="W43" s="67"/>
    </row>
    <row r="44" spans="2:23" s="1" customFormat="1" ht="15">
      <c r="B44" s="19" t="s">
        <v>174</v>
      </c>
      <c r="C44" s="19" t="s">
        <v>175</v>
      </c>
      <c r="D44" s="19" t="s">
        <v>12</v>
      </c>
      <c r="E44" s="19" t="s">
        <v>13</v>
      </c>
      <c r="F44" s="2"/>
      <c r="G44" s="2"/>
      <c r="H44" s="2"/>
      <c r="I44" s="2"/>
      <c r="J44" s="2"/>
      <c r="K44" s="14" t="s">
        <v>86</v>
      </c>
      <c r="L44" s="195"/>
      <c r="M44" s="16"/>
      <c r="N44" s="175">
        <f>'[1]Trial Balance'!$D$312</f>
        <v>0</v>
      </c>
      <c r="O44" s="16"/>
      <c r="P44" s="175">
        <f>'[1]Trial Balance'!$F$312</f>
        <v>0</v>
      </c>
      <c r="Q44" s="16"/>
      <c r="R44" s="175">
        <f>'[1]Trial Balance'!$H$312</f>
        <v>0</v>
      </c>
      <c r="S44" s="16"/>
      <c r="T44" s="175">
        <f>'[1]Trial Balance'!$J$312</f>
        <v>0</v>
      </c>
      <c r="U44" s="16"/>
      <c r="V44" s="175">
        <f>'[1]Trial Balance'!$L$312</f>
        <v>0</v>
      </c>
      <c r="W44" s="67"/>
    </row>
    <row r="45" spans="1:23" s="1" customFormat="1" ht="15">
      <c r="A45" s="20" t="s">
        <v>6</v>
      </c>
      <c r="B45" s="21">
        <f>C36</f>
        <v>579608.7852</v>
      </c>
      <c r="C45" s="21">
        <f>V$29</f>
        <v>879396.1671413335</v>
      </c>
      <c r="D45" s="21">
        <f aca="true" t="shared" si="8" ref="D45:D50">C45-B45</f>
        <v>299787.3819413334</v>
      </c>
      <c r="E45" s="22">
        <f aca="true" t="shared" si="9" ref="E45:E50">D45/B45</f>
        <v>0.5172236680951767</v>
      </c>
      <c r="F45" s="2"/>
      <c r="G45" s="2"/>
      <c r="H45" s="2"/>
      <c r="I45" s="2"/>
      <c r="J45" s="2"/>
      <c r="K45" s="14" t="s">
        <v>87</v>
      </c>
      <c r="L45" s="195"/>
      <c r="M45" s="16"/>
      <c r="N45" s="175">
        <f>'[1]Trial Balance'!$D$313</f>
        <v>0</v>
      </c>
      <c r="O45" s="16"/>
      <c r="P45" s="175">
        <f>'[1]Trial Balance'!$F$313</f>
        <v>0</v>
      </c>
      <c r="Q45" s="16"/>
      <c r="R45" s="175">
        <f>'[1]Trial Balance'!$H$313</f>
        <v>0</v>
      </c>
      <c r="S45" s="16"/>
      <c r="T45" s="175">
        <f>'[1]Trial Balance'!$J$313</f>
        <v>0</v>
      </c>
      <c r="U45" s="16"/>
      <c r="V45" s="175">
        <f>'[1]Trial Balance'!$L$313</f>
        <v>0</v>
      </c>
      <c r="W45" s="67"/>
    </row>
    <row r="46" spans="1:23" s="1" customFormat="1" ht="15">
      <c r="A46" s="20" t="s">
        <v>18</v>
      </c>
      <c r="B46" s="21">
        <f>C37</f>
        <v>306218.8626</v>
      </c>
      <c r="C46" s="21">
        <f>V$50</f>
        <v>391785.52180999995</v>
      </c>
      <c r="D46" s="21">
        <f t="shared" si="8"/>
        <v>85566.65920999995</v>
      </c>
      <c r="E46" s="22">
        <f t="shared" si="9"/>
        <v>0.27942974669647264</v>
      </c>
      <c r="F46" s="2"/>
      <c r="G46" s="2"/>
      <c r="H46" s="2"/>
      <c r="I46" s="2"/>
      <c r="J46" s="2"/>
      <c r="K46" s="14" t="s">
        <v>88</v>
      </c>
      <c r="L46" s="195"/>
      <c r="M46" s="16"/>
      <c r="N46" s="175">
        <f>'[1]Trial Balance'!$D$314</f>
        <v>0</v>
      </c>
      <c r="O46" s="16"/>
      <c r="P46" s="175">
        <f>'[1]Trial Balance'!$F$314</f>
        <v>0</v>
      </c>
      <c r="Q46" s="16"/>
      <c r="R46" s="175">
        <f>'[1]Trial Balance'!$H$314</f>
        <v>0</v>
      </c>
      <c r="S46" s="16"/>
      <c r="T46" s="175">
        <f>'[1]Trial Balance'!$J$314</f>
        <v>0</v>
      </c>
      <c r="U46" s="16"/>
      <c r="V46" s="175">
        <f>'[1]Trial Balance'!$L$314</f>
        <v>0</v>
      </c>
      <c r="W46" s="67"/>
    </row>
    <row r="47" spans="1:23" s="1" customFormat="1" ht="15">
      <c r="A47" s="20" t="s">
        <v>21</v>
      </c>
      <c r="B47" s="21">
        <f>C38</f>
        <v>501542.38413333334</v>
      </c>
      <c r="C47" s="21">
        <f>V$61</f>
        <v>500298.1487953334</v>
      </c>
      <c r="D47" s="21">
        <f t="shared" si="8"/>
        <v>-1244.2353379999404</v>
      </c>
      <c r="E47" s="22">
        <f t="shared" si="9"/>
        <v>-0.0024808179275814996</v>
      </c>
      <c r="F47" s="2">
        <v>2530</v>
      </c>
      <c r="G47" s="2" t="s">
        <v>89</v>
      </c>
      <c r="H47" s="2"/>
      <c r="I47" s="2"/>
      <c r="J47" s="2"/>
      <c r="K47" s="14" t="s">
        <v>90</v>
      </c>
      <c r="L47" s="195">
        <v>17231</v>
      </c>
      <c r="M47" s="16"/>
      <c r="N47" s="175">
        <f>'[1]Trial Balance'!$D$315</f>
        <v>12970</v>
      </c>
      <c r="O47" s="16"/>
      <c r="P47" s="175">
        <f>'[1]Trial Balance'!$F$315</f>
        <v>40217</v>
      </c>
      <c r="Q47" s="16"/>
      <c r="R47" s="175">
        <f>'[1]Trial Balance'!$H$315</f>
        <v>79848.32</v>
      </c>
      <c r="S47" s="16"/>
      <c r="T47" s="175">
        <f>'[1]Trial Balance'!$J$315</f>
        <v>141276.5964</v>
      </c>
      <c r="U47" s="16"/>
      <c r="V47" s="175">
        <f>'[1]Trial Balance'!$L$315</f>
        <v>194264.250696</v>
      </c>
      <c r="W47" s="67"/>
    </row>
    <row r="48" spans="1:23" s="1" customFormat="1" ht="15">
      <c r="A48" s="20" t="s">
        <v>24</v>
      </c>
      <c r="B48" s="21">
        <f>C39</f>
        <v>13926.842733333335</v>
      </c>
      <c r="C48" s="21">
        <f>V$71</f>
        <v>14344.648015333336</v>
      </c>
      <c r="D48" s="21">
        <f t="shared" si="8"/>
        <v>417.80528200000117</v>
      </c>
      <c r="E48" s="22">
        <f t="shared" si="9"/>
        <v>0.030000000000000082</v>
      </c>
      <c r="F48" s="2"/>
      <c r="G48" s="2"/>
      <c r="H48" s="2"/>
      <c r="I48" s="2"/>
      <c r="J48" s="2"/>
      <c r="K48" s="14" t="s">
        <v>91</v>
      </c>
      <c r="L48" s="195">
        <v>0</v>
      </c>
      <c r="M48" s="16"/>
      <c r="N48" s="175">
        <f>'[1]Trial Balance'!$D$316</f>
        <v>0</v>
      </c>
      <c r="O48" s="16"/>
      <c r="P48" s="175">
        <f>'[1]Trial Balance'!$F$316</f>
        <v>0</v>
      </c>
      <c r="Q48" s="16"/>
      <c r="R48" s="175">
        <f>'[1]Trial Balance'!$H$316</f>
        <v>0</v>
      </c>
      <c r="S48" s="16"/>
      <c r="T48" s="175">
        <f>'[1]Trial Balance'!$J$316</f>
        <v>0</v>
      </c>
      <c r="U48" s="16"/>
      <c r="V48" s="175">
        <f>'[1]Trial Balance'!$L$316</f>
        <v>0</v>
      </c>
      <c r="W48" s="67"/>
    </row>
    <row r="49" spans="1:23" ht="20.25" customHeight="1">
      <c r="A49" s="20" t="s">
        <v>27</v>
      </c>
      <c r="B49" s="21">
        <f>C40</f>
        <v>1047828.9739</v>
      </c>
      <c r="C49" s="21">
        <f>V$93</f>
        <v>1281489.1994170004</v>
      </c>
      <c r="D49" s="21">
        <f t="shared" si="8"/>
        <v>233660.22551700042</v>
      </c>
      <c r="E49" s="22">
        <f t="shared" si="9"/>
        <v>0.22299462158153674</v>
      </c>
      <c r="K49" s="14" t="s">
        <v>92</v>
      </c>
      <c r="L49" s="195"/>
      <c r="M49" s="16"/>
      <c r="N49" s="175">
        <f>'[1]Trial Balance'!$D$317</f>
        <v>0</v>
      </c>
      <c r="O49" s="16"/>
      <c r="P49" s="175">
        <f>'[1]Trial Balance'!$F$317</f>
        <v>0</v>
      </c>
      <c r="Q49" s="16"/>
      <c r="R49" s="175">
        <f>'[1]Trial Balance'!$H$317</f>
        <v>0</v>
      </c>
      <c r="S49" s="16"/>
      <c r="T49" s="175">
        <f>'[1]Trial Balance'!$J$317</f>
        <v>0</v>
      </c>
      <c r="U49" s="16"/>
      <c r="V49" s="175">
        <f>'[1]Trial Balance'!$L$317</f>
        <v>0</v>
      </c>
      <c r="W49" s="67"/>
    </row>
    <row r="50" spans="1:124" s="33" customFormat="1" ht="20.25" customHeight="1" thickBot="1">
      <c r="A50" s="20" t="s">
        <v>30</v>
      </c>
      <c r="B50" s="23">
        <f>SUM(B45:B49)</f>
        <v>2449125.8485666667</v>
      </c>
      <c r="C50" s="23">
        <f>SUM(C45:C49)</f>
        <v>3067313.6851790007</v>
      </c>
      <c r="D50" s="23">
        <f t="shared" si="8"/>
        <v>618187.836612334</v>
      </c>
      <c r="E50" s="24">
        <f t="shared" si="9"/>
        <v>0.2524116255496319</v>
      </c>
      <c r="I50" s="2"/>
      <c r="J50" s="2"/>
      <c r="K50" s="28" t="s">
        <v>60</v>
      </c>
      <c r="L50" s="147">
        <f>SUM(L32:L49)</f>
        <v>104107</v>
      </c>
      <c r="M50" s="16"/>
      <c r="N50" s="30">
        <f>SUM(N32:N49)</f>
        <v>77337</v>
      </c>
      <c r="O50" s="16"/>
      <c r="P50" s="30">
        <f>SUM(P32:P49)</f>
        <v>139615</v>
      </c>
      <c r="Q50" s="16"/>
      <c r="R50" s="30">
        <f>SUM(R32:R49)</f>
        <v>225311.69</v>
      </c>
      <c r="S50" s="16"/>
      <c r="T50" s="30">
        <f>SUM(T32:T49)</f>
        <v>306218.8626</v>
      </c>
      <c r="U50" s="16"/>
      <c r="V50" s="30">
        <f>SUM(V32:V49)</f>
        <v>391785.52180999995</v>
      </c>
      <c r="W50" s="67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</row>
    <row r="51" spans="1:23" ht="20.25" customHeight="1" thickTop="1">
      <c r="A51" s="20"/>
      <c r="K51" s="313"/>
      <c r="L51" s="313"/>
      <c r="M51" s="313"/>
      <c r="N51" s="313"/>
      <c r="O51" s="313"/>
      <c r="P51" s="313"/>
      <c r="Q51" s="16"/>
      <c r="S51" s="16"/>
      <c r="U51" s="16"/>
      <c r="W51" s="67"/>
    </row>
    <row r="52" spans="11:23" ht="20.25" customHeight="1">
      <c r="K52" s="12" t="s">
        <v>93</v>
      </c>
      <c r="L52" s="58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67"/>
    </row>
    <row r="53" spans="6:23" ht="20.25" customHeight="1">
      <c r="F53" s="2">
        <v>2550</v>
      </c>
      <c r="G53" s="2" t="s">
        <v>94</v>
      </c>
      <c r="K53" s="14" t="s">
        <v>95</v>
      </c>
      <c r="L53" s="195"/>
      <c r="M53" s="16"/>
      <c r="N53" s="175">
        <f>'[1]Trial Balance'!$D$323</f>
        <v>0</v>
      </c>
      <c r="O53" s="16"/>
      <c r="P53" s="175">
        <f>'[1]Trial Balance'!$F$323</f>
        <v>0</v>
      </c>
      <c r="Q53" s="16"/>
      <c r="R53" s="175">
        <f>'[1]Trial Balance'!$H$323</f>
        <v>0</v>
      </c>
      <c r="S53" s="16"/>
      <c r="T53" s="175">
        <f>'[1]Trial Balance'!$J$323</f>
        <v>0</v>
      </c>
      <c r="U53" s="16"/>
      <c r="V53" s="175">
        <f>'[1]Trial Balance'!$L$323</f>
        <v>0</v>
      </c>
      <c r="W53" s="67"/>
    </row>
    <row r="54" spans="1:23" ht="20.25" customHeight="1">
      <c r="A54" s="36" t="s">
        <v>183</v>
      </c>
      <c r="F54" s="2">
        <v>0</v>
      </c>
      <c r="G54" s="2" t="s">
        <v>96</v>
      </c>
      <c r="K54" s="14" t="s">
        <v>97</v>
      </c>
      <c r="L54" s="195">
        <v>65533</v>
      </c>
      <c r="M54" s="16"/>
      <c r="N54" s="175">
        <f>'[1]Trial Balance'!$D$324</f>
        <v>64970</v>
      </c>
      <c r="O54" s="16"/>
      <c r="P54" s="175">
        <f>'[1]Trial Balance'!$F$324</f>
        <v>63778</v>
      </c>
      <c r="Q54" s="16"/>
      <c r="R54" s="175">
        <f>'[1]Trial Balance'!$H$324</f>
        <v>62889.54</v>
      </c>
      <c r="S54" s="16"/>
      <c r="T54" s="175">
        <f>'[1]Trial Balance'!$J$324</f>
        <v>134191.21</v>
      </c>
      <c r="U54" s="16"/>
      <c r="V54" s="175">
        <f>'[1]Trial Balance'!$L$324</f>
        <v>17191.9512</v>
      </c>
      <c r="W54" s="67"/>
    </row>
    <row r="55" spans="1:23" ht="20.25" customHeight="1">
      <c r="A55" s="12" t="s">
        <v>110</v>
      </c>
      <c r="B55" s="5" t="s">
        <v>111</v>
      </c>
      <c r="F55" s="2">
        <v>3005</v>
      </c>
      <c r="G55" s="2" t="s">
        <v>98</v>
      </c>
      <c r="K55" s="14" t="s">
        <v>99</v>
      </c>
      <c r="L55" s="195">
        <v>122846</v>
      </c>
      <c r="M55" s="16"/>
      <c r="N55" s="175">
        <f>'[1]Trial Balance'!$D$325</f>
        <v>122411</v>
      </c>
      <c r="O55" s="16"/>
      <c r="P55" s="175">
        <f>'[1]Trial Balance'!$F$325</f>
        <v>129841</v>
      </c>
      <c r="Q55" s="16"/>
      <c r="R55" s="175">
        <f>'[1]Trial Balance'!$H$325</f>
        <v>126867.12</v>
      </c>
      <c r="S55" s="16"/>
      <c r="T55" s="175">
        <f>'[1]Trial Balance'!$J$325</f>
        <v>130575.2836</v>
      </c>
      <c r="U55" s="16"/>
      <c r="V55" s="175">
        <f>'[1]Trial Balance'!$L$325</f>
        <v>131000</v>
      </c>
      <c r="W55" s="67"/>
    </row>
    <row r="56" spans="1:23" ht="20.25" customHeight="1">
      <c r="A56" s="34" t="s">
        <v>178</v>
      </c>
      <c r="B56" s="22">
        <f>(C50/B41)-1</f>
        <v>0.4608410662537692</v>
      </c>
      <c r="C56" s="1"/>
      <c r="D56" s="1"/>
      <c r="E56" s="1"/>
      <c r="F56" s="2">
        <v>3008</v>
      </c>
      <c r="G56" s="2" t="s">
        <v>100</v>
      </c>
      <c r="K56" s="14" t="s">
        <v>101</v>
      </c>
      <c r="L56" s="195">
        <v>97303</v>
      </c>
      <c r="M56" s="16"/>
      <c r="N56" s="175">
        <f>'[1]Trial Balance'!$D$326</f>
        <v>97641</v>
      </c>
      <c r="O56" s="16"/>
      <c r="P56" s="175">
        <f>'[1]Trial Balance'!$F$326</f>
        <v>92675</v>
      </c>
      <c r="Q56" s="16"/>
      <c r="R56" s="175">
        <f>'[1]Trial Balance'!$H$326</f>
        <v>103730.38</v>
      </c>
      <c r="S56" s="16"/>
      <c r="T56" s="175">
        <f>'[1]Trial Balance'!$J$326</f>
        <v>106842.2914</v>
      </c>
      <c r="U56" s="16"/>
      <c r="V56" s="175">
        <f>'[1]Trial Balance'!$L$326</f>
        <v>130277.17214200002</v>
      </c>
      <c r="W56" s="67"/>
    </row>
    <row r="57" spans="1:23" ht="20.25" customHeight="1">
      <c r="A57" s="34" t="s">
        <v>179</v>
      </c>
      <c r="B57" s="22">
        <f>(C50/B14)-1</f>
        <v>0.46381808190195795</v>
      </c>
      <c r="C57" s="1"/>
      <c r="D57" s="1"/>
      <c r="E57" s="1"/>
      <c r="F57" s="2">
        <v>3010</v>
      </c>
      <c r="G57" s="2" t="s">
        <v>102</v>
      </c>
      <c r="K57" s="14" t="s">
        <v>103</v>
      </c>
      <c r="L57" s="195">
        <v>-17</v>
      </c>
      <c r="M57" s="16"/>
      <c r="N57" s="175">
        <f>'[1]Trial Balance'!$D$327</f>
        <v>5</v>
      </c>
      <c r="O57" s="16"/>
      <c r="P57" s="175">
        <f>'[1]Trial Balance'!$F$327</f>
        <v>128</v>
      </c>
      <c r="Q57" s="16"/>
      <c r="R57" s="175">
        <f>'[1]Trial Balance'!$H$327</f>
        <v>-16.85</v>
      </c>
      <c r="S57" s="16"/>
      <c r="T57" s="175">
        <f>'[1]Trial Balance'!$J$327</f>
        <v>0</v>
      </c>
      <c r="U57" s="16"/>
      <c r="V57" s="175">
        <f>'[1]Trial Balance'!$L$327</f>
        <v>0</v>
      </c>
      <c r="W57" s="67"/>
    </row>
    <row r="58" spans="1:23" ht="21" customHeight="1">
      <c r="A58" s="34"/>
      <c r="B58" s="22"/>
      <c r="C58" s="1"/>
      <c r="D58" s="1"/>
      <c r="E58" s="1"/>
      <c r="F58" s="2">
        <v>3020</v>
      </c>
      <c r="G58" s="2" t="s">
        <v>104</v>
      </c>
      <c r="K58" s="14" t="s">
        <v>105</v>
      </c>
      <c r="L58" s="195">
        <v>516</v>
      </c>
      <c r="M58" s="16"/>
      <c r="N58" s="175">
        <f>'[1]Trial Balance'!$D$328</f>
        <v>4440</v>
      </c>
      <c r="O58" s="16"/>
      <c r="P58" s="175">
        <f>'[1]Trial Balance'!$F$328</f>
        <v>8925</v>
      </c>
      <c r="Q58" s="16"/>
      <c r="R58" s="175">
        <f>'[1]Trial Balance'!$H$328</f>
        <v>4067.17</v>
      </c>
      <c r="S58" s="16"/>
      <c r="T58" s="175">
        <f>'[1]Trial Balance'!$J$328</f>
        <v>4050.32</v>
      </c>
      <c r="U58" s="16"/>
      <c r="V58" s="175">
        <f>'[1]Trial Balance'!$L$328</f>
        <v>4171.8296</v>
      </c>
      <c r="W58" s="67"/>
    </row>
    <row r="59" spans="1:23" ht="47.25" customHeight="1">
      <c r="A59" s="34"/>
      <c r="B59" s="37" t="s">
        <v>118</v>
      </c>
      <c r="C59" s="1"/>
      <c r="D59" s="1"/>
      <c r="E59" s="1"/>
      <c r="F59" s="2">
        <v>3022</v>
      </c>
      <c r="G59" s="2" t="s">
        <v>106</v>
      </c>
      <c r="K59" s="14" t="s">
        <v>107</v>
      </c>
      <c r="L59" s="195">
        <v>21344</v>
      </c>
      <c r="M59" s="16"/>
      <c r="N59" s="175">
        <f>'[1]Trial Balance'!$D$329</f>
        <v>29693</v>
      </c>
      <c r="O59" s="16"/>
      <c r="P59" s="175">
        <f>'[1]Trial Balance'!$F$329</f>
        <v>13290</v>
      </c>
      <c r="Q59" s="16"/>
      <c r="R59" s="175">
        <f>'[1]Trial Balance'!$H$329</f>
        <v>22681.1</v>
      </c>
      <c r="S59" s="16"/>
      <c r="T59" s="175">
        <f>'[1]Trial Balance'!$J$329</f>
        <v>21888.063333333335</v>
      </c>
      <c r="U59" s="16"/>
      <c r="V59" s="175">
        <f>'[1]Trial Balance'!$L$329</f>
        <v>22544.705233333338</v>
      </c>
      <c r="W59" s="67"/>
    </row>
    <row r="60" spans="1:23" ht="20.25" customHeight="1">
      <c r="A60" s="38" t="s">
        <v>125</v>
      </c>
      <c r="B60" s="39">
        <f>E23</f>
        <v>-0.015596656878897221</v>
      </c>
      <c r="C60" s="1"/>
      <c r="D60" s="40"/>
      <c r="E60" s="1"/>
      <c r="F60" s="2">
        <v>3026</v>
      </c>
      <c r="G60" s="2" t="s">
        <v>108</v>
      </c>
      <c r="K60" s="14" t="s">
        <v>109</v>
      </c>
      <c r="L60" s="195">
        <v>121319</v>
      </c>
      <c r="M60" s="16"/>
      <c r="N60" s="175">
        <f>'[1]Trial Balance'!$D$330</f>
        <v>121125</v>
      </c>
      <c r="O60" s="16"/>
      <c r="P60" s="175">
        <f>'[1]Trial Balance'!$F$330</f>
        <v>99078</v>
      </c>
      <c r="Q60" s="16"/>
      <c r="R60" s="175">
        <f>'[1]Trial Balance'!$H$330</f>
        <v>105260.86</v>
      </c>
      <c r="S60" s="16"/>
      <c r="T60" s="175">
        <f>'[1]Trial Balance'!$J$330</f>
        <v>103995.2158</v>
      </c>
      <c r="U60" s="16"/>
      <c r="V60" s="175">
        <f>'[1]Trial Balance'!$L$330</f>
        <v>195112.49062</v>
      </c>
      <c r="W60" s="67"/>
    </row>
    <row r="61" spans="1:23" ht="20.25" customHeight="1">
      <c r="A61" s="38" t="s">
        <v>181</v>
      </c>
      <c r="B61" s="39">
        <f>E32</f>
        <v>0.13177204013698388</v>
      </c>
      <c r="C61" s="1"/>
      <c r="D61" s="1"/>
      <c r="E61" s="1"/>
      <c r="K61" s="28" t="s">
        <v>60</v>
      </c>
      <c r="L61" s="147">
        <f>SUM(L53:L60)</f>
        <v>428844</v>
      </c>
      <c r="M61" s="16"/>
      <c r="N61" s="30">
        <f>SUM(N53:N60)</f>
        <v>440285</v>
      </c>
      <c r="O61" s="16"/>
      <c r="P61" s="30">
        <f>SUM(P53:P60)</f>
        <v>407715</v>
      </c>
      <c r="Q61" s="16"/>
      <c r="R61" s="30">
        <f>SUM(R53:R60)</f>
        <v>425479.32</v>
      </c>
      <c r="S61" s="16"/>
      <c r="T61" s="30">
        <f>SUM(T53:T60)</f>
        <v>501542.38413333334</v>
      </c>
      <c r="U61" s="16"/>
      <c r="V61" s="30">
        <f>SUM(V53:V60)</f>
        <v>500298.1487953334</v>
      </c>
      <c r="W61" s="67"/>
    </row>
    <row r="62" spans="1:23" ht="20.25" customHeight="1" thickBot="1">
      <c r="A62" s="41" t="s">
        <v>182</v>
      </c>
      <c r="B62" s="42">
        <f>(B60+B61)/2</f>
        <v>0.05808769162904333</v>
      </c>
      <c r="C62" s="39"/>
      <c r="D62" s="1"/>
      <c r="E62" s="1"/>
      <c r="K62" s="313"/>
      <c r="L62" s="313"/>
      <c r="M62" s="313"/>
      <c r="N62" s="313"/>
      <c r="O62" s="313"/>
      <c r="P62" s="313"/>
      <c r="Q62" s="16"/>
      <c r="S62" s="16"/>
      <c r="U62" s="16"/>
      <c r="W62" s="67"/>
    </row>
    <row r="63" spans="1:23" ht="22.5" customHeight="1" thickTop="1">
      <c r="A63" s="1"/>
      <c r="B63" s="1"/>
      <c r="C63" s="1"/>
      <c r="D63" s="1"/>
      <c r="E63" s="1"/>
      <c r="K63" s="12" t="s">
        <v>24</v>
      </c>
      <c r="L63" s="58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67"/>
    </row>
    <row r="64" spans="1:23" ht="30">
      <c r="A64" s="1"/>
      <c r="B64" s="37" t="s">
        <v>128</v>
      </c>
      <c r="C64" s="1"/>
      <c r="D64" s="1"/>
      <c r="E64" s="1"/>
      <c r="F64" s="2">
        <v>3030</v>
      </c>
      <c r="G64" s="2" t="s">
        <v>112</v>
      </c>
      <c r="K64" s="14" t="s">
        <v>113</v>
      </c>
      <c r="L64" s="195"/>
      <c r="M64" s="16"/>
      <c r="N64" s="175">
        <f>'[1]Trial Balance'!$D$332</f>
        <v>0</v>
      </c>
      <c r="O64" s="16"/>
      <c r="P64" s="175">
        <f>'[1]Trial Balance'!$F$332</f>
        <v>0</v>
      </c>
      <c r="Q64" s="16"/>
      <c r="R64" s="175">
        <f>'[1]Trial Balance'!$H$332</f>
        <v>0</v>
      </c>
      <c r="S64" s="16"/>
      <c r="T64" s="175">
        <f>'[1]Trial Balance'!$J$332</f>
        <v>0</v>
      </c>
      <c r="U64" s="16"/>
      <c r="V64" s="175">
        <f>'[1]Trial Balance'!$L$332</f>
        <v>0</v>
      </c>
      <c r="W64" s="67"/>
    </row>
    <row r="65" spans="1:23" s="1" customFormat="1" ht="15">
      <c r="A65" s="38" t="s">
        <v>180</v>
      </c>
      <c r="B65" s="43">
        <f>SQRT(B50/B23)-1</f>
        <v>0.139971410260759</v>
      </c>
      <c r="F65" s="2">
        <v>3035</v>
      </c>
      <c r="G65" s="2" t="s">
        <v>114</v>
      </c>
      <c r="H65" s="2"/>
      <c r="I65" s="2"/>
      <c r="J65" s="2"/>
      <c r="K65" s="14" t="s">
        <v>115</v>
      </c>
      <c r="L65" s="195">
        <v>19767</v>
      </c>
      <c r="M65" s="16"/>
      <c r="N65" s="175">
        <f>'[1]Trial Balance'!$D$333</f>
        <v>8053</v>
      </c>
      <c r="O65" s="16"/>
      <c r="P65" s="175">
        <f>'[1]Trial Balance'!$F$333</f>
        <v>-4705</v>
      </c>
      <c r="Q65" s="16"/>
      <c r="R65" s="175">
        <f>'[1]Trial Balance'!$H$333</f>
        <v>13354.54</v>
      </c>
      <c r="S65" s="16"/>
      <c r="T65" s="175">
        <f>'[1]Trial Balance'!$J$333</f>
        <v>13926.842733333335</v>
      </c>
      <c r="U65" s="16"/>
      <c r="V65" s="175">
        <f>'[1]Trial Balance'!$L$333</f>
        <v>14344.648015333336</v>
      </c>
      <c r="W65" s="67"/>
    </row>
    <row r="66" spans="1:23" s="1" customFormat="1" ht="15">
      <c r="A66" s="38"/>
      <c r="B66" s="43"/>
      <c r="D66" s="44"/>
      <c r="E66" s="44"/>
      <c r="F66" s="2">
        <v>3040</v>
      </c>
      <c r="G66" s="2" t="s">
        <v>116</v>
      </c>
      <c r="H66" s="2"/>
      <c r="I66" s="2"/>
      <c r="J66" s="2"/>
      <c r="K66" s="14" t="s">
        <v>117</v>
      </c>
      <c r="L66" s="195">
        <v>0</v>
      </c>
      <c r="M66" s="16"/>
      <c r="N66" s="175">
        <f>'[1]Trial Balance'!$D$334</f>
        <v>0</v>
      </c>
      <c r="O66" s="16"/>
      <c r="P66" s="175">
        <f>'[1]Trial Balance'!$F$334</f>
        <v>0</v>
      </c>
      <c r="Q66" s="16"/>
      <c r="R66" s="175">
        <f>'[1]Trial Balance'!$H$334</f>
        <v>0</v>
      </c>
      <c r="S66" s="16"/>
      <c r="T66" s="175">
        <f>'[1]Trial Balance'!$J$334</f>
        <v>0</v>
      </c>
      <c r="U66" s="16"/>
      <c r="V66" s="175">
        <f>'[1]Trial Balance'!$L$334</f>
        <v>0</v>
      </c>
      <c r="W66" s="67"/>
    </row>
    <row r="67" spans="1:23" s="1" customFormat="1" ht="15">
      <c r="A67" s="38"/>
      <c r="B67" s="43"/>
      <c r="F67" s="2">
        <v>3045</v>
      </c>
      <c r="G67" s="2" t="s">
        <v>119</v>
      </c>
      <c r="H67" s="2"/>
      <c r="I67" s="2"/>
      <c r="J67" s="2"/>
      <c r="K67" s="14" t="s">
        <v>120</v>
      </c>
      <c r="L67" s="195"/>
      <c r="M67" s="16"/>
      <c r="N67" s="175">
        <f>'[1]Trial Balance'!$D$335</f>
        <v>0</v>
      </c>
      <c r="O67" s="16"/>
      <c r="P67" s="175">
        <f>'[1]Trial Balance'!$F$335</f>
        <v>0</v>
      </c>
      <c r="Q67" s="16"/>
      <c r="R67" s="175">
        <f>'[1]Trial Balance'!$H$335</f>
        <v>0</v>
      </c>
      <c r="S67" s="16"/>
      <c r="T67" s="175">
        <f>'[1]Trial Balance'!$J$335</f>
        <v>0</v>
      </c>
      <c r="U67" s="16"/>
      <c r="V67" s="175">
        <f>'[1]Trial Balance'!$L$335</f>
        <v>0</v>
      </c>
      <c r="W67" s="67"/>
    </row>
    <row r="68" spans="6:23" s="1" customFormat="1" ht="15">
      <c r="F68" s="2">
        <v>3046</v>
      </c>
      <c r="G68" s="2" t="s">
        <v>121</v>
      </c>
      <c r="H68" s="2"/>
      <c r="I68" s="2"/>
      <c r="J68" s="2"/>
      <c r="K68" s="14" t="s">
        <v>122</v>
      </c>
      <c r="L68" s="195"/>
      <c r="M68" s="16"/>
      <c r="N68" s="175">
        <f>'[1]Trial Balance'!$D$336</f>
        <v>0</v>
      </c>
      <c r="O68" s="16"/>
      <c r="P68" s="175">
        <f>'[1]Trial Balance'!$F$336</f>
        <v>0</v>
      </c>
      <c r="Q68" s="16"/>
      <c r="R68" s="175">
        <f>'[1]Trial Balance'!$H$336</f>
        <v>0</v>
      </c>
      <c r="S68" s="16"/>
      <c r="T68" s="175">
        <f>'[1]Trial Balance'!$J$336</f>
        <v>0</v>
      </c>
      <c r="U68" s="16"/>
      <c r="V68" s="175">
        <f>'[1]Trial Balance'!$L$336</f>
        <v>0</v>
      </c>
      <c r="W68" s="67"/>
    </row>
    <row r="69" spans="6:23" s="1" customFormat="1" ht="15">
      <c r="F69" s="2">
        <v>3047</v>
      </c>
      <c r="G69" s="2" t="s">
        <v>123</v>
      </c>
      <c r="H69" s="2"/>
      <c r="I69" s="2"/>
      <c r="J69" s="2"/>
      <c r="K69" s="14" t="s">
        <v>124</v>
      </c>
      <c r="L69" s="195"/>
      <c r="M69" s="16"/>
      <c r="N69" s="175">
        <f>'[1]Trial Balance'!$D$337</f>
        <v>0</v>
      </c>
      <c r="O69" s="16"/>
      <c r="P69" s="175">
        <f>'[1]Trial Balance'!$F$337</f>
        <v>0</v>
      </c>
      <c r="Q69" s="16"/>
      <c r="R69" s="175">
        <f>'[1]Trial Balance'!$H$337</f>
        <v>0</v>
      </c>
      <c r="S69" s="16"/>
      <c r="T69" s="175">
        <f>'[1]Trial Balance'!$J$337</f>
        <v>0</v>
      </c>
      <c r="U69" s="16"/>
      <c r="V69" s="175">
        <f>'[1]Trial Balance'!$L$337</f>
        <v>0</v>
      </c>
      <c r="W69" s="67"/>
    </row>
    <row r="70" spans="6:23" s="1" customFormat="1" ht="15">
      <c r="F70" s="2">
        <v>3048</v>
      </c>
      <c r="G70" s="2" t="s">
        <v>126</v>
      </c>
      <c r="H70" s="2"/>
      <c r="I70" s="2"/>
      <c r="J70" s="2"/>
      <c r="K70" s="14" t="s">
        <v>127</v>
      </c>
      <c r="L70" s="195"/>
      <c r="M70" s="16"/>
      <c r="N70" s="175">
        <f>'[1]Trial Balance'!$D$338</f>
        <v>0</v>
      </c>
      <c r="O70" s="16"/>
      <c r="P70" s="175">
        <f>'[1]Trial Balance'!$F$338</f>
        <v>0</v>
      </c>
      <c r="Q70" s="16"/>
      <c r="R70" s="175">
        <f>'[1]Trial Balance'!$H$338</f>
        <v>0</v>
      </c>
      <c r="S70" s="16"/>
      <c r="T70" s="175">
        <f>'[1]Trial Balance'!$J$338</f>
        <v>0</v>
      </c>
      <c r="U70" s="16"/>
      <c r="V70" s="175">
        <f>'[1]Trial Balance'!$L$338</f>
        <v>0</v>
      </c>
      <c r="W70" s="67"/>
    </row>
    <row r="71" spans="6:23" s="1" customFormat="1" ht="15">
      <c r="F71" s="2"/>
      <c r="G71" s="2"/>
      <c r="H71" s="2"/>
      <c r="I71" s="2"/>
      <c r="J71" s="2"/>
      <c r="K71" s="28" t="s">
        <v>60</v>
      </c>
      <c r="L71" s="147">
        <f>SUM(L64:L70)</f>
        <v>19767</v>
      </c>
      <c r="M71" s="16"/>
      <c r="N71" s="30">
        <f>SUM(N64:N70)</f>
        <v>8053</v>
      </c>
      <c r="O71" s="16"/>
      <c r="P71" s="30">
        <f>SUM(P64:P70)</f>
        <v>-4705</v>
      </c>
      <c r="Q71" s="16"/>
      <c r="R71" s="30">
        <f>SUM(R64:R70)</f>
        <v>13354.54</v>
      </c>
      <c r="S71" s="16"/>
      <c r="T71" s="30">
        <f>SUM(T64:T70)</f>
        <v>13926.842733333335</v>
      </c>
      <c r="U71" s="16"/>
      <c r="V71" s="30">
        <f>SUM(V64:V70)</f>
        <v>14344.648015333336</v>
      </c>
      <c r="W71" s="67"/>
    </row>
    <row r="72" spans="6:23" s="1" customFormat="1" ht="15">
      <c r="F72" s="2"/>
      <c r="G72" s="2"/>
      <c r="H72" s="2"/>
      <c r="I72" s="2"/>
      <c r="J72" s="2"/>
      <c r="K72" s="313"/>
      <c r="L72" s="313"/>
      <c r="M72" s="313"/>
      <c r="N72" s="313"/>
      <c r="O72" s="313"/>
      <c r="P72" s="313"/>
      <c r="Q72" s="16"/>
      <c r="R72" s="13"/>
      <c r="S72" s="16"/>
      <c r="T72" s="13"/>
      <c r="U72" s="16"/>
      <c r="V72" s="13"/>
      <c r="W72" s="67"/>
    </row>
    <row r="73" spans="6:23" s="1" customFormat="1" ht="15">
      <c r="F73" s="2"/>
      <c r="G73" s="2"/>
      <c r="H73" s="2"/>
      <c r="I73" s="2"/>
      <c r="J73" s="2"/>
      <c r="K73" s="12" t="s">
        <v>129</v>
      </c>
      <c r="L73" s="58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67"/>
    </row>
    <row r="74" spans="6:23" s="1" customFormat="1" ht="15">
      <c r="F74" s="2">
        <v>3049</v>
      </c>
      <c r="G74" s="2" t="s">
        <v>130</v>
      </c>
      <c r="H74" s="2"/>
      <c r="I74" s="2"/>
      <c r="J74" s="2"/>
      <c r="K74" s="14" t="s">
        <v>131</v>
      </c>
      <c r="L74" s="195">
        <v>17657</v>
      </c>
      <c r="M74" s="16"/>
      <c r="N74" s="175">
        <f>'[1]Trial Balance'!$D$343</f>
        <v>16612.16</v>
      </c>
      <c r="O74" s="16"/>
      <c r="P74" s="175">
        <f>'[1]Trial Balance'!$F$343</f>
        <v>33309.87</v>
      </c>
      <c r="Q74" s="16"/>
      <c r="R74" s="175">
        <f>'[1]Trial Balance'!$H$343</f>
        <v>46510</v>
      </c>
      <c r="S74" s="16"/>
      <c r="T74" s="175">
        <f>'[1]Trial Balance'!$J$343</f>
        <v>47905.6502</v>
      </c>
      <c r="U74" s="16"/>
      <c r="V74" s="175">
        <f>'[1]Trial Balance'!$L$343</f>
        <v>49342.819705999995</v>
      </c>
      <c r="W74" s="67"/>
    </row>
    <row r="75" spans="6:23" s="1" customFormat="1" ht="15">
      <c r="F75" s="2">
        <v>3055</v>
      </c>
      <c r="G75" s="2" t="s">
        <v>132</v>
      </c>
      <c r="H75" s="2"/>
      <c r="I75" s="2"/>
      <c r="J75" s="2"/>
      <c r="K75" s="14" t="s">
        <v>133</v>
      </c>
      <c r="L75" s="195">
        <v>312318</v>
      </c>
      <c r="M75" s="16"/>
      <c r="N75" s="175">
        <f>'[1]Trial Balance'!$D$344</f>
        <v>336516.18</v>
      </c>
      <c r="O75" s="16"/>
      <c r="P75" s="175">
        <f>'[1]Trial Balance'!$F$344</f>
        <v>365366.74</v>
      </c>
      <c r="Q75" s="16"/>
      <c r="R75" s="175">
        <f>'[1]Trial Balance'!$H$344</f>
        <v>426686</v>
      </c>
      <c r="S75" s="16"/>
      <c r="T75" s="175">
        <f>'[1]Trial Balance'!$J$344</f>
        <v>449700.3004</v>
      </c>
      <c r="U75" s="16"/>
      <c r="V75" s="175">
        <f>'[1]Trial Balance'!$L$344</f>
        <v>494916.309412</v>
      </c>
      <c r="W75" s="67"/>
    </row>
    <row r="76" spans="6:23" s="1" customFormat="1" ht="15">
      <c r="F76" s="2">
        <v>3065</v>
      </c>
      <c r="G76" s="2" t="s">
        <v>134</v>
      </c>
      <c r="H76" s="2"/>
      <c r="I76" s="2"/>
      <c r="J76" s="2"/>
      <c r="K76" s="14" t="s">
        <v>135</v>
      </c>
      <c r="L76" s="195">
        <v>148698</v>
      </c>
      <c r="M76" s="16"/>
      <c r="N76" s="175">
        <f>'[1]Trial Balance'!$D$345</f>
        <v>86694</v>
      </c>
      <c r="O76" s="16"/>
      <c r="P76" s="175">
        <f>'[1]Trial Balance'!$F$345</f>
        <v>77739</v>
      </c>
      <c r="Q76" s="16"/>
      <c r="R76" s="175">
        <f>'[1]Trial Balance'!$H$345</f>
        <v>91247.28</v>
      </c>
      <c r="S76" s="16"/>
      <c r="T76" s="175">
        <f>'[1]Trial Balance'!$J$345</f>
        <v>93984.69840000001</v>
      </c>
      <c r="U76" s="16"/>
      <c r="V76" s="175">
        <f>'[1]Trial Balance'!$L$345</f>
        <v>143854.239352</v>
      </c>
      <c r="W76" s="67"/>
    </row>
    <row r="77" spans="6:23" s="1" customFormat="1" ht="15">
      <c r="F77" s="2">
        <v>0</v>
      </c>
      <c r="G77" s="2" t="s">
        <v>136</v>
      </c>
      <c r="H77" s="2"/>
      <c r="I77" s="2"/>
      <c r="J77" s="2"/>
      <c r="K77" s="14" t="s">
        <v>137</v>
      </c>
      <c r="L77" s="195">
        <v>93931</v>
      </c>
      <c r="M77" s="16"/>
      <c r="N77" s="175">
        <f>'[1]Trial Balance'!$D$346</f>
        <v>77736</v>
      </c>
      <c r="O77" s="16"/>
      <c r="P77" s="175">
        <f>'[1]Trial Balance'!$F$346</f>
        <v>95090</v>
      </c>
      <c r="Q77" s="16"/>
      <c r="R77" s="175">
        <f>'[1]Trial Balance'!$H$346</f>
        <v>99807.9</v>
      </c>
      <c r="S77" s="16"/>
      <c r="T77" s="175">
        <f>'[1]Trial Balance'!$J$346</f>
        <v>102802.137</v>
      </c>
      <c r="U77" s="16"/>
      <c r="V77" s="175">
        <f>'[1]Trial Balance'!$L$346</f>
        <v>105886.20111000001</v>
      </c>
      <c r="W77" s="67"/>
    </row>
    <row r="78" spans="6:23" s="1" customFormat="1" ht="15">
      <c r="F78" s="2"/>
      <c r="G78" s="2"/>
      <c r="H78" s="2"/>
      <c r="I78" s="2"/>
      <c r="J78" s="2"/>
      <c r="K78" s="14" t="s">
        <v>138</v>
      </c>
      <c r="L78" s="195"/>
      <c r="M78" s="16"/>
      <c r="N78" s="175">
        <f>'[1]Trial Balance'!$D$347</f>
        <v>0</v>
      </c>
      <c r="O78" s="16"/>
      <c r="P78" s="175">
        <f>'[1]Trial Balance'!$F$347</f>
        <v>0</v>
      </c>
      <c r="Q78" s="16"/>
      <c r="R78" s="175">
        <f>'[1]Trial Balance'!$H$347</f>
        <v>0</v>
      </c>
      <c r="S78" s="16"/>
      <c r="T78" s="175">
        <f>'[1]Trial Balance'!$J$347</f>
        <v>0</v>
      </c>
      <c r="U78" s="16"/>
      <c r="V78" s="175">
        <f>'[1]Trial Balance'!$L$347</f>
        <v>0</v>
      </c>
      <c r="W78" s="67"/>
    </row>
    <row r="79" spans="6:23" s="1" customFormat="1" ht="15">
      <c r="F79" s="2">
        <v>4006</v>
      </c>
      <c r="G79" s="2" t="s">
        <v>139</v>
      </c>
      <c r="H79" s="2"/>
      <c r="I79" s="2"/>
      <c r="J79" s="2"/>
      <c r="K79" s="14" t="s">
        <v>140</v>
      </c>
      <c r="L79" s="195">
        <v>138624</v>
      </c>
      <c r="M79" s="16"/>
      <c r="N79" s="175">
        <f>'[1]Trial Balance'!$D$348</f>
        <v>7309</v>
      </c>
      <c r="O79" s="16"/>
      <c r="P79" s="175">
        <f>'[1]Trial Balance'!$F$348</f>
        <v>62428</v>
      </c>
      <c r="Q79" s="16"/>
      <c r="R79" s="175">
        <f>'[1]Trial Balance'!$H$348</f>
        <v>70227.74</v>
      </c>
      <c r="S79" s="16"/>
      <c r="T79" s="175">
        <f>'[1]Trial Balance'!$J$348</f>
        <v>101364.19489999999</v>
      </c>
      <c r="U79" s="16"/>
      <c r="V79" s="175">
        <f>'[1]Trial Balance'!$L$348</f>
        <v>155405.477047</v>
      </c>
      <c r="W79" s="67"/>
    </row>
    <row r="80" spans="6:23" s="1" customFormat="1" ht="15">
      <c r="F80" s="2">
        <v>4010</v>
      </c>
      <c r="G80" s="2" t="s">
        <v>141</v>
      </c>
      <c r="H80" s="2"/>
      <c r="I80" s="2"/>
      <c r="J80" s="2"/>
      <c r="K80" s="14" t="s">
        <v>142</v>
      </c>
      <c r="L80" s="195">
        <v>19915</v>
      </c>
      <c r="M80" s="16"/>
      <c r="N80" s="175">
        <f>'[1]Trial Balance'!$D$349</f>
        <v>20347</v>
      </c>
      <c r="O80" s="16"/>
      <c r="P80" s="175">
        <f>'[1]Trial Balance'!$F$349</f>
        <v>24675</v>
      </c>
      <c r="Q80" s="16"/>
      <c r="R80" s="175">
        <f>'[1]Trial Balance'!$H$349</f>
        <v>27066.44</v>
      </c>
      <c r="S80" s="16"/>
      <c r="T80" s="175">
        <f>'[1]Trial Balance'!$J$349</f>
        <v>27878.4332</v>
      </c>
      <c r="U80" s="16"/>
      <c r="V80" s="175">
        <f>'[1]Trial Balance'!$L$349</f>
        <v>28714.786196</v>
      </c>
      <c r="W80" s="67"/>
    </row>
    <row r="81" spans="6:23" s="1" customFormat="1" ht="15">
      <c r="F81" s="2">
        <v>4015</v>
      </c>
      <c r="G81" s="2" t="s">
        <v>143</v>
      </c>
      <c r="H81" s="2"/>
      <c r="I81" s="2"/>
      <c r="J81" s="2"/>
      <c r="K81" s="14" t="s">
        <v>540</v>
      </c>
      <c r="L81" s="195">
        <v>39556</v>
      </c>
      <c r="M81" s="16"/>
      <c r="N81" s="175">
        <f>'[1]Trial Balance'!$D$350</f>
        <v>48141</v>
      </c>
      <c r="O81" s="16"/>
      <c r="P81" s="175">
        <f>'[1]Trial Balance'!$F$350</f>
        <v>48045</v>
      </c>
      <c r="Q81" s="16"/>
      <c r="R81" s="175">
        <f>'[1]Trial Balance'!$H$350</f>
        <v>58794.32</v>
      </c>
      <c r="S81" s="16"/>
      <c r="T81" s="175">
        <f>'[1]Trial Balance'!$J$350</f>
        <v>60558.149600000004</v>
      </c>
      <c r="U81" s="16"/>
      <c r="V81" s="175">
        <f>'[1]Trial Balance'!$L$350</f>
        <v>62374.894088</v>
      </c>
      <c r="W81" s="67"/>
    </row>
    <row r="82" spans="6:23" s="1" customFormat="1" ht="15">
      <c r="F82" s="2">
        <v>4020</v>
      </c>
      <c r="G82" s="2" t="s">
        <v>145</v>
      </c>
      <c r="H82" s="2"/>
      <c r="I82" s="2"/>
      <c r="J82" s="2"/>
      <c r="K82" s="14" t="s">
        <v>146</v>
      </c>
      <c r="L82" s="195"/>
      <c r="M82" s="16"/>
      <c r="N82" s="175">
        <f>'[1]Trial Balance'!$D$351</f>
        <v>0</v>
      </c>
      <c r="O82" s="16"/>
      <c r="P82" s="175">
        <f>'[1]Trial Balance'!$F$351</f>
        <v>0</v>
      </c>
      <c r="Q82" s="16"/>
      <c r="R82" s="175">
        <f>'[1]Trial Balance'!$H$351</f>
        <v>0</v>
      </c>
      <c r="S82" s="16"/>
      <c r="T82" s="175">
        <f>'[1]Trial Balance'!$J$351</f>
        <v>0</v>
      </c>
      <c r="U82" s="16"/>
      <c r="V82" s="175">
        <f>'[1]Trial Balance'!$L$351</f>
        <v>0</v>
      </c>
      <c r="W82" s="67"/>
    </row>
    <row r="83" spans="6:23" s="1" customFormat="1" ht="15">
      <c r="F83" s="2"/>
      <c r="G83" s="2"/>
      <c r="H83" s="2"/>
      <c r="I83" s="2"/>
      <c r="J83" s="2"/>
      <c r="K83" s="14" t="s">
        <v>147</v>
      </c>
      <c r="L83" s="195"/>
      <c r="M83" s="16"/>
      <c r="N83" s="175">
        <f>'[1]Trial Balance'!$D$352</f>
        <v>0</v>
      </c>
      <c r="O83" s="16"/>
      <c r="P83" s="175">
        <f>'[1]Trial Balance'!$F$352</f>
        <v>0</v>
      </c>
      <c r="Q83" s="16"/>
      <c r="R83" s="175">
        <f>'[1]Trial Balance'!$H$352</f>
        <v>0</v>
      </c>
      <c r="S83" s="16"/>
      <c r="T83" s="175">
        <f>'[1]Trial Balance'!$J$352</f>
        <v>0</v>
      </c>
      <c r="U83" s="16"/>
      <c r="V83" s="175">
        <f>'[1]Trial Balance'!$L$352</f>
        <v>0</v>
      </c>
      <c r="W83" s="67"/>
    </row>
    <row r="84" spans="6:23" s="1" customFormat="1" ht="15">
      <c r="F84" s="2">
        <v>4025</v>
      </c>
      <c r="G84" s="2" t="s">
        <v>148</v>
      </c>
      <c r="H84" s="2"/>
      <c r="I84" s="2"/>
      <c r="J84" s="2"/>
      <c r="K84" s="14" t="s">
        <v>149</v>
      </c>
      <c r="L84" s="195">
        <v>82531</v>
      </c>
      <c r="M84" s="16"/>
      <c r="N84" s="175">
        <f>'[1]Trial Balance'!$D$353</f>
        <v>85631</v>
      </c>
      <c r="O84" s="16"/>
      <c r="P84" s="175">
        <f>'[1]Trial Balance'!$F$353</f>
        <v>33127</v>
      </c>
      <c r="Q84" s="16"/>
      <c r="R84" s="175">
        <f>'[1]Trial Balance'!$H$353</f>
        <v>58782.48</v>
      </c>
      <c r="S84" s="16"/>
      <c r="T84" s="175">
        <f>'[1]Trial Balance'!$J$353</f>
        <v>85545.9544</v>
      </c>
      <c r="U84" s="16"/>
      <c r="V84" s="175">
        <f>'[1]Trial Balance'!$L$353</f>
        <v>103562.33303200001</v>
      </c>
      <c r="W84" s="67"/>
    </row>
    <row r="85" spans="6:23" s="1" customFormat="1" ht="15">
      <c r="F85" s="2">
        <v>4030</v>
      </c>
      <c r="G85" s="2" t="s">
        <v>150</v>
      </c>
      <c r="H85" s="2"/>
      <c r="I85" s="2"/>
      <c r="J85" s="2"/>
      <c r="K85" s="14" t="s">
        <v>151</v>
      </c>
      <c r="L85" s="195">
        <v>5025</v>
      </c>
      <c r="M85" s="16"/>
      <c r="N85" s="175">
        <f>'[1]Trial Balance'!$D$354</f>
        <v>2050</v>
      </c>
      <c r="O85" s="16"/>
      <c r="P85" s="175">
        <f>'[1]Trial Balance'!$F$354</f>
        <v>3486</v>
      </c>
      <c r="Q85" s="16"/>
      <c r="R85" s="175">
        <f>'[1]Trial Balance'!$H$354</f>
        <v>2212.81</v>
      </c>
      <c r="S85" s="16"/>
      <c r="T85" s="175">
        <f>'[1]Trial Balance'!$J$354</f>
        <v>2582.903333333333</v>
      </c>
      <c r="U85" s="16"/>
      <c r="V85" s="175">
        <f>'[1]Trial Balance'!$L$354</f>
        <v>4660.390433333334</v>
      </c>
      <c r="W85" s="67"/>
    </row>
    <row r="86" spans="6:23" s="1" customFormat="1" ht="15">
      <c r="F86" s="2">
        <v>4035</v>
      </c>
      <c r="G86" s="2" t="s">
        <v>152</v>
      </c>
      <c r="H86" s="2"/>
      <c r="I86" s="2"/>
      <c r="J86" s="2"/>
      <c r="K86" s="14" t="s">
        <v>153</v>
      </c>
      <c r="L86" s="195">
        <v>3524</v>
      </c>
      <c r="M86" s="16"/>
      <c r="N86" s="175">
        <f>'[1]Trial Balance'!$D$355</f>
        <v>2450</v>
      </c>
      <c r="O86" s="16"/>
      <c r="P86" s="175">
        <f>'[1]Trial Balance'!$F$355</f>
        <v>40</v>
      </c>
      <c r="Q86" s="16"/>
      <c r="R86" s="175">
        <f>'[1]Trial Balance'!$H$355</f>
        <v>0</v>
      </c>
      <c r="S86" s="16"/>
      <c r="T86" s="175">
        <f>'[1]Trial Balance'!$J$355</f>
        <v>830.4133333333333</v>
      </c>
      <c r="U86" s="16"/>
      <c r="V86" s="175">
        <f>'[1]Trial Balance'!$L$355</f>
        <v>855.3257333333333</v>
      </c>
      <c r="W86" s="67"/>
    </row>
    <row r="87" spans="6:23" s="1" customFormat="1" ht="15">
      <c r="F87" s="2">
        <v>4040</v>
      </c>
      <c r="G87" s="2" t="s">
        <v>154</v>
      </c>
      <c r="H87" s="2"/>
      <c r="I87" s="2"/>
      <c r="J87" s="2"/>
      <c r="K87" s="14" t="s">
        <v>155</v>
      </c>
      <c r="L87" s="195"/>
      <c r="M87" s="16"/>
      <c r="N87" s="175">
        <f>'[1]Trial Balance'!$D$356</f>
        <v>0</v>
      </c>
      <c r="O87" s="16"/>
      <c r="P87" s="175">
        <f>'[1]Trial Balance'!$F$356</f>
        <v>0</v>
      </c>
      <c r="Q87" s="16"/>
      <c r="R87" s="175">
        <f>'[1]Trial Balance'!$H$356</f>
        <v>0</v>
      </c>
      <c r="S87" s="16"/>
      <c r="T87" s="175">
        <f>'[1]Trial Balance'!$J$356</f>
        <v>0</v>
      </c>
      <c r="U87" s="16"/>
      <c r="V87" s="175">
        <f>'[1]Trial Balance'!$L$356</f>
        <v>0</v>
      </c>
      <c r="W87" s="67"/>
    </row>
    <row r="88" spans="6:23" s="1" customFormat="1" ht="15">
      <c r="F88" s="2">
        <v>4045</v>
      </c>
      <c r="G88" s="2" t="s">
        <v>156</v>
      </c>
      <c r="H88" s="2"/>
      <c r="I88" s="2"/>
      <c r="J88" s="2"/>
      <c r="K88" s="14" t="s">
        <v>157</v>
      </c>
      <c r="L88" s="195">
        <v>32464</v>
      </c>
      <c r="M88" s="16"/>
      <c r="N88" s="175">
        <f>'[1]Trial Balance'!$D$357</f>
        <v>28575</v>
      </c>
      <c r="O88" s="16"/>
      <c r="P88" s="175">
        <f>'[1]Trial Balance'!$F$357</f>
        <v>44930</v>
      </c>
      <c r="Q88" s="16"/>
      <c r="R88" s="175">
        <f>'[1]Trial Balance'!$H$357</f>
        <v>32397.86</v>
      </c>
      <c r="S88" s="16"/>
      <c r="T88" s="175">
        <f>'[1]Trial Balance'!$J$357</f>
        <v>33369.7958</v>
      </c>
      <c r="U88" s="16"/>
      <c r="V88" s="175">
        <f>'[1]Trial Balance'!$L$357</f>
        <v>84370.889674</v>
      </c>
      <c r="W88" s="67"/>
    </row>
    <row r="89" spans="6:23" s="1" customFormat="1" ht="15">
      <c r="F89" s="2"/>
      <c r="G89" s="2"/>
      <c r="H89" s="2"/>
      <c r="I89" s="2"/>
      <c r="J89" s="2"/>
      <c r="K89" s="14" t="s">
        <v>158</v>
      </c>
      <c r="L89" s="195">
        <v>27588</v>
      </c>
      <c r="M89" s="16"/>
      <c r="N89" s="175">
        <f>'[1]Trial Balance'!$D$358</f>
        <v>29704</v>
      </c>
      <c r="O89" s="16"/>
      <c r="P89" s="175">
        <f>'[1]Trial Balance'!$F$358</f>
        <v>40600</v>
      </c>
      <c r="Q89" s="16"/>
      <c r="R89" s="175">
        <f>'[1]Trial Balance'!$H$358</f>
        <v>53616.02</v>
      </c>
      <c r="S89" s="16"/>
      <c r="T89" s="175">
        <f>'[1]Trial Balance'!$J$358</f>
        <v>41306.34333333333</v>
      </c>
      <c r="U89" s="16"/>
      <c r="V89" s="175">
        <f>'[1]Trial Balance'!$L$358</f>
        <v>47545.53363333333</v>
      </c>
      <c r="W89" s="67"/>
    </row>
    <row r="90" spans="6:23" s="1" customFormat="1" ht="15">
      <c r="F90" s="2"/>
      <c r="G90" s="2"/>
      <c r="H90" s="2"/>
      <c r="I90" s="2"/>
      <c r="J90" s="2"/>
      <c r="K90" s="14" t="s">
        <v>342</v>
      </c>
      <c r="L90" s="195"/>
      <c r="M90" s="16"/>
      <c r="N90" s="175">
        <f>'[1]Trial Balance'!$D$359</f>
        <v>0</v>
      </c>
      <c r="O90" s="16"/>
      <c r="P90" s="175">
        <f>'[1]Trial Balance'!$F$359</f>
        <v>0</v>
      </c>
      <c r="Q90" s="16"/>
      <c r="R90" s="175">
        <f>'[1]Trial Balance'!$H$359</f>
        <v>106153</v>
      </c>
      <c r="S90" s="16"/>
      <c r="T90" s="175">
        <f>'[1]Trial Balance'!$J$359</f>
        <v>0</v>
      </c>
      <c r="U90" s="16"/>
      <c r="V90" s="175">
        <f>'[1]Trial Balance'!$L$359</f>
        <v>0</v>
      </c>
      <c r="W90" s="67"/>
    </row>
    <row r="91" spans="6:23" s="1" customFormat="1" ht="15">
      <c r="F91" s="2"/>
      <c r="G91" s="2"/>
      <c r="H91" s="2"/>
      <c r="I91" s="2"/>
      <c r="J91" s="2"/>
      <c r="K91" s="14" t="s">
        <v>159</v>
      </c>
      <c r="L91" s="195"/>
      <c r="M91" s="16"/>
      <c r="N91" s="175">
        <f>'[1]Trial Balance'!$D$360</f>
        <v>0</v>
      </c>
      <c r="O91" s="16"/>
      <c r="P91" s="175">
        <f>'[1]Trial Balance'!$F$360</f>
        <v>0</v>
      </c>
      <c r="Q91" s="16"/>
      <c r="R91" s="175">
        <f>'[1]Trial Balance'!$H$360</f>
        <v>0</v>
      </c>
      <c r="S91" s="16"/>
      <c r="T91" s="175">
        <f>'[1]Trial Balance'!$J$360</f>
        <v>0</v>
      </c>
      <c r="U91" s="16"/>
      <c r="V91" s="175">
        <f>'[1]Trial Balance'!$L$360</f>
        <v>0</v>
      </c>
      <c r="W91" s="67"/>
    </row>
    <row r="92" spans="6:23" s="1" customFormat="1" ht="15">
      <c r="F92" s="2"/>
      <c r="G92" s="2"/>
      <c r="H92" s="2"/>
      <c r="I92" s="2"/>
      <c r="J92" s="2"/>
      <c r="K92" s="14" t="s">
        <v>343</v>
      </c>
      <c r="L92" s="195"/>
      <c r="M92" s="16"/>
      <c r="N92" s="175">
        <f>'[1]Trial Balance'!$D$360</f>
        <v>0</v>
      </c>
      <c r="O92" s="16"/>
      <c r="P92" s="175">
        <f>'[1]Trial Balance'!$F$361</f>
        <v>-21913</v>
      </c>
      <c r="Q92" s="16"/>
      <c r="R92" s="175">
        <f>'[1]Trial Balance'!$H$361</f>
        <v>-53778.14</v>
      </c>
      <c r="S92" s="16"/>
      <c r="T92" s="175">
        <f>'[1]Trial Balance'!$J$361</f>
        <v>0</v>
      </c>
      <c r="U92" s="16"/>
      <c r="V92" s="175">
        <f>'[1]Trial Balance'!$L$361</f>
        <v>0</v>
      </c>
      <c r="W92" s="67"/>
    </row>
    <row r="93" spans="6:23" s="1" customFormat="1" ht="15">
      <c r="F93" s="2"/>
      <c r="G93" s="2"/>
      <c r="H93" s="45"/>
      <c r="I93" s="2"/>
      <c r="J93" s="2"/>
      <c r="K93" s="28" t="s">
        <v>60</v>
      </c>
      <c r="L93" s="147">
        <f>SUM(L74:L92)</f>
        <v>921831</v>
      </c>
      <c r="M93" s="16"/>
      <c r="N93" s="30">
        <f>SUM(N74:N92)</f>
        <v>741765.34</v>
      </c>
      <c r="O93" s="16"/>
      <c r="P93" s="30">
        <f>SUM(P74:P92)</f>
        <v>806923.61</v>
      </c>
      <c r="Q93" s="16"/>
      <c r="R93" s="30">
        <f>SUM(R74:R92)</f>
        <v>1019723.7100000001</v>
      </c>
      <c r="S93" s="16"/>
      <c r="T93" s="30">
        <f>SUM(T74:T92)</f>
        <v>1047828.9739</v>
      </c>
      <c r="U93" s="16"/>
      <c r="V93" s="30">
        <f>SUM(V74:V92)</f>
        <v>1281489.1994170004</v>
      </c>
      <c r="W93" s="67"/>
    </row>
    <row r="94" spans="6:23" s="1" customFormat="1" ht="15">
      <c r="F94" s="2"/>
      <c r="G94" s="2"/>
      <c r="H94" s="45"/>
      <c r="I94" s="2"/>
      <c r="J94" s="2"/>
      <c r="K94" s="313"/>
      <c r="L94" s="313"/>
      <c r="M94" s="313"/>
      <c r="N94" s="313"/>
      <c r="O94" s="313"/>
      <c r="P94" s="313"/>
      <c r="Q94" s="16"/>
      <c r="R94" s="13"/>
      <c r="S94" s="16"/>
      <c r="T94" s="13"/>
      <c r="U94" s="16"/>
      <c r="V94" s="13"/>
      <c r="W94" s="67"/>
    </row>
    <row r="95" spans="6:23" s="1" customFormat="1" ht="15">
      <c r="F95" s="2"/>
      <c r="G95" s="2"/>
      <c r="H95" s="2"/>
      <c r="I95" s="2"/>
      <c r="J95" s="2"/>
      <c r="K95" s="12" t="s">
        <v>160</v>
      </c>
      <c r="L95" s="196">
        <f>L29+L50+L61+L71+L93</f>
        <v>2095420</v>
      </c>
      <c r="M95" s="194"/>
      <c r="N95" s="30">
        <f>N29+N50+N61+N71+N93</f>
        <v>1884617.3399999999</v>
      </c>
      <c r="O95" s="16"/>
      <c r="P95" s="30">
        <f>P29+P50+P61+P71+P93</f>
        <v>1855223.6099999999</v>
      </c>
      <c r="Q95" s="30"/>
      <c r="R95" s="30">
        <f>R29+R50+R61+R71+R93</f>
        <v>2099690.21</v>
      </c>
      <c r="S95" s="16"/>
      <c r="T95" s="30">
        <f>T29+T50+T61+T71+T93</f>
        <v>2449125.8485666667</v>
      </c>
      <c r="U95" s="16"/>
      <c r="V95" s="30">
        <f>V29+V50+V61+V71+V93</f>
        <v>3067313.6851790007</v>
      </c>
      <c r="W95" s="67"/>
    </row>
    <row r="96" spans="6:23" s="1" customFormat="1" ht="15">
      <c r="F96" s="2"/>
      <c r="G96" s="2"/>
      <c r="H96" s="2"/>
      <c r="I96" s="2"/>
      <c r="J96" s="2"/>
      <c r="K96" s="12"/>
      <c r="L96" s="56"/>
      <c r="M96" s="47"/>
      <c r="N96" s="50"/>
      <c r="O96" s="47"/>
      <c r="P96" s="50"/>
      <c r="Q96" s="16"/>
      <c r="R96" s="50"/>
      <c r="S96" s="16"/>
      <c r="T96" s="50"/>
      <c r="U96" s="50"/>
      <c r="V96" s="50"/>
      <c r="W96" s="34"/>
    </row>
    <row r="97" spans="6:23" s="1" customFormat="1" ht="15">
      <c r="F97" s="2"/>
      <c r="G97" s="2"/>
      <c r="H97" s="45"/>
      <c r="I97" s="2"/>
      <c r="J97" s="2"/>
      <c r="K97" s="12" t="s">
        <v>161</v>
      </c>
      <c r="L97" s="57"/>
      <c r="M97" s="16"/>
      <c r="N97" s="52"/>
      <c r="O97" s="16"/>
      <c r="P97" s="52"/>
      <c r="Q97" s="16"/>
      <c r="R97" s="52"/>
      <c r="S97" s="16"/>
      <c r="T97" s="52"/>
      <c r="U97" s="52"/>
      <c r="V97" s="52"/>
      <c r="W97" s="34"/>
    </row>
    <row r="98" spans="6:23" s="1" customFormat="1" ht="15">
      <c r="F98" s="2">
        <v>4064</v>
      </c>
      <c r="G98" s="2" t="s">
        <v>162</v>
      </c>
      <c r="H98" s="2"/>
      <c r="I98" s="2"/>
      <c r="J98" s="2"/>
      <c r="K98" s="14" t="s">
        <v>163</v>
      </c>
      <c r="L98" s="195">
        <v>55209</v>
      </c>
      <c r="M98" s="16"/>
      <c r="N98" s="175">
        <f>'[1]Trial Balance'!$D$383</f>
        <v>42890</v>
      </c>
      <c r="O98" s="16"/>
      <c r="P98" s="175">
        <f>'[1]Trial Balance'!$F$383</f>
        <v>53482</v>
      </c>
      <c r="Q98" s="16"/>
      <c r="R98" s="175">
        <f>'[1]Trial Balance'!$H$383</f>
        <v>46698.2</v>
      </c>
      <c r="S98" s="16"/>
      <c r="T98" s="175">
        <f>'[1]Trial Balance'!$J$383</f>
        <v>48099.146</v>
      </c>
      <c r="U98" s="194"/>
      <c r="V98" s="175">
        <f>'[1]Trial Balance'!$L$383</f>
        <v>49542.12038</v>
      </c>
      <c r="W98" s="34"/>
    </row>
    <row r="99" spans="6:23" s="1" customFormat="1" ht="15">
      <c r="F99" s="2"/>
      <c r="G99" s="2"/>
      <c r="H99" s="2"/>
      <c r="I99" s="2"/>
      <c r="J99" s="2"/>
      <c r="K99" s="28" t="s">
        <v>60</v>
      </c>
      <c r="L99" s="147">
        <f>SUM(L98)</f>
        <v>55209</v>
      </c>
      <c r="M99" s="16"/>
      <c r="N99" s="30">
        <f>SUM(N98)</f>
        <v>42890</v>
      </c>
      <c r="O99" s="16"/>
      <c r="P99" s="30">
        <f>SUM(P98)</f>
        <v>53482</v>
      </c>
      <c r="Q99" s="16"/>
      <c r="R99" s="30">
        <f>SUM(R98)</f>
        <v>46698.2</v>
      </c>
      <c r="S99" s="16"/>
      <c r="T99" s="30">
        <f>SUM(T98)</f>
        <v>48099.146</v>
      </c>
      <c r="U99" s="194"/>
      <c r="V99" s="30">
        <f>SUM(V98)</f>
        <v>49542.12038</v>
      </c>
      <c r="W99" s="34"/>
    </row>
    <row r="100" spans="6:23" s="1" customFormat="1" ht="15">
      <c r="F100" s="2"/>
      <c r="G100" s="2"/>
      <c r="H100" s="2"/>
      <c r="I100" s="2"/>
      <c r="J100" s="2"/>
      <c r="K100" s="313"/>
      <c r="L100" s="313"/>
      <c r="M100" s="313"/>
      <c r="N100" s="313"/>
      <c r="O100" s="313"/>
      <c r="P100" s="313"/>
      <c r="Q100" s="16"/>
      <c r="R100" s="13"/>
      <c r="S100" s="16"/>
      <c r="T100" s="13"/>
      <c r="U100" s="13"/>
      <c r="V100" s="13"/>
      <c r="W100" s="34"/>
    </row>
    <row r="101" spans="1:23" s="1" customFormat="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2" t="s">
        <v>164</v>
      </c>
      <c r="L101" s="5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34"/>
    </row>
    <row r="102" spans="1:23" s="1" customFormat="1" ht="15">
      <c r="A102" s="2"/>
      <c r="B102" s="2"/>
      <c r="C102" s="2"/>
      <c r="D102" s="2"/>
      <c r="E102" s="2"/>
      <c r="F102" s="2">
        <v>4050</v>
      </c>
      <c r="G102" s="2" t="s">
        <v>165</v>
      </c>
      <c r="H102" s="2"/>
      <c r="I102" s="2"/>
      <c r="J102" s="2"/>
      <c r="K102" s="14" t="s">
        <v>166</v>
      </c>
      <c r="L102" s="195"/>
      <c r="M102" s="52"/>
      <c r="N102" s="175">
        <f>'[1]Trial Balance'!$D$363</f>
        <v>838633</v>
      </c>
      <c r="O102" s="52"/>
      <c r="P102" s="175">
        <f>'[1]Trial Balance'!$F$363</f>
        <v>893443</v>
      </c>
      <c r="Q102" s="16"/>
      <c r="R102" s="175">
        <f>'[1]Trial Balance'!$H$363</f>
        <v>894072.6499999998</v>
      </c>
      <c r="S102" s="16"/>
      <c r="T102" s="175">
        <f>'[1]Trial Balance'!$J$363</f>
        <v>1119962.206666667</v>
      </c>
      <c r="U102" s="194"/>
      <c r="V102" s="175">
        <f>'[1]Trial Balance'!$L$363</f>
        <v>773769.1891872174</v>
      </c>
      <c r="W102" s="34"/>
    </row>
    <row r="103" spans="1:23" s="1" customFormat="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8" t="s">
        <v>60</v>
      </c>
      <c r="L103" s="147">
        <f>SUM(L102)</f>
        <v>0</v>
      </c>
      <c r="M103" s="16"/>
      <c r="N103" s="30">
        <f>SUM(N102)</f>
        <v>838633</v>
      </c>
      <c r="O103" s="52"/>
      <c r="P103" s="30">
        <f>SUM(P102)</f>
        <v>893443</v>
      </c>
      <c r="Q103" s="16"/>
      <c r="R103" s="30">
        <f>SUM(R102)</f>
        <v>894072.6499999998</v>
      </c>
      <c r="S103" s="16"/>
      <c r="T103" s="30">
        <f>SUM(T102)</f>
        <v>1119962.206666667</v>
      </c>
      <c r="U103" s="194"/>
      <c r="V103" s="30">
        <f>SUM(V102)</f>
        <v>773769.1891872174</v>
      </c>
      <c r="W103" s="34"/>
    </row>
    <row r="104" spans="1:23" s="1" customFormat="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53"/>
      <c r="L104" s="59"/>
      <c r="M104" s="13"/>
      <c r="N104" s="13"/>
      <c r="O104" s="13"/>
      <c r="P104" s="13"/>
      <c r="Q104" s="16"/>
      <c r="R104" s="13"/>
      <c r="S104" s="16"/>
      <c r="T104" s="13"/>
      <c r="U104" s="13"/>
      <c r="V104" s="13"/>
      <c r="W104" s="34"/>
    </row>
    <row r="105" spans="1:23" s="1" customFormat="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2" t="s">
        <v>167</v>
      </c>
      <c r="L105" s="146">
        <f>L95+L103</f>
        <v>2095420</v>
      </c>
      <c r="M105" s="52"/>
      <c r="N105" s="54">
        <f>N95+N103</f>
        <v>2723250.34</v>
      </c>
      <c r="O105" s="52"/>
      <c r="P105" s="54">
        <f>P95+P99+P103</f>
        <v>2802148.61</v>
      </c>
      <c r="Q105" s="16"/>
      <c r="R105" s="54">
        <f>R95+R103</f>
        <v>2993762.86</v>
      </c>
      <c r="S105" s="16"/>
      <c r="T105" s="54">
        <f>T95+T99+T103</f>
        <v>3617187.201233334</v>
      </c>
      <c r="U105" s="194"/>
      <c r="V105" s="54">
        <f>V95+V99+V103</f>
        <v>3890624.9947462184</v>
      </c>
      <c r="W105" s="34"/>
    </row>
    <row r="106" spans="1:23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2" t="s">
        <v>168</v>
      </c>
      <c r="L106" s="146">
        <f>L105*0.01</f>
        <v>20954.2</v>
      </c>
      <c r="M106" s="52"/>
      <c r="N106" s="54">
        <f>N105*0.01</f>
        <v>27232.503399999998</v>
      </c>
      <c r="O106" s="52"/>
      <c r="P106" s="54">
        <f>P105*0.01</f>
        <v>28021.4861</v>
      </c>
      <c r="Q106" s="16"/>
      <c r="R106" s="54">
        <f>R105*0.01</f>
        <v>29937.6286</v>
      </c>
      <c r="S106" s="16"/>
      <c r="T106" s="54">
        <f>T105*0.01</f>
        <v>36171.87201233334</v>
      </c>
      <c r="U106" s="194"/>
      <c r="V106" s="54">
        <f>V105*0.01</f>
        <v>38906.24994746219</v>
      </c>
      <c r="W106" s="34"/>
    </row>
    <row r="107" spans="1:23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2" t="s">
        <v>169</v>
      </c>
      <c r="L107" s="59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34"/>
    </row>
    <row r="108" spans="1:23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59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34"/>
    </row>
    <row r="109" spans="1:23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59"/>
      <c r="M109" s="13"/>
      <c r="N109" s="176">
        <v>1490542.3399999999</v>
      </c>
      <c r="O109" s="13"/>
      <c r="P109" s="176">
        <v>1591788.0700000003</v>
      </c>
      <c r="Q109" s="13"/>
      <c r="R109" s="176">
        <v>1629805.59</v>
      </c>
      <c r="S109" s="13"/>
      <c r="T109" s="176">
        <v>1774856.7736153847</v>
      </c>
      <c r="U109" s="13"/>
      <c r="V109" s="176">
        <v>2184942.1622392307</v>
      </c>
      <c r="W109" s="34"/>
    </row>
    <row r="110" spans="14:124" ht="15">
      <c r="N110" s="176">
        <f>N105-N109</f>
        <v>1232708</v>
      </c>
      <c r="P110" s="176">
        <f>P105-P109</f>
        <v>1210360.5399999996</v>
      </c>
      <c r="R110" s="176">
        <f>R105-R109</f>
        <v>1363957.2699999998</v>
      </c>
      <c r="T110" s="176">
        <f>T105-T109</f>
        <v>1842330.4276179492</v>
      </c>
      <c r="V110" s="176">
        <f>V105-V109</f>
        <v>1705682.8325069877</v>
      </c>
      <c r="W110" s="3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</row>
  </sheetData>
  <sheetProtection/>
  <mergeCells count="9">
    <mergeCell ref="K94:P94"/>
    <mergeCell ref="K100:P100"/>
    <mergeCell ref="K1:P1"/>
    <mergeCell ref="K2:T2"/>
    <mergeCell ref="A5:E5"/>
    <mergeCell ref="K30:P30"/>
    <mergeCell ref="K51:P51"/>
    <mergeCell ref="K62:P62"/>
    <mergeCell ref="K72:P72"/>
  </mergeCells>
  <printOptions/>
  <pageMargins left="1.7" right="0.7" top="0" bottom="0" header="0.3" footer="0.3"/>
  <pageSetup fitToHeight="0" fitToWidth="1" horizontalDpi="600" verticalDpi="600" orientation="landscape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38.00390625" style="0" bestFit="1" customWidth="1"/>
    <col min="2" max="2" width="20.00390625" style="0" customWidth="1"/>
    <col min="3" max="3" width="15.7109375" style="0" customWidth="1"/>
    <col min="4" max="4" width="16.7109375" style="0" customWidth="1"/>
    <col min="5" max="5" width="15.57421875" style="0" customWidth="1"/>
    <col min="6" max="6" width="15.28125" style="0" customWidth="1"/>
  </cols>
  <sheetData>
    <row r="1" spans="1:6" s="101" customFormat="1" ht="32.25" customHeight="1">
      <c r="A1" s="156" t="s">
        <v>366</v>
      </c>
      <c r="B1" s="156" t="s">
        <v>368</v>
      </c>
      <c r="C1" s="156" t="s">
        <v>369</v>
      </c>
      <c r="D1" s="156" t="s">
        <v>171</v>
      </c>
      <c r="E1" s="156" t="s">
        <v>170</v>
      </c>
      <c r="F1" s="156" t="s">
        <v>245</v>
      </c>
    </row>
    <row r="2" spans="1:6" ht="27.75" customHeight="1">
      <c r="A2" s="104" t="s">
        <v>367</v>
      </c>
      <c r="B2" s="104"/>
      <c r="C2" s="104"/>
      <c r="D2" s="104"/>
      <c r="E2" s="104"/>
      <c r="F2" s="104"/>
    </row>
    <row r="6" spans="2:6" ht="15">
      <c r="B6" s="158" t="s">
        <v>368</v>
      </c>
      <c r="C6" s="158" t="s">
        <v>369</v>
      </c>
      <c r="D6" s="158" t="s">
        <v>171</v>
      </c>
      <c r="E6" s="158" t="s">
        <v>170</v>
      </c>
      <c r="F6" s="158" t="s">
        <v>245</v>
      </c>
    </row>
    <row r="7" ht="15">
      <c r="A7" s="153" t="s">
        <v>370</v>
      </c>
    </row>
    <row r="8" spans="1:6" ht="15">
      <c r="A8" s="153" t="s">
        <v>371</v>
      </c>
      <c r="B8" s="154"/>
      <c r="C8" s="154"/>
      <c r="D8" s="154"/>
      <c r="E8" s="154"/>
      <c r="F8" s="154"/>
    </row>
    <row r="9" spans="1:6" ht="15.75" thickBot="1">
      <c r="A9" s="153" t="s">
        <v>372</v>
      </c>
      <c r="B9" s="157"/>
      <c r="C9" s="157"/>
      <c r="D9" s="157"/>
      <c r="E9" s="157"/>
      <c r="F9" s="157"/>
    </row>
    <row r="10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74.140625" style="0" bestFit="1" customWidth="1"/>
    <col min="2" max="2" width="70.00390625" style="0" bestFit="1" customWidth="1"/>
    <col min="3" max="4" width="14.28125" style="0" bestFit="1" customWidth="1"/>
    <col min="5" max="5" width="15.7109375" style="0" bestFit="1" customWidth="1"/>
    <col min="6" max="6" width="13.421875" style="0" bestFit="1" customWidth="1"/>
  </cols>
  <sheetData>
    <row r="1" spans="1:5" ht="15">
      <c r="A1" t="s">
        <v>374</v>
      </c>
      <c r="B1" t="s">
        <v>375</v>
      </c>
      <c r="C1" t="s">
        <v>421</v>
      </c>
      <c r="D1" t="s">
        <v>3</v>
      </c>
      <c r="E1" t="s">
        <v>373</v>
      </c>
    </row>
    <row r="2" spans="1:2" ht="15">
      <c r="A2" t="s">
        <v>376</v>
      </c>
      <c r="B2" t="s">
        <v>377</v>
      </c>
    </row>
    <row r="3" spans="1:7" ht="15">
      <c r="A3">
        <v>5005</v>
      </c>
      <c r="B3" s="159" t="s">
        <v>258</v>
      </c>
      <c r="C3" s="159">
        <f>'App 2-E'!L6</f>
        <v>140459</v>
      </c>
      <c r="D3" s="159">
        <v>148399</v>
      </c>
      <c r="E3" s="159">
        <v>7940</v>
      </c>
      <c r="F3" s="160"/>
      <c r="G3" s="160"/>
    </row>
    <row r="4" spans="1:7" ht="15">
      <c r="A4">
        <v>5010</v>
      </c>
      <c r="B4" s="159" t="s">
        <v>259</v>
      </c>
      <c r="C4" s="159">
        <f>'App 2-E'!L7</f>
        <v>0</v>
      </c>
      <c r="D4" s="159">
        <v>0</v>
      </c>
      <c r="E4" s="159">
        <v>0</v>
      </c>
      <c r="F4" s="160"/>
      <c r="G4" s="160"/>
    </row>
    <row r="5" spans="1:7" ht="15">
      <c r="A5">
        <v>5012</v>
      </c>
      <c r="B5" s="159" t="s">
        <v>260</v>
      </c>
      <c r="C5" s="159">
        <f>'App 2-E'!L8</f>
        <v>0</v>
      </c>
      <c r="D5" s="159">
        <v>0</v>
      </c>
      <c r="E5" s="159">
        <v>0</v>
      </c>
      <c r="F5" s="160"/>
      <c r="G5" s="160"/>
    </row>
    <row r="6" spans="1:7" ht="15">
      <c r="A6">
        <v>5014</v>
      </c>
      <c r="B6" s="159" t="s">
        <v>398</v>
      </c>
      <c r="C6" s="159">
        <f>'App 2-E'!L9</f>
        <v>0</v>
      </c>
      <c r="D6" s="159">
        <v>0</v>
      </c>
      <c r="E6" s="159">
        <v>0</v>
      </c>
      <c r="F6" s="160"/>
      <c r="G6" s="160"/>
    </row>
    <row r="7" spans="1:7" ht="15">
      <c r="A7">
        <v>5015</v>
      </c>
      <c r="B7" s="159" t="s">
        <v>399</v>
      </c>
      <c r="C7" s="159">
        <f>'App 2-E'!L10</f>
        <v>0</v>
      </c>
      <c r="D7" s="159">
        <v>0</v>
      </c>
      <c r="E7" s="159">
        <v>0</v>
      </c>
      <c r="F7" s="160"/>
      <c r="G7" s="160"/>
    </row>
    <row r="8" spans="1:7" ht="15">
      <c r="A8">
        <v>5016</v>
      </c>
      <c r="B8" s="159" t="s">
        <v>400</v>
      </c>
      <c r="C8" s="159">
        <f>'App 2-E'!L11</f>
        <v>7686</v>
      </c>
      <c r="D8" s="159">
        <v>1314</v>
      </c>
      <c r="E8" s="159">
        <v>-6372</v>
      </c>
      <c r="F8" s="160"/>
      <c r="G8" s="160"/>
    </row>
    <row r="9" spans="1:7" ht="15">
      <c r="A9">
        <v>5017</v>
      </c>
      <c r="B9" s="159" t="s">
        <v>401</v>
      </c>
      <c r="C9" s="159">
        <f>'App 2-E'!L12</f>
        <v>41527</v>
      </c>
      <c r="D9" s="159">
        <v>63084</v>
      </c>
      <c r="E9" s="159">
        <v>21557</v>
      </c>
      <c r="F9" s="160"/>
      <c r="G9" s="160"/>
    </row>
    <row r="10" spans="1:7" ht="15">
      <c r="A10">
        <v>5020</v>
      </c>
      <c r="B10" s="159" t="s">
        <v>402</v>
      </c>
      <c r="C10" s="159">
        <f>'App 2-E'!L13</f>
        <v>260858</v>
      </c>
      <c r="D10" s="159">
        <v>223159</v>
      </c>
      <c r="E10" s="159">
        <v>-37699</v>
      </c>
      <c r="F10" s="160"/>
      <c r="G10" s="160"/>
    </row>
    <row r="11" spans="1:7" ht="15">
      <c r="A11">
        <v>5025</v>
      </c>
      <c r="B11" s="159" t="s">
        <v>403</v>
      </c>
      <c r="C11" s="159">
        <f>'App 2-E'!L14</f>
        <v>137134</v>
      </c>
      <c r="D11" s="159">
        <v>133540</v>
      </c>
      <c r="E11" s="159">
        <v>-3594</v>
      </c>
      <c r="F11" s="160"/>
      <c r="G11" s="160"/>
    </row>
    <row r="12" spans="1:7" ht="15">
      <c r="A12">
        <v>5030</v>
      </c>
      <c r="B12" s="159" t="s">
        <v>404</v>
      </c>
      <c r="C12" s="159">
        <f>'App 2-E'!L15</f>
        <v>0</v>
      </c>
      <c r="D12" s="159">
        <v>0</v>
      </c>
      <c r="E12" s="159">
        <v>0</v>
      </c>
      <c r="F12" s="160"/>
      <c r="G12" s="160"/>
    </row>
    <row r="13" spans="1:7" ht="15">
      <c r="A13">
        <v>5035</v>
      </c>
      <c r="B13" s="159" t="s">
        <v>405</v>
      </c>
      <c r="C13" s="159">
        <f>'App 2-E'!L16</f>
        <v>1558</v>
      </c>
      <c r="D13" s="159">
        <v>2449</v>
      </c>
      <c r="E13" s="159">
        <v>891</v>
      </c>
      <c r="F13" s="160"/>
      <c r="G13" s="160"/>
    </row>
    <row r="14" spans="1:7" ht="15">
      <c r="A14">
        <v>5040</v>
      </c>
      <c r="B14" s="159" t="s">
        <v>406</v>
      </c>
      <c r="C14" s="159">
        <f>'App 2-E'!L17</f>
        <v>25467</v>
      </c>
      <c r="D14" s="159">
        <v>29339</v>
      </c>
      <c r="E14" s="159">
        <v>3872</v>
      </c>
      <c r="F14" s="160"/>
      <c r="G14" s="160"/>
    </row>
    <row r="15" spans="1:7" ht="15">
      <c r="A15">
        <v>5045</v>
      </c>
      <c r="B15" s="159" t="s">
        <v>407</v>
      </c>
      <c r="C15" s="159">
        <f>'App 2-E'!L18</f>
        <v>3966</v>
      </c>
      <c r="D15" s="159">
        <v>15286</v>
      </c>
      <c r="E15" s="159">
        <v>11320</v>
      </c>
      <c r="F15" s="160"/>
      <c r="G15" s="160"/>
    </row>
    <row r="16" spans="1:7" ht="15">
      <c r="A16">
        <v>5050</v>
      </c>
      <c r="B16" s="159" t="s">
        <v>408</v>
      </c>
      <c r="C16" s="159">
        <f>'App 2-E'!L19</f>
        <v>0</v>
      </c>
      <c r="D16" s="159">
        <v>0</v>
      </c>
      <c r="E16" s="159">
        <v>0</v>
      </c>
      <c r="F16" s="160"/>
      <c r="G16" s="160"/>
    </row>
    <row r="17" spans="1:7" ht="15">
      <c r="A17">
        <v>5055</v>
      </c>
      <c r="B17" s="159" t="s">
        <v>409</v>
      </c>
      <c r="C17" s="159">
        <f>'App 2-E'!L20</f>
        <v>0</v>
      </c>
      <c r="D17" s="159">
        <v>0</v>
      </c>
      <c r="E17" s="159">
        <v>0</v>
      </c>
      <c r="F17" s="160"/>
      <c r="G17" s="160"/>
    </row>
    <row r="18" spans="1:7" ht="15">
      <c r="A18">
        <v>5060</v>
      </c>
      <c r="B18" s="159" t="s">
        <v>273</v>
      </c>
      <c r="C18" s="159">
        <f>'App 2-E'!L21</f>
        <v>0</v>
      </c>
      <c r="D18" s="159">
        <v>0</v>
      </c>
      <c r="E18" s="159">
        <v>0</v>
      </c>
      <c r="F18" s="160"/>
      <c r="G18" s="160"/>
    </row>
    <row r="19" spans="1:7" ht="15">
      <c r="A19">
        <v>5065</v>
      </c>
      <c r="B19" s="159" t="s">
        <v>274</v>
      </c>
      <c r="C19" s="159">
        <f>'App 2-E'!L22</f>
        <v>0</v>
      </c>
      <c r="D19" s="159">
        <v>0</v>
      </c>
      <c r="E19" s="159">
        <v>0</v>
      </c>
      <c r="F19" s="160"/>
      <c r="G19" s="160"/>
    </row>
    <row r="20" spans="1:7" ht="15">
      <c r="A20">
        <v>5070</v>
      </c>
      <c r="B20" s="159" t="s">
        <v>410</v>
      </c>
      <c r="C20" s="159">
        <f>'App 2-E'!L23</f>
        <v>0</v>
      </c>
      <c r="D20" s="159">
        <v>0</v>
      </c>
      <c r="E20" s="159">
        <v>0</v>
      </c>
      <c r="F20" s="160"/>
      <c r="G20" s="160"/>
    </row>
    <row r="21" spans="1:7" ht="15">
      <c r="A21">
        <v>5075</v>
      </c>
      <c r="B21" s="159" t="s">
        <v>411</v>
      </c>
      <c r="C21" s="159">
        <f>'App 2-E'!L24</f>
        <v>0</v>
      </c>
      <c r="D21" s="159">
        <v>0</v>
      </c>
      <c r="E21" s="159">
        <v>0</v>
      </c>
      <c r="F21" s="160"/>
      <c r="G21" s="160"/>
    </row>
    <row r="22" spans="1:7" ht="15">
      <c r="A22">
        <v>5085</v>
      </c>
      <c r="B22" s="159" t="s">
        <v>277</v>
      </c>
      <c r="C22" s="159">
        <f>'App 2-E'!L25</f>
        <v>2216</v>
      </c>
      <c r="D22" s="159">
        <v>607</v>
      </c>
      <c r="E22" s="159">
        <v>-1609</v>
      </c>
      <c r="F22" s="160"/>
      <c r="G22" s="160"/>
    </row>
    <row r="23" spans="1:7" ht="15">
      <c r="A23">
        <v>5090</v>
      </c>
      <c r="B23" s="159" t="s">
        <v>412</v>
      </c>
      <c r="C23" s="159">
        <f>'App 2-E'!L26</f>
        <v>0</v>
      </c>
      <c r="D23" s="159">
        <v>0</v>
      </c>
      <c r="E23" s="159">
        <v>0</v>
      </c>
      <c r="F23" s="160"/>
      <c r="G23" s="160"/>
    </row>
    <row r="24" spans="1:7" ht="15">
      <c r="A24">
        <v>5095</v>
      </c>
      <c r="B24" s="159" t="s">
        <v>413</v>
      </c>
      <c r="C24" s="159">
        <f>'App 2-E'!L27</f>
        <v>0</v>
      </c>
      <c r="D24" s="159">
        <v>0</v>
      </c>
      <c r="E24" s="159">
        <v>0</v>
      </c>
      <c r="F24" s="160"/>
      <c r="G24" s="160"/>
    </row>
    <row r="25" spans="1:7" ht="15">
      <c r="A25">
        <v>5096</v>
      </c>
      <c r="B25" s="159" t="s">
        <v>280</v>
      </c>
      <c r="C25" s="159">
        <f>'App 2-E'!L28</f>
        <v>0</v>
      </c>
      <c r="D25" s="159">
        <v>0</v>
      </c>
      <c r="E25" s="159">
        <v>0</v>
      </c>
      <c r="F25" s="160"/>
      <c r="G25" s="160"/>
    </row>
    <row r="26" spans="1:7" ht="15">
      <c r="A26" t="s">
        <v>378</v>
      </c>
      <c r="B26" s="159" t="s">
        <v>365</v>
      </c>
      <c r="C26" s="159">
        <f>'App 2-E'!L29</f>
        <v>620871</v>
      </c>
      <c r="D26" s="159">
        <v>617177</v>
      </c>
      <c r="E26" s="159">
        <v>-3694</v>
      </c>
      <c r="F26" s="160"/>
      <c r="G26" s="160"/>
    </row>
    <row r="27" spans="2:7" ht="15">
      <c r="B27" s="159"/>
      <c r="C27" s="159">
        <f>'App 2-E'!L30</f>
        <v>0</v>
      </c>
      <c r="D27" s="159"/>
      <c r="E27" s="159"/>
      <c r="F27" s="160"/>
      <c r="G27" s="160"/>
    </row>
    <row r="28" spans="1:7" ht="15">
      <c r="A28" t="s">
        <v>379</v>
      </c>
      <c r="B28" s="159" t="s">
        <v>380</v>
      </c>
      <c r="C28" s="159">
        <f>'App 2-E'!L31</f>
        <v>0</v>
      </c>
      <c r="D28" s="159"/>
      <c r="E28" s="159"/>
      <c r="F28" s="160"/>
      <c r="G28" s="160"/>
    </row>
    <row r="29" spans="1:7" ht="15">
      <c r="A29">
        <v>5105</v>
      </c>
      <c r="B29" s="159" t="s">
        <v>281</v>
      </c>
      <c r="C29" s="159">
        <f>'App 2-E'!L32</f>
        <v>0</v>
      </c>
      <c r="D29" s="159">
        <v>0</v>
      </c>
      <c r="E29" s="159">
        <v>0</v>
      </c>
      <c r="F29" s="160"/>
      <c r="G29" s="160"/>
    </row>
    <row r="30" spans="1:7" ht="15">
      <c r="A30">
        <v>5110</v>
      </c>
      <c r="B30" s="159" t="s">
        <v>329</v>
      </c>
      <c r="C30" s="159">
        <f>'App 2-E'!L33</f>
        <v>0</v>
      </c>
      <c r="D30" s="159">
        <v>0</v>
      </c>
      <c r="E30" s="159">
        <v>0</v>
      </c>
      <c r="F30" s="160"/>
      <c r="G30" s="160"/>
    </row>
    <row r="31" spans="1:7" ht="15">
      <c r="A31">
        <v>5112</v>
      </c>
      <c r="B31" s="159" t="s">
        <v>282</v>
      </c>
      <c r="C31" s="159">
        <f>'App 2-E'!L34</f>
        <v>0</v>
      </c>
      <c r="D31" s="159">
        <v>0</v>
      </c>
      <c r="E31" s="159">
        <v>0</v>
      </c>
      <c r="F31" s="160"/>
      <c r="G31" s="160"/>
    </row>
    <row r="32" spans="1:7" ht="15">
      <c r="A32">
        <v>5114</v>
      </c>
      <c r="B32" s="159" t="s">
        <v>283</v>
      </c>
      <c r="C32" s="159">
        <f>'App 2-E'!L35</f>
        <v>0</v>
      </c>
      <c r="D32" s="159">
        <v>0</v>
      </c>
      <c r="E32" s="159">
        <v>0</v>
      </c>
      <c r="F32" s="160"/>
      <c r="G32" s="160"/>
    </row>
    <row r="33" spans="1:7" ht="15">
      <c r="A33">
        <v>5120</v>
      </c>
      <c r="B33" s="159" t="s">
        <v>284</v>
      </c>
      <c r="C33" s="159">
        <f>'App 2-E'!L36</f>
        <v>3124</v>
      </c>
      <c r="D33" s="159">
        <v>3033</v>
      </c>
      <c r="E33" s="159">
        <v>-91</v>
      </c>
      <c r="F33" s="160"/>
      <c r="G33" s="160"/>
    </row>
    <row r="34" spans="1:7" ht="15">
      <c r="A34">
        <v>5125</v>
      </c>
      <c r="B34" s="159" t="s">
        <v>285</v>
      </c>
      <c r="C34" s="159">
        <f>'App 2-E'!L37</f>
        <v>0</v>
      </c>
      <c r="D34" s="159">
        <v>0</v>
      </c>
      <c r="E34" s="159">
        <v>0</v>
      </c>
      <c r="F34" s="160"/>
      <c r="G34" s="160"/>
    </row>
    <row r="35" spans="1:7" ht="15">
      <c r="A35">
        <v>5130</v>
      </c>
      <c r="B35" s="159" t="s">
        <v>286</v>
      </c>
      <c r="C35" s="159">
        <f>'App 2-E'!L38</f>
        <v>0</v>
      </c>
      <c r="D35" s="159">
        <v>0</v>
      </c>
      <c r="E35" s="159">
        <v>0</v>
      </c>
      <c r="F35" s="160"/>
      <c r="G35" s="160"/>
    </row>
    <row r="36" spans="1:7" ht="15">
      <c r="A36">
        <v>5135</v>
      </c>
      <c r="B36" s="159" t="s">
        <v>330</v>
      </c>
      <c r="C36" s="159">
        <f>'App 2-E'!L39</f>
        <v>18016</v>
      </c>
      <c r="D36" s="159">
        <v>24233</v>
      </c>
      <c r="E36" s="159">
        <v>6217</v>
      </c>
      <c r="F36" s="160"/>
      <c r="G36" s="160"/>
    </row>
    <row r="37" spans="1:7" ht="15">
      <c r="A37">
        <v>5145</v>
      </c>
      <c r="B37" s="159" t="s">
        <v>287</v>
      </c>
      <c r="C37" s="159">
        <f>'App 2-E'!L40</f>
        <v>0</v>
      </c>
      <c r="D37" s="159">
        <v>0</v>
      </c>
      <c r="E37" s="159">
        <v>0</v>
      </c>
      <c r="F37" s="160"/>
      <c r="G37" s="160"/>
    </row>
    <row r="38" spans="1:7" ht="15">
      <c r="A38">
        <v>5150</v>
      </c>
      <c r="B38" s="159" t="s">
        <v>288</v>
      </c>
      <c r="C38" s="159">
        <f>'App 2-E'!L41</f>
        <v>0</v>
      </c>
      <c r="D38" s="159">
        <v>0</v>
      </c>
      <c r="E38" s="159">
        <v>0</v>
      </c>
      <c r="F38" s="160"/>
      <c r="G38" s="160"/>
    </row>
    <row r="39" spans="1:7" ht="15">
      <c r="A39">
        <v>5155</v>
      </c>
      <c r="B39" s="159" t="s">
        <v>289</v>
      </c>
      <c r="C39" s="159">
        <f>'App 2-E'!L42</f>
        <v>214</v>
      </c>
      <c r="D39" s="159">
        <v>1197</v>
      </c>
      <c r="E39" s="159">
        <v>983</v>
      </c>
      <c r="F39" s="160"/>
      <c r="G39" s="160"/>
    </row>
    <row r="40" spans="1:7" ht="15">
      <c r="A40">
        <v>5160</v>
      </c>
      <c r="B40" s="159" t="s">
        <v>290</v>
      </c>
      <c r="C40" s="159">
        <f>'App 2-E'!L43</f>
        <v>65522</v>
      </c>
      <c r="D40" s="159">
        <v>35904</v>
      </c>
      <c r="E40" s="159">
        <v>-29618</v>
      </c>
      <c r="F40" s="160"/>
      <c r="G40" s="160"/>
    </row>
    <row r="41" spans="1:7" ht="15">
      <c r="A41">
        <v>5165</v>
      </c>
      <c r="B41" s="159" t="s">
        <v>291</v>
      </c>
      <c r="C41" s="159">
        <f>'App 2-E'!L44</f>
        <v>0</v>
      </c>
      <c r="D41" s="159">
        <v>0</v>
      </c>
      <c r="E41" s="159">
        <v>0</v>
      </c>
      <c r="F41" s="160"/>
      <c r="G41" s="160"/>
    </row>
    <row r="42" spans="1:7" ht="15">
      <c r="A42">
        <v>5170</v>
      </c>
      <c r="B42" s="159" t="s">
        <v>331</v>
      </c>
      <c r="C42" s="159">
        <f>'App 2-E'!L45</f>
        <v>0</v>
      </c>
      <c r="D42" s="159">
        <v>0</v>
      </c>
      <c r="E42" s="159">
        <v>0</v>
      </c>
      <c r="F42" s="160"/>
      <c r="G42" s="160"/>
    </row>
    <row r="43" spans="1:7" ht="15">
      <c r="A43">
        <v>5172</v>
      </c>
      <c r="B43" s="159" t="s">
        <v>332</v>
      </c>
      <c r="C43" s="159">
        <f>'App 2-E'!L46</f>
        <v>0</v>
      </c>
      <c r="D43" s="159">
        <v>0</v>
      </c>
      <c r="E43" s="159">
        <v>0</v>
      </c>
      <c r="F43" s="160"/>
      <c r="G43" s="160"/>
    </row>
    <row r="44" spans="1:7" ht="15">
      <c r="A44">
        <v>5175</v>
      </c>
      <c r="B44" s="159" t="s">
        <v>292</v>
      </c>
      <c r="C44" s="159">
        <f>'App 2-E'!L47</f>
        <v>17231</v>
      </c>
      <c r="D44" s="159">
        <v>12970</v>
      </c>
      <c r="E44" s="159">
        <v>-4261</v>
      </c>
      <c r="F44" s="160"/>
      <c r="G44" s="160"/>
    </row>
    <row r="45" spans="1:7" ht="15">
      <c r="A45">
        <v>5178</v>
      </c>
      <c r="B45" s="159" t="s">
        <v>333</v>
      </c>
      <c r="C45" s="159">
        <f>'App 2-E'!L48</f>
        <v>0</v>
      </c>
      <c r="D45" s="159">
        <v>0</v>
      </c>
      <c r="E45" s="159">
        <v>0</v>
      </c>
      <c r="F45" s="160"/>
      <c r="G45" s="160"/>
    </row>
    <row r="46" spans="1:7" ht="15">
      <c r="A46">
        <v>5195</v>
      </c>
      <c r="B46" s="159" t="s">
        <v>293</v>
      </c>
      <c r="C46" s="159">
        <f>'App 2-E'!L49</f>
        <v>0</v>
      </c>
      <c r="D46" s="159">
        <v>0</v>
      </c>
      <c r="E46" s="159">
        <v>0</v>
      </c>
      <c r="F46" s="160"/>
      <c r="G46" s="160"/>
    </row>
    <row r="47" spans="1:7" ht="15">
      <c r="A47" t="s">
        <v>378</v>
      </c>
      <c r="B47" s="159" t="s">
        <v>365</v>
      </c>
      <c r="C47" s="159">
        <f>'App 2-E'!L50</f>
        <v>104107</v>
      </c>
      <c r="D47" s="159">
        <v>77337</v>
      </c>
      <c r="E47" s="159">
        <v>-26770</v>
      </c>
      <c r="F47" s="160"/>
      <c r="G47" s="160"/>
    </row>
    <row r="48" spans="2:7" ht="15">
      <c r="B48" s="159"/>
      <c r="C48" s="159">
        <f>'App 2-E'!L51</f>
        <v>0</v>
      </c>
      <c r="D48" s="159"/>
      <c r="E48" s="159"/>
      <c r="F48" s="160"/>
      <c r="G48" s="160"/>
    </row>
    <row r="49" spans="1:7" ht="15">
      <c r="A49" t="s">
        <v>381</v>
      </c>
      <c r="B49" s="159" t="s">
        <v>382</v>
      </c>
      <c r="C49" s="159">
        <f>'App 2-E'!L52</f>
        <v>0</v>
      </c>
      <c r="D49" s="159"/>
      <c r="E49" s="159"/>
      <c r="F49" s="160"/>
      <c r="G49" s="160"/>
    </row>
    <row r="50" spans="1:7" ht="15">
      <c r="A50">
        <v>5305</v>
      </c>
      <c r="B50" s="159" t="s">
        <v>294</v>
      </c>
      <c r="C50" s="159">
        <f>'App 2-E'!L53</f>
        <v>0</v>
      </c>
      <c r="D50" s="159">
        <v>0</v>
      </c>
      <c r="E50" s="159">
        <v>0</v>
      </c>
      <c r="F50" s="160"/>
      <c r="G50" s="160"/>
    </row>
    <row r="51" spans="1:7" ht="15">
      <c r="A51">
        <v>5310</v>
      </c>
      <c r="B51" s="159" t="s">
        <v>295</v>
      </c>
      <c r="C51" s="159">
        <f>'App 2-E'!L54</f>
        <v>65533</v>
      </c>
      <c r="D51" s="159">
        <v>64970</v>
      </c>
      <c r="E51" s="159">
        <v>-563</v>
      </c>
      <c r="F51" s="160"/>
      <c r="G51" s="160"/>
    </row>
    <row r="52" spans="1:7" ht="15">
      <c r="A52">
        <v>5315</v>
      </c>
      <c r="B52" s="159" t="s">
        <v>296</v>
      </c>
      <c r="C52" s="159">
        <f>'App 2-E'!L55</f>
        <v>122846</v>
      </c>
      <c r="D52" s="159">
        <v>122411</v>
      </c>
      <c r="E52" s="159">
        <v>-435</v>
      </c>
      <c r="F52" s="160"/>
      <c r="G52" s="160"/>
    </row>
    <row r="53" spans="1:7" ht="15">
      <c r="A53">
        <v>5320</v>
      </c>
      <c r="B53" s="159" t="s">
        <v>297</v>
      </c>
      <c r="C53" s="159">
        <f>'App 2-E'!L56</f>
        <v>97303</v>
      </c>
      <c r="D53" s="159">
        <v>97641</v>
      </c>
      <c r="E53" s="159">
        <v>338</v>
      </c>
      <c r="F53" s="160"/>
      <c r="G53" s="160"/>
    </row>
    <row r="54" spans="1:7" ht="15">
      <c r="A54">
        <v>5325</v>
      </c>
      <c r="B54" s="159" t="s">
        <v>414</v>
      </c>
      <c r="C54" s="159">
        <f>'App 2-E'!L57</f>
        <v>-17</v>
      </c>
      <c r="D54" s="159">
        <v>5</v>
      </c>
      <c r="E54" s="159">
        <v>22</v>
      </c>
      <c r="F54" s="160"/>
      <c r="G54" s="160"/>
    </row>
    <row r="55" spans="1:7" ht="15">
      <c r="A55">
        <v>5330</v>
      </c>
      <c r="B55" s="159" t="s">
        <v>299</v>
      </c>
      <c r="C55" s="159">
        <f>'App 2-E'!L58</f>
        <v>516</v>
      </c>
      <c r="D55" s="159">
        <v>4440</v>
      </c>
      <c r="E55" s="159">
        <v>3924</v>
      </c>
      <c r="F55" s="160"/>
      <c r="G55" s="160"/>
    </row>
    <row r="56" spans="1:7" ht="15">
      <c r="A56">
        <v>5335</v>
      </c>
      <c r="B56" s="159" t="s">
        <v>300</v>
      </c>
      <c r="C56" s="159">
        <f>'App 2-E'!L59</f>
        <v>21344</v>
      </c>
      <c r="D56" s="159">
        <v>29693</v>
      </c>
      <c r="E56" s="159">
        <v>8349</v>
      </c>
      <c r="F56" s="160"/>
      <c r="G56" s="160"/>
    </row>
    <row r="57" spans="1:7" ht="15">
      <c r="A57">
        <v>5340</v>
      </c>
      <c r="B57" s="159" t="s">
        <v>301</v>
      </c>
      <c r="C57" s="159">
        <f>'App 2-E'!L60</f>
        <v>121319</v>
      </c>
      <c r="D57" s="159">
        <v>121125</v>
      </c>
      <c r="E57" s="159">
        <v>-194</v>
      </c>
      <c r="F57" s="160"/>
      <c r="G57" s="160"/>
    </row>
    <row r="58" spans="1:7" ht="15">
      <c r="A58" t="s">
        <v>378</v>
      </c>
      <c r="B58" s="159" t="s">
        <v>365</v>
      </c>
      <c r="C58" s="159">
        <f>'App 2-E'!L61</f>
        <v>428844</v>
      </c>
      <c r="D58" s="159">
        <v>440285</v>
      </c>
      <c r="E58" s="159">
        <v>11441</v>
      </c>
      <c r="F58" s="160"/>
      <c r="G58" s="160"/>
    </row>
    <row r="59" spans="2:7" ht="15">
      <c r="B59" s="159"/>
      <c r="C59" s="159">
        <f>'App 2-E'!L62</f>
        <v>0</v>
      </c>
      <c r="D59" s="159"/>
      <c r="E59" s="159"/>
      <c r="F59" s="160"/>
      <c r="G59" s="160"/>
    </row>
    <row r="60" spans="1:7" ht="15">
      <c r="A60" t="s">
        <v>383</v>
      </c>
      <c r="B60" s="159" t="s">
        <v>384</v>
      </c>
      <c r="C60" s="159">
        <f>'App 2-E'!L63</f>
        <v>0</v>
      </c>
      <c r="D60" s="159"/>
      <c r="E60" s="159"/>
      <c r="F60" s="160"/>
      <c r="G60" s="160"/>
    </row>
    <row r="61" spans="1:7" ht="15">
      <c r="A61">
        <v>5405</v>
      </c>
      <c r="B61" s="159" t="s">
        <v>294</v>
      </c>
      <c r="C61" s="159">
        <f>'App 2-E'!L64</f>
        <v>0</v>
      </c>
      <c r="D61" s="159">
        <v>0</v>
      </c>
      <c r="E61" s="159">
        <v>0</v>
      </c>
      <c r="F61" s="160"/>
      <c r="G61" s="160"/>
    </row>
    <row r="62" spans="1:7" ht="15">
      <c r="A62">
        <v>5410</v>
      </c>
      <c r="B62" s="159" t="s">
        <v>415</v>
      </c>
      <c r="C62" s="159">
        <f>'App 2-E'!L65</f>
        <v>19767</v>
      </c>
      <c r="D62" s="159">
        <v>8053</v>
      </c>
      <c r="E62" s="159">
        <v>-11714</v>
      </c>
      <c r="F62" s="160"/>
      <c r="G62" s="160"/>
    </row>
    <row r="63" spans="1:7" ht="15">
      <c r="A63">
        <v>5415</v>
      </c>
      <c r="B63" s="159" t="s">
        <v>303</v>
      </c>
      <c r="C63" s="159">
        <f>'App 2-E'!L66</f>
        <v>0</v>
      </c>
      <c r="D63" s="159">
        <v>0</v>
      </c>
      <c r="E63" s="159">
        <v>0</v>
      </c>
      <c r="F63" s="160"/>
      <c r="G63" s="160"/>
    </row>
    <row r="64" spans="1:7" ht="15">
      <c r="A64">
        <v>5420</v>
      </c>
      <c r="B64" s="159" t="s">
        <v>304</v>
      </c>
      <c r="C64" s="159">
        <f>'App 2-E'!L67</f>
        <v>0</v>
      </c>
      <c r="D64" s="159">
        <v>0</v>
      </c>
      <c r="E64" s="159">
        <v>0</v>
      </c>
      <c r="F64" s="160"/>
      <c r="G64" s="160"/>
    </row>
    <row r="65" spans="1:7" ht="15">
      <c r="A65">
        <v>5510</v>
      </c>
      <c r="B65" s="159" t="s">
        <v>305</v>
      </c>
      <c r="C65" s="159">
        <f>'App 2-E'!L68</f>
        <v>0</v>
      </c>
      <c r="D65" s="159">
        <v>0</v>
      </c>
      <c r="E65" s="159">
        <v>0</v>
      </c>
      <c r="F65" s="160"/>
      <c r="G65" s="160"/>
    </row>
    <row r="66" spans="1:7" ht="15">
      <c r="A66">
        <v>5515</v>
      </c>
      <c r="B66" s="159" t="s">
        <v>306</v>
      </c>
      <c r="C66" s="159">
        <f>'App 2-E'!L69</f>
        <v>0</v>
      </c>
      <c r="D66" s="159">
        <v>0</v>
      </c>
      <c r="E66" s="159">
        <v>0</v>
      </c>
      <c r="F66" s="160"/>
      <c r="G66" s="160"/>
    </row>
    <row r="67" spans="1:7" ht="15">
      <c r="A67">
        <v>5520</v>
      </c>
      <c r="B67" s="159" t="s">
        <v>307</v>
      </c>
      <c r="C67" s="159">
        <f>'App 2-E'!L70</f>
        <v>0</v>
      </c>
      <c r="D67" s="159">
        <v>0</v>
      </c>
      <c r="E67" s="159">
        <v>0</v>
      </c>
      <c r="F67" s="160"/>
      <c r="G67" s="160"/>
    </row>
    <row r="68" spans="1:7" ht="15">
      <c r="A68" t="s">
        <v>378</v>
      </c>
      <c r="B68" s="159" t="s">
        <v>365</v>
      </c>
      <c r="C68" s="159">
        <f>'App 2-E'!L71</f>
        <v>19767</v>
      </c>
      <c r="D68" s="159">
        <v>8053</v>
      </c>
      <c r="E68" s="159">
        <v>-11714</v>
      </c>
      <c r="F68" s="160"/>
      <c r="G68" s="160"/>
    </row>
    <row r="69" spans="2:7" ht="15">
      <c r="B69" s="159"/>
      <c r="C69" s="159">
        <f>'App 2-E'!L72</f>
        <v>0</v>
      </c>
      <c r="D69" s="159"/>
      <c r="E69" s="159"/>
      <c r="F69" s="160"/>
      <c r="G69" s="160"/>
    </row>
    <row r="70" spans="1:7" ht="15">
      <c r="A70" t="s">
        <v>385</v>
      </c>
      <c r="B70" s="159" t="s">
        <v>386</v>
      </c>
      <c r="C70" s="159">
        <f>'App 2-E'!L73</f>
        <v>0</v>
      </c>
      <c r="D70" s="159"/>
      <c r="E70" s="159"/>
      <c r="F70" s="160"/>
      <c r="G70" s="160"/>
    </row>
    <row r="71" spans="1:7" ht="15">
      <c r="A71">
        <v>5605</v>
      </c>
      <c r="B71" s="159" t="s">
        <v>308</v>
      </c>
      <c r="C71" s="159">
        <f>'App 2-E'!L74</f>
        <v>17657</v>
      </c>
      <c r="D71" s="159">
        <v>16612</v>
      </c>
      <c r="E71" s="159">
        <v>-1045</v>
      </c>
      <c r="F71" s="160"/>
      <c r="G71" s="160"/>
    </row>
    <row r="72" spans="1:7" ht="15">
      <c r="A72">
        <v>5610</v>
      </c>
      <c r="B72" s="159" t="s">
        <v>309</v>
      </c>
      <c r="C72" s="159">
        <f>'App 2-E'!L75</f>
        <v>312318</v>
      </c>
      <c r="D72" s="159">
        <v>336516</v>
      </c>
      <c r="E72" s="159">
        <v>24198</v>
      </c>
      <c r="F72" s="160"/>
      <c r="G72" s="160"/>
    </row>
    <row r="73" spans="1:7" ht="15">
      <c r="A73">
        <v>5615</v>
      </c>
      <c r="B73" s="159" t="s">
        <v>310</v>
      </c>
      <c r="C73" s="159">
        <f>'App 2-E'!L76</f>
        <v>148698</v>
      </c>
      <c r="D73" s="159">
        <v>86694</v>
      </c>
      <c r="E73" s="159">
        <v>-62004</v>
      </c>
      <c r="F73" s="160"/>
      <c r="G73" s="160"/>
    </row>
    <row r="74" spans="1:7" ht="15">
      <c r="A74">
        <v>5620</v>
      </c>
      <c r="B74" s="159" t="s">
        <v>311</v>
      </c>
      <c r="C74" s="159">
        <f>'App 2-E'!L77</f>
        <v>93931</v>
      </c>
      <c r="D74" s="159">
        <v>77736</v>
      </c>
      <c r="E74" s="159">
        <v>-16195</v>
      </c>
      <c r="F74" s="160"/>
      <c r="G74" s="160"/>
    </row>
    <row r="75" spans="1:7" ht="15">
      <c r="A75">
        <v>5625</v>
      </c>
      <c r="B75" s="159" t="s">
        <v>416</v>
      </c>
      <c r="C75" s="159">
        <f>'App 2-E'!L78</f>
        <v>0</v>
      </c>
      <c r="D75" s="159">
        <v>0</v>
      </c>
      <c r="E75" s="159">
        <v>0</v>
      </c>
      <c r="F75" s="160"/>
      <c r="G75" s="160"/>
    </row>
    <row r="76" spans="1:7" ht="15">
      <c r="A76">
        <v>5630</v>
      </c>
      <c r="B76" s="159" t="s">
        <v>313</v>
      </c>
      <c r="C76" s="159">
        <f>'App 2-E'!L79</f>
        <v>138624</v>
      </c>
      <c r="D76" s="159">
        <v>7309</v>
      </c>
      <c r="E76" s="159">
        <v>-131315</v>
      </c>
      <c r="F76" s="160"/>
      <c r="G76" s="160"/>
    </row>
    <row r="77" spans="1:7" ht="15">
      <c r="A77">
        <v>5635</v>
      </c>
      <c r="B77" s="159" t="s">
        <v>314</v>
      </c>
      <c r="C77" s="159">
        <f>'App 2-E'!L80</f>
        <v>19915</v>
      </c>
      <c r="D77" s="159">
        <v>20347</v>
      </c>
      <c r="E77" s="159">
        <v>432</v>
      </c>
      <c r="F77" s="160"/>
      <c r="G77" s="160"/>
    </row>
    <row r="78" spans="1:7" ht="15">
      <c r="A78">
        <v>5640</v>
      </c>
      <c r="B78" s="159" t="s">
        <v>315</v>
      </c>
      <c r="C78" s="159">
        <f>'App 2-E'!L81</f>
        <v>39556</v>
      </c>
      <c r="D78" s="159">
        <v>48141</v>
      </c>
      <c r="E78" s="159">
        <v>8585</v>
      </c>
      <c r="F78" s="160"/>
      <c r="G78" s="160"/>
    </row>
    <row r="79" spans="1:7" ht="15">
      <c r="A79">
        <v>5645</v>
      </c>
      <c r="B79" s="159" t="s">
        <v>316</v>
      </c>
      <c r="C79" s="159">
        <f>'App 2-E'!L82</f>
        <v>0</v>
      </c>
      <c r="D79" s="159">
        <v>0</v>
      </c>
      <c r="E79" s="159">
        <v>0</v>
      </c>
      <c r="F79" s="160"/>
      <c r="G79" s="160"/>
    </row>
    <row r="80" spans="1:7" ht="15">
      <c r="A80">
        <v>5650</v>
      </c>
      <c r="B80" s="159" t="s">
        <v>317</v>
      </c>
      <c r="C80" s="159">
        <f>'App 2-E'!L83</f>
        <v>0</v>
      </c>
      <c r="D80" s="159">
        <v>0</v>
      </c>
      <c r="E80" s="159">
        <v>0</v>
      </c>
      <c r="F80" s="160"/>
      <c r="G80" s="160"/>
    </row>
    <row r="81" spans="1:7" ht="15">
      <c r="A81">
        <v>5655</v>
      </c>
      <c r="B81" s="159" t="s">
        <v>318</v>
      </c>
      <c r="C81" s="159">
        <f>'App 2-E'!L84</f>
        <v>82531</v>
      </c>
      <c r="D81" s="159">
        <v>85631</v>
      </c>
      <c r="E81" s="159">
        <v>3100</v>
      </c>
      <c r="F81" s="160"/>
      <c r="G81" s="160"/>
    </row>
    <row r="82" spans="1:7" ht="15">
      <c r="A82">
        <v>5660</v>
      </c>
      <c r="B82" s="159" t="s">
        <v>319</v>
      </c>
      <c r="C82" s="159">
        <f>'App 2-E'!L85</f>
        <v>5025</v>
      </c>
      <c r="D82" s="159">
        <v>2050</v>
      </c>
      <c r="E82" s="159">
        <v>-2975</v>
      </c>
      <c r="F82" s="160"/>
      <c r="G82" s="160"/>
    </row>
    <row r="83" spans="1:7" ht="15">
      <c r="A83">
        <v>5665</v>
      </c>
      <c r="B83" s="159" t="s">
        <v>320</v>
      </c>
      <c r="C83" s="159">
        <f>'App 2-E'!L86</f>
        <v>3524</v>
      </c>
      <c r="D83" s="159">
        <v>2450</v>
      </c>
      <c r="E83" s="159">
        <v>-1074</v>
      </c>
      <c r="F83" s="160"/>
      <c r="G83" s="160"/>
    </row>
    <row r="84" spans="1:7" ht="15">
      <c r="A84">
        <v>5670</v>
      </c>
      <c r="B84" s="159" t="s">
        <v>321</v>
      </c>
      <c r="C84" s="159">
        <f>'App 2-E'!L87</f>
        <v>0</v>
      </c>
      <c r="D84" s="159">
        <v>0</v>
      </c>
      <c r="E84" s="159">
        <v>0</v>
      </c>
      <c r="F84" s="160"/>
      <c r="G84" s="160"/>
    </row>
    <row r="85" spans="1:7" ht="15">
      <c r="A85">
        <v>5675</v>
      </c>
      <c r="B85" s="159" t="s">
        <v>322</v>
      </c>
      <c r="C85" s="159">
        <f>'App 2-E'!L88</f>
        <v>32464</v>
      </c>
      <c r="D85" s="159">
        <v>28575</v>
      </c>
      <c r="E85" s="159">
        <v>-3889</v>
      </c>
      <c r="F85" s="160"/>
      <c r="G85" s="160"/>
    </row>
    <row r="86" spans="1:7" ht="15">
      <c r="A86">
        <v>5680</v>
      </c>
      <c r="B86" s="159" t="s">
        <v>323</v>
      </c>
      <c r="C86" s="159">
        <f>'App 2-E'!L89</f>
        <v>27588</v>
      </c>
      <c r="D86" s="159">
        <v>29704</v>
      </c>
      <c r="E86" s="159">
        <v>2116</v>
      </c>
      <c r="F86" s="160"/>
      <c r="G86" s="160"/>
    </row>
    <row r="87" spans="1:7" ht="15">
      <c r="A87">
        <v>5681</v>
      </c>
      <c r="B87" s="159" t="s">
        <v>417</v>
      </c>
      <c r="C87" s="159">
        <f>'App 2-E'!L90</f>
        <v>0</v>
      </c>
      <c r="D87" s="159">
        <v>0</v>
      </c>
      <c r="E87" s="159">
        <v>0</v>
      </c>
      <c r="F87" s="160"/>
      <c r="G87" s="160"/>
    </row>
    <row r="88" spans="1:7" ht="15">
      <c r="A88">
        <v>5685</v>
      </c>
      <c r="B88" s="159" t="s">
        <v>324</v>
      </c>
      <c r="C88" s="159">
        <f>'App 2-E'!L91</f>
        <v>0</v>
      </c>
      <c r="D88" s="159">
        <v>0</v>
      </c>
      <c r="E88" s="159">
        <v>0</v>
      </c>
      <c r="F88" s="160"/>
      <c r="G88" s="160"/>
    </row>
    <row r="89" spans="1:7" ht="15">
      <c r="A89">
        <v>5695</v>
      </c>
      <c r="B89" s="159" t="s">
        <v>418</v>
      </c>
      <c r="C89" s="159">
        <f>'App 2-E'!L92</f>
        <v>0</v>
      </c>
      <c r="D89" s="159">
        <v>0</v>
      </c>
      <c r="E89" s="159">
        <v>0</v>
      </c>
      <c r="F89" s="160"/>
      <c r="G89" s="160"/>
    </row>
    <row r="90" spans="1:7" ht="15">
      <c r="A90" t="s">
        <v>378</v>
      </c>
      <c r="B90" s="159" t="s">
        <v>365</v>
      </c>
      <c r="C90" s="159">
        <f>'App 2-E'!L93</f>
        <v>921831</v>
      </c>
      <c r="D90" s="159">
        <v>741765</v>
      </c>
      <c r="E90" s="159">
        <v>-180066</v>
      </c>
      <c r="F90" s="160"/>
      <c r="G90" s="160"/>
    </row>
    <row r="91" spans="2:7" ht="15">
      <c r="B91" s="159"/>
      <c r="C91" s="159">
        <f>'App 2-E'!L94</f>
        <v>0</v>
      </c>
      <c r="D91" s="159"/>
      <c r="E91" s="159"/>
      <c r="F91" s="160"/>
      <c r="G91" s="160"/>
    </row>
    <row r="92" spans="1:7" ht="15">
      <c r="A92" t="s">
        <v>387</v>
      </c>
      <c r="B92" s="159" t="s">
        <v>388</v>
      </c>
      <c r="C92" s="159">
        <f>'App 2-E'!L95</f>
        <v>2095420</v>
      </c>
      <c r="D92" s="159">
        <v>1884617</v>
      </c>
      <c r="E92" s="159">
        <v>-210803</v>
      </c>
      <c r="F92" s="160"/>
      <c r="G92" s="160"/>
    </row>
    <row r="93" spans="2:7" ht="15">
      <c r="B93" s="159"/>
      <c r="C93" s="159">
        <f>'App 2-E'!L96</f>
        <v>0</v>
      </c>
      <c r="D93" s="159"/>
      <c r="E93" s="159"/>
      <c r="F93" s="160"/>
      <c r="G93" s="160"/>
    </row>
    <row r="94" spans="1:7" ht="15">
      <c r="A94" t="s">
        <v>389</v>
      </c>
      <c r="B94" s="159" t="s">
        <v>390</v>
      </c>
      <c r="C94" s="159">
        <f>'App 2-E'!L97</f>
        <v>0</v>
      </c>
      <c r="D94" s="159"/>
      <c r="E94" s="159"/>
      <c r="F94" s="160"/>
      <c r="G94" s="160"/>
    </row>
    <row r="95" spans="1:7" ht="15">
      <c r="A95">
        <v>6105</v>
      </c>
      <c r="B95" s="159" t="s">
        <v>419</v>
      </c>
      <c r="C95" s="159">
        <f>'App 2-E'!L98</f>
        <v>55209</v>
      </c>
      <c r="D95" s="159">
        <v>42890</v>
      </c>
      <c r="E95" s="159">
        <v>-12319</v>
      </c>
      <c r="F95" s="160"/>
      <c r="G95" s="160"/>
    </row>
    <row r="96" spans="1:7" ht="15">
      <c r="A96" t="s">
        <v>378</v>
      </c>
      <c r="B96" s="159" t="s">
        <v>365</v>
      </c>
      <c r="C96" s="159">
        <f>'App 2-E'!L99</f>
        <v>55209</v>
      </c>
      <c r="D96" s="159">
        <v>42890</v>
      </c>
      <c r="E96" s="159">
        <v>-12319</v>
      </c>
      <c r="F96" s="160"/>
      <c r="G96" s="160"/>
    </row>
    <row r="97" spans="2:7" ht="15">
      <c r="B97" s="159"/>
      <c r="C97" s="159">
        <f>'App 2-E'!L100</f>
        <v>0</v>
      </c>
      <c r="D97" s="159"/>
      <c r="E97" s="159"/>
      <c r="F97" s="160"/>
      <c r="G97" s="160"/>
    </row>
    <row r="98" spans="1:7" ht="15">
      <c r="A98" t="s">
        <v>391</v>
      </c>
      <c r="B98" s="159" t="s">
        <v>392</v>
      </c>
      <c r="C98" s="159">
        <f>'App 2-E'!L101</f>
        <v>0</v>
      </c>
      <c r="D98" s="159"/>
      <c r="E98" s="159"/>
      <c r="F98" s="160"/>
      <c r="G98" s="160"/>
    </row>
    <row r="99" spans="1:7" ht="15">
      <c r="A99">
        <v>5705</v>
      </c>
      <c r="B99" s="159" t="s">
        <v>420</v>
      </c>
      <c r="C99" s="159">
        <f>'App 2-E'!L102</f>
        <v>0</v>
      </c>
      <c r="D99" s="159">
        <v>838633</v>
      </c>
      <c r="E99" s="159">
        <v>838633</v>
      </c>
      <c r="F99" s="160"/>
      <c r="G99" s="160"/>
    </row>
    <row r="100" spans="1:7" ht="15">
      <c r="A100" t="s">
        <v>378</v>
      </c>
      <c r="B100" s="159" t="s">
        <v>365</v>
      </c>
      <c r="C100" s="159">
        <f>'App 2-E'!L103</f>
        <v>0</v>
      </c>
      <c r="D100" s="159">
        <v>838633</v>
      </c>
      <c r="E100" s="159">
        <v>838633</v>
      </c>
      <c r="F100" s="160"/>
      <c r="G100" s="160"/>
    </row>
    <row r="101" spans="2:7" ht="15">
      <c r="B101" s="159"/>
      <c r="C101" s="159">
        <f>'App 2-E'!L104</f>
        <v>0</v>
      </c>
      <c r="D101" s="159"/>
      <c r="E101" s="159"/>
      <c r="F101" s="160"/>
      <c r="G101" s="160"/>
    </row>
    <row r="102" spans="1:7" ht="15">
      <c r="A102" t="s">
        <v>387</v>
      </c>
      <c r="B102" s="159" t="s">
        <v>393</v>
      </c>
      <c r="C102" s="159">
        <f>'App 2-E'!L105</f>
        <v>2095420</v>
      </c>
      <c r="D102" s="159">
        <v>2723250</v>
      </c>
      <c r="E102" s="159">
        <v>627830</v>
      </c>
      <c r="F102" s="160"/>
      <c r="G102" s="160"/>
    </row>
    <row r="103" spans="1:7" ht="15">
      <c r="A103" t="s">
        <v>394</v>
      </c>
      <c r="B103" s="159" t="s">
        <v>395</v>
      </c>
      <c r="C103" s="159">
        <f>'App 2-E'!L106</f>
        <v>20954.2</v>
      </c>
      <c r="D103" s="159">
        <v>27232.5</v>
      </c>
      <c r="E103" s="159">
        <v>6278.299999999999</v>
      </c>
      <c r="F103" s="160"/>
      <c r="G103" s="160"/>
    </row>
    <row r="104" spans="1:5" ht="15">
      <c r="A104" t="s">
        <v>396</v>
      </c>
      <c r="B104" s="159" t="s">
        <v>397</v>
      </c>
      <c r="C104" s="159"/>
      <c r="D104" s="159"/>
      <c r="E104" s="159"/>
    </row>
    <row r="106" ht="15">
      <c r="D106">
        <v>1490542.3399999999</v>
      </c>
    </row>
    <row r="107" ht="15">
      <c r="D107">
        <v>1232707.6600000001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10"/>
  <sheetViews>
    <sheetView zoomScalePageLayoutView="0" workbookViewId="0" topLeftCell="I4">
      <selection activeCell="R25" sqref="R25"/>
    </sheetView>
  </sheetViews>
  <sheetFormatPr defaultColWidth="8.140625" defaultRowHeight="15"/>
  <cols>
    <col min="1" max="1" width="32.00390625" style="2" bestFit="1" customWidth="1"/>
    <col min="2" max="2" width="20.00390625" style="2" bestFit="1" customWidth="1"/>
    <col min="3" max="3" width="13.28125" style="2" customWidth="1"/>
    <col min="4" max="4" width="13.140625" style="2" customWidth="1"/>
    <col min="5" max="5" width="14.421875" style="2" customWidth="1"/>
    <col min="6" max="6" width="8.140625" style="2" hidden="1" customWidth="1"/>
    <col min="7" max="7" width="62.421875" style="2" hidden="1" customWidth="1"/>
    <col min="8" max="8" width="30.421875" style="2" hidden="1" customWidth="1"/>
    <col min="9" max="9" width="15.57421875" style="2" bestFit="1" customWidth="1"/>
    <col min="10" max="10" width="15.57421875" style="2" customWidth="1"/>
    <col min="11" max="11" width="73.140625" style="33" customWidth="1"/>
    <col min="12" max="12" width="11.00390625" style="13" bestFit="1" customWidth="1"/>
    <col min="13" max="13" width="9.8515625" style="13" bestFit="1" customWidth="1"/>
    <col min="14" max="14" width="10.140625" style="34" bestFit="1" customWidth="1"/>
    <col min="15" max="15" width="10.7109375" style="198" bestFit="1" customWidth="1"/>
    <col min="16" max="113" width="8.140625" style="1" customWidth="1"/>
    <col min="114" max="16384" width="8.140625" style="2" customWidth="1"/>
  </cols>
  <sheetData>
    <row r="1" spans="6:15" s="1" customFormat="1" ht="15">
      <c r="F1" s="2"/>
      <c r="G1" s="2"/>
      <c r="H1" s="2"/>
      <c r="I1" s="2"/>
      <c r="J1" s="2"/>
      <c r="K1" s="28"/>
      <c r="L1" s="28"/>
      <c r="M1" s="13"/>
      <c r="N1" s="34"/>
      <c r="O1" s="198"/>
    </row>
    <row r="2" spans="1:15" s="1" customFormat="1" ht="15">
      <c r="A2" s="4" t="s">
        <v>184</v>
      </c>
      <c r="B2" s="4"/>
      <c r="F2" s="2"/>
      <c r="G2" s="2"/>
      <c r="H2" s="2"/>
      <c r="I2" s="2"/>
      <c r="J2" s="2"/>
      <c r="K2" s="28" t="s">
        <v>0</v>
      </c>
      <c r="L2" s="28"/>
      <c r="M2" s="34"/>
      <c r="N2" s="34"/>
      <c r="O2" s="198"/>
    </row>
    <row r="3" spans="6:15" s="1" customFormat="1" ht="15">
      <c r="F3" s="2"/>
      <c r="G3" s="2"/>
      <c r="H3" s="2"/>
      <c r="I3" s="2"/>
      <c r="J3" s="2"/>
      <c r="K3" s="33"/>
      <c r="L3" s="13"/>
      <c r="M3" s="13"/>
      <c r="N3" s="34"/>
      <c r="O3" s="198"/>
    </row>
    <row r="4" spans="6:17" s="1" customFormat="1" ht="30">
      <c r="F4" s="2"/>
      <c r="G4" s="2"/>
      <c r="H4" s="2"/>
      <c r="I4" s="2"/>
      <c r="J4" s="2"/>
      <c r="K4" s="8" t="s">
        <v>1</v>
      </c>
      <c r="L4" s="10" t="s">
        <v>3</v>
      </c>
      <c r="M4" s="10" t="s">
        <v>177</v>
      </c>
      <c r="N4" s="62" t="s">
        <v>12</v>
      </c>
      <c r="O4" s="199" t="s">
        <v>13</v>
      </c>
      <c r="P4" s="1" t="s">
        <v>460</v>
      </c>
      <c r="Q4" s="1" t="s">
        <v>460</v>
      </c>
    </row>
    <row r="5" spans="1:17" s="1" customFormat="1" ht="15">
      <c r="A5" s="315" t="s">
        <v>5</v>
      </c>
      <c r="B5" s="315"/>
      <c r="C5" s="315"/>
      <c r="D5" s="315"/>
      <c r="E5" s="315"/>
      <c r="F5" s="2"/>
      <c r="G5" s="2"/>
      <c r="H5" s="2"/>
      <c r="I5" s="2"/>
      <c r="J5" s="2"/>
      <c r="K5" s="170" t="s">
        <v>6</v>
      </c>
      <c r="L5" s="171"/>
      <c r="M5" s="171"/>
      <c r="N5" s="200"/>
      <c r="O5" s="183"/>
      <c r="Q5" s="1">
        <v>0</v>
      </c>
    </row>
    <row r="6" spans="6:17" s="1" customFormat="1" ht="15">
      <c r="F6" s="2">
        <v>2270</v>
      </c>
      <c r="G6" s="2" t="s">
        <v>7</v>
      </c>
      <c r="H6" s="2"/>
      <c r="I6" s="2"/>
      <c r="J6" s="2"/>
      <c r="K6" s="14" t="s">
        <v>8</v>
      </c>
      <c r="L6" s="175">
        <f>'[1]Trial Balance'!$D$276</f>
        <v>148399</v>
      </c>
      <c r="M6" s="175">
        <f>'[1]Trial Balance'!$L$276</f>
        <v>323678.441384</v>
      </c>
      <c r="N6" s="174">
        <f>M6-L6</f>
        <v>175279.441384</v>
      </c>
      <c r="O6" s="183">
        <f>N6/L6</f>
        <v>1.1811362703522261</v>
      </c>
      <c r="Q6" s="68">
        <v>1</v>
      </c>
    </row>
    <row r="7" spans="1:17" s="1" customFormat="1" ht="15">
      <c r="A7" s="18" t="s">
        <v>9</v>
      </c>
      <c r="F7" s="2">
        <v>2272</v>
      </c>
      <c r="G7" s="2" t="s">
        <v>10</v>
      </c>
      <c r="H7" s="2"/>
      <c r="I7" s="2"/>
      <c r="J7" s="2"/>
      <c r="K7" s="14" t="s">
        <v>11</v>
      </c>
      <c r="L7" s="175">
        <f>'[1]Trial Balance'!$D$277</f>
        <v>0</v>
      </c>
      <c r="M7" s="175">
        <f>'[1]Trial Balance'!$L$277</f>
        <v>0</v>
      </c>
      <c r="N7" s="174">
        <f aca="true" t="shared" si="0" ref="N7:N29">M7-L7</f>
        <v>0</v>
      </c>
      <c r="O7" s="266">
        <v>0</v>
      </c>
      <c r="Q7" s="1">
        <v>0</v>
      </c>
    </row>
    <row r="8" spans="1:17" s="1" customFormat="1" ht="15">
      <c r="A8" s="72"/>
      <c r="B8" s="164" t="s">
        <v>55</v>
      </c>
      <c r="C8" s="164" t="s">
        <v>245</v>
      </c>
      <c r="D8" s="164" t="s">
        <v>12</v>
      </c>
      <c r="E8" s="164" t="s">
        <v>13</v>
      </c>
      <c r="F8" s="2">
        <v>2285</v>
      </c>
      <c r="G8" s="2" t="s">
        <v>14</v>
      </c>
      <c r="H8" s="2"/>
      <c r="I8" s="2"/>
      <c r="J8" s="2"/>
      <c r="K8" s="14" t="s">
        <v>15</v>
      </c>
      <c r="L8" s="175">
        <f>'[1]Trial Balance'!$D$278</f>
        <v>0</v>
      </c>
      <c r="M8" s="175">
        <f>'[1]Trial Balance'!$L$278</f>
        <v>0</v>
      </c>
      <c r="N8" s="174">
        <f t="shared" si="0"/>
        <v>0</v>
      </c>
      <c r="O8" s="266">
        <v>0</v>
      </c>
      <c r="Q8" s="1">
        <v>0</v>
      </c>
    </row>
    <row r="9" spans="1:17" s="1" customFormat="1" ht="15">
      <c r="A9" s="165" t="s">
        <v>6</v>
      </c>
      <c r="B9" s="177">
        <f>L29</f>
        <v>617177</v>
      </c>
      <c r="C9" s="166">
        <f>M29</f>
        <v>879396.1671413335</v>
      </c>
      <c r="D9" s="166">
        <f aca="true" t="shared" si="1" ref="D9:D14">C9-B9</f>
        <v>262219.16714133346</v>
      </c>
      <c r="E9" s="167">
        <f aca="true" t="shared" si="2" ref="E9:E14">D9/B9</f>
        <v>0.4248686635136006</v>
      </c>
      <c r="F9" s="2">
        <v>2290</v>
      </c>
      <c r="G9" s="2" t="s">
        <v>16</v>
      </c>
      <c r="H9" s="2"/>
      <c r="I9" s="169"/>
      <c r="J9" s="2"/>
      <c r="K9" s="14" t="s">
        <v>17</v>
      </c>
      <c r="L9" s="175">
        <f>'[1]Trial Balance'!D279</f>
        <v>0</v>
      </c>
      <c r="M9" s="175">
        <f>'[1]Trial Balance'!$L$279</f>
        <v>0</v>
      </c>
      <c r="N9" s="174">
        <f t="shared" si="0"/>
        <v>0</v>
      </c>
      <c r="O9" s="266">
        <v>0</v>
      </c>
      <c r="Q9" s="1">
        <v>0</v>
      </c>
    </row>
    <row r="10" spans="1:17" s="1" customFormat="1" ht="15">
      <c r="A10" s="165" t="s">
        <v>18</v>
      </c>
      <c r="B10" s="177">
        <f>L50</f>
        <v>77337</v>
      </c>
      <c r="C10" s="166">
        <f>M50</f>
        <v>391785.52180999995</v>
      </c>
      <c r="D10" s="166">
        <f t="shared" si="1"/>
        <v>314448.52180999995</v>
      </c>
      <c r="E10" s="167">
        <f t="shared" si="2"/>
        <v>4.065951896375602</v>
      </c>
      <c r="F10" s="2">
        <v>2292</v>
      </c>
      <c r="G10" s="2" t="s">
        <v>19</v>
      </c>
      <c r="H10" s="2"/>
      <c r="I10" s="169"/>
      <c r="J10" s="2"/>
      <c r="K10" s="14" t="s">
        <v>20</v>
      </c>
      <c r="L10" s="175">
        <f>'[1]Trial Balance'!$D$280</f>
        <v>0</v>
      </c>
      <c r="M10" s="175">
        <f>'[1]Trial Balance'!$L$280</f>
        <v>0</v>
      </c>
      <c r="N10" s="174">
        <f t="shared" si="0"/>
        <v>0</v>
      </c>
      <c r="O10" s="266">
        <v>0</v>
      </c>
      <c r="Q10" s="1">
        <v>0</v>
      </c>
    </row>
    <row r="11" spans="1:17" s="1" customFormat="1" ht="15">
      <c r="A11" s="165" t="s">
        <v>21</v>
      </c>
      <c r="B11" s="177">
        <f>L61</f>
        <v>440285</v>
      </c>
      <c r="C11" s="166">
        <f>M61</f>
        <v>500298.1487953334</v>
      </c>
      <c r="D11" s="166">
        <f t="shared" si="1"/>
        <v>60013.1487953334</v>
      </c>
      <c r="E11" s="167">
        <f t="shared" si="2"/>
        <v>0.136305231373618</v>
      </c>
      <c r="F11" s="2">
        <v>2294</v>
      </c>
      <c r="G11" s="2" t="s">
        <v>22</v>
      </c>
      <c r="H11" s="2"/>
      <c r="I11" s="169"/>
      <c r="J11" s="2"/>
      <c r="K11" s="14" t="s">
        <v>23</v>
      </c>
      <c r="L11" s="175">
        <f>'[1]Trial Balance'!$D$281</f>
        <v>1314</v>
      </c>
      <c r="M11" s="175">
        <f>'[1]Trial Balance'!$L$281</f>
        <v>2598.5979866666667</v>
      </c>
      <c r="N11" s="174">
        <f t="shared" si="0"/>
        <v>1284.5979866666667</v>
      </c>
      <c r="O11" s="266">
        <f aca="true" t="shared" si="3" ref="O11:O29">N11/L11</f>
        <v>0.9776240385591071</v>
      </c>
      <c r="Q11" s="1">
        <v>0</v>
      </c>
    </row>
    <row r="12" spans="1:17" s="1" customFormat="1" ht="15">
      <c r="A12" s="165" t="s">
        <v>24</v>
      </c>
      <c r="B12" s="177">
        <f>L71</f>
        <v>8053</v>
      </c>
      <c r="C12" s="166">
        <f>M71</f>
        <v>14344.648015333336</v>
      </c>
      <c r="D12" s="166">
        <f t="shared" si="1"/>
        <v>6291.648015333336</v>
      </c>
      <c r="E12" s="167">
        <f t="shared" si="2"/>
        <v>0.7812800217724247</v>
      </c>
      <c r="F12" s="2">
        <v>2296</v>
      </c>
      <c r="G12" s="2" t="s">
        <v>25</v>
      </c>
      <c r="H12" s="2"/>
      <c r="I12" s="169"/>
      <c r="J12" s="2"/>
      <c r="K12" s="14" t="s">
        <v>26</v>
      </c>
      <c r="L12" s="175">
        <f>'[1]Trial Balance'!$D$282</f>
        <v>63084</v>
      </c>
      <c r="M12" s="175">
        <f>'[1]Trial Balance'!$L$282</f>
        <v>35331.28333333333</v>
      </c>
      <c r="N12" s="174">
        <f>M12-L12</f>
        <v>-27752.716666666667</v>
      </c>
      <c r="O12" s="266">
        <f t="shared" si="3"/>
        <v>-0.4399327351890601</v>
      </c>
      <c r="Q12" s="68">
        <v>1</v>
      </c>
    </row>
    <row r="13" spans="1:17" s="1" customFormat="1" ht="15">
      <c r="A13" s="165" t="s">
        <v>27</v>
      </c>
      <c r="B13" s="177">
        <f>L93</f>
        <v>741765.34</v>
      </c>
      <c r="C13" s="166">
        <f>M93</f>
        <v>1281489.1994170004</v>
      </c>
      <c r="D13" s="166">
        <f t="shared" si="1"/>
        <v>539723.8594170004</v>
      </c>
      <c r="E13" s="167">
        <f t="shared" si="2"/>
        <v>0.7276207586310254</v>
      </c>
      <c r="F13" s="2">
        <v>0</v>
      </c>
      <c r="G13" s="2" t="s">
        <v>28</v>
      </c>
      <c r="H13" s="2"/>
      <c r="I13" s="169"/>
      <c r="J13" s="2"/>
      <c r="K13" s="14" t="s">
        <v>29</v>
      </c>
      <c r="L13" s="175">
        <f>'[1]Trial Balance'!$D$283</f>
        <v>223159</v>
      </c>
      <c r="M13" s="175">
        <f>'[1]Trial Balance'!$L$283</f>
        <v>309975.41030000005</v>
      </c>
      <c r="N13" s="174">
        <f t="shared" si="0"/>
        <v>86816.41030000005</v>
      </c>
      <c r="O13" s="266">
        <f t="shared" si="3"/>
        <v>0.38903387405392587</v>
      </c>
      <c r="Q13" s="68">
        <v>1</v>
      </c>
    </row>
    <row r="14" spans="1:17" s="1" customFormat="1" ht="15">
      <c r="A14" s="165" t="s">
        <v>30</v>
      </c>
      <c r="B14" s="168">
        <f>SUM(B9:B13)</f>
        <v>1884617.3399999999</v>
      </c>
      <c r="C14" s="168">
        <f>SUM(C9:C13)</f>
        <v>3067313.6851790007</v>
      </c>
      <c r="D14" s="166">
        <f t="shared" si="1"/>
        <v>1182696.3451790009</v>
      </c>
      <c r="E14" s="167">
        <f t="shared" si="2"/>
        <v>0.6275525116302926</v>
      </c>
      <c r="F14" s="2">
        <v>2305</v>
      </c>
      <c r="G14" s="2" t="s">
        <v>31</v>
      </c>
      <c r="H14" s="2"/>
      <c r="I14" s="2"/>
      <c r="J14" s="2"/>
      <c r="K14" s="14" t="s">
        <v>32</v>
      </c>
      <c r="L14" s="175">
        <f>'[1]Trial Balance'!$D$284</f>
        <v>133540</v>
      </c>
      <c r="M14" s="175">
        <f>'[1]Trial Balance'!$L$284</f>
        <v>126162.55073333334</v>
      </c>
      <c r="N14" s="174">
        <f t="shared" si="0"/>
        <v>-7377.449266666663</v>
      </c>
      <c r="O14" s="266">
        <f t="shared" si="3"/>
        <v>-0.05524523937896258</v>
      </c>
      <c r="Q14" s="1">
        <v>0</v>
      </c>
    </row>
    <row r="15" spans="1:17" s="1" customFormat="1" ht="15">
      <c r="A15" s="20"/>
      <c r="E15" s="25"/>
      <c r="F15" s="2">
        <v>2306</v>
      </c>
      <c r="G15" s="2" t="s">
        <v>33</v>
      </c>
      <c r="H15" s="2"/>
      <c r="I15" s="2"/>
      <c r="J15" s="2"/>
      <c r="K15" s="14" t="s">
        <v>34</v>
      </c>
      <c r="L15" s="175">
        <f>'[1]Trial Balance'!$D$285</f>
        <v>0</v>
      </c>
      <c r="M15" s="175">
        <f>'[1]Trial Balance'!$L$285</f>
        <v>0</v>
      </c>
      <c r="N15" s="174">
        <f t="shared" si="0"/>
        <v>0</v>
      </c>
      <c r="O15" s="266">
        <v>0</v>
      </c>
      <c r="Q15" s="1">
        <v>0</v>
      </c>
    </row>
    <row r="16" spans="5:17" s="1" customFormat="1" ht="15">
      <c r="E16" s="25"/>
      <c r="F16" s="2">
        <v>2308</v>
      </c>
      <c r="G16" s="2" t="s">
        <v>35</v>
      </c>
      <c r="H16" s="2"/>
      <c r="I16" s="2"/>
      <c r="J16" s="2"/>
      <c r="K16" s="14" t="s">
        <v>36</v>
      </c>
      <c r="L16" s="175">
        <f>'[1]Trial Balance'!$D$286</f>
        <v>2449</v>
      </c>
      <c r="M16" s="175">
        <f>'[1]Trial Balance'!$L$286</f>
        <v>630.6175000000001</v>
      </c>
      <c r="N16" s="174">
        <f t="shared" si="0"/>
        <v>-1818.3825</v>
      </c>
      <c r="O16" s="266">
        <f t="shared" si="3"/>
        <v>-0.7424999999999999</v>
      </c>
      <c r="Q16" s="1">
        <v>0</v>
      </c>
    </row>
    <row r="17" spans="2:17" s="1" customFormat="1" ht="15">
      <c r="B17" s="19"/>
      <c r="C17" s="19"/>
      <c r="D17" s="19"/>
      <c r="E17" s="19"/>
      <c r="F17" s="2">
        <v>2310</v>
      </c>
      <c r="G17" s="2" t="s">
        <v>37</v>
      </c>
      <c r="H17" s="2"/>
      <c r="I17" s="2"/>
      <c r="J17" s="2"/>
      <c r="K17" s="14" t="s">
        <v>38</v>
      </c>
      <c r="L17" s="175">
        <f>'[1]Trial Balance'!$D$287</f>
        <v>29339</v>
      </c>
      <c r="M17" s="175">
        <f>'[1]Trial Balance'!$L$287</f>
        <v>25000</v>
      </c>
      <c r="N17" s="174">
        <f t="shared" si="0"/>
        <v>-4339</v>
      </c>
      <c r="O17" s="266">
        <f t="shared" si="3"/>
        <v>-0.1478918845223082</v>
      </c>
      <c r="Q17" s="1">
        <v>0</v>
      </c>
    </row>
    <row r="18" spans="1:17" s="1" customFormat="1" ht="15">
      <c r="A18" s="20"/>
      <c r="B18" s="21"/>
      <c r="C18" s="21"/>
      <c r="D18" s="21"/>
      <c r="E18" s="22"/>
      <c r="F18" s="2">
        <v>2315</v>
      </c>
      <c r="G18" s="2" t="s">
        <v>39</v>
      </c>
      <c r="H18" s="2"/>
      <c r="I18" s="2"/>
      <c r="J18" s="2"/>
      <c r="K18" s="14" t="s">
        <v>40</v>
      </c>
      <c r="L18" s="175">
        <f>'[1]Trial Balance'!$D$288</f>
        <v>15286</v>
      </c>
      <c r="M18" s="175">
        <f>'[1]Trial Balance'!$L$288</f>
        <v>19932.9411</v>
      </c>
      <c r="N18" s="174">
        <f t="shared" si="0"/>
        <v>4646.9411</v>
      </c>
      <c r="O18" s="266">
        <f t="shared" si="3"/>
        <v>0.3039998102839199</v>
      </c>
      <c r="Q18" s="1">
        <v>0</v>
      </c>
    </row>
    <row r="19" spans="1:17" s="1" customFormat="1" ht="15">
      <c r="A19" s="20"/>
      <c r="B19" s="21"/>
      <c r="C19" s="21"/>
      <c r="D19" s="21"/>
      <c r="E19" s="22"/>
      <c r="F19" s="2">
        <v>2320</v>
      </c>
      <c r="G19" s="2" t="s">
        <v>41</v>
      </c>
      <c r="H19" s="2"/>
      <c r="I19" s="2"/>
      <c r="J19" s="2"/>
      <c r="K19" s="14" t="s">
        <v>42</v>
      </c>
      <c r="L19" s="175">
        <f>'[1]Trial Balance'!$D$289</f>
        <v>0</v>
      </c>
      <c r="M19" s="175">
        <f>'[1]Trial Balance'!$L$289</f>
        <v>0</v>
      </c>
      <c r="N19" s="174">
        <f t="shared" si="0"/>
        <v>0</v>
      </c>
      <c r="O19" s="266">
        <v>0</v>
      </c>
      <c r="Q19" s="1">
        <v>0</v>
      </c>
    </row>
    <row r="20" spans="1:17" s="1" customFormat="1" ht="15">
      <c r="A20" s="20"/>
      <c r="B20" s="21"/>
      <c r="C20" s="21"/>
      <c r="D20" s="21"/>
      <c r="E20" s="22"/>
      <c r="F20" s="2">
        <v>2325</v>
      </c>
      <c r="G20" s="2" t="s">
        <v>43</v>
      </c>
      <c r="H20" s="2"/>
      <c r="I20" s="2"/>
      <c r="J20" s="2"/>
      <c r="K20" s="14" t="s">
        <v>44</v>
      </c>
      <c r="L20" s="175">
        <f>'[1]Trial Balance'!$D$290</f>
        <v>0</v>
      </c>
      <c r="M20" s="175">
        <f>'[1]Trial Balance'!$L$290</f>
        <v>0</v>
      </c>
      <c r="N20" s="174">
        <f t="shared" si="0"/>
        <v>0</v>
      </c>
      <c r="O20" s="266">
        <v>0</v>
      </c>
      <c r="Q20" s="1">
        <v>0</v>
      </c>
    </row>
    <row r="21" spans="1:17" s="1" customFormat="1" ht="15">
      <c r="A21" s="20"/>
      <c r="B21" s="21"/>
      <c r="C21" s="21"/>
      <c r="D21" s="21"/>
      <c r="E21" s="22"/>
      <c r="F21" s="2"/>
      <c r="G21" s="2"/>
      <c r="H21" s="2"/>
      <c r="I21" s="2"/>
      <c r="J21" s="2"/>
      <c r="K21" s="14" t="s">
        <v>45</v>
      </c>
      <c r="L21" s="175">
        <f>'[1]Trial Balance'!$D$291</f>
        <v>0</v>
      </c>
      <c r="M21" s="175">
        <f>'[1]Trial Balance'!$L$291</f>
        <v>0</v>
      </c>
      <c r="N21" s="174">
        <f t="shared" si="0"/>
        <v>0</v>
      </c>
      <c r="O21" s="266">
        <v>0</v>
      </c>
      <c r="Q21" s="1">
        <v>0</v>
      </c>
    </row>
    <row r="22" spans="1:17" s="1" customFormat="1" ht="15">
      <c r="A22" s="20"/>
      <c r="B22" s="21"/>
      <c r="C22" s="21"/>
      <c r="D22" s="21"/>
      <c r="E22" s="22"/>
      <c r="F22" s="2">
        <v>2330</v>
      </c>
      <c r="G22" s="2" t="s">
        <v>46</v>
      </c>
      <c r="H22" s="2"/>
      <c r="I22" s="2"/>
      <c r="J22" s="2"/>
      <c r="K22" s="14" t="s">
        <v>47</v>
      </c>
      <c r="L22" s="175">
        <f>'[1]Trial Balance'!$D$292</f>
        <v>0</v>
      </c>
      <c r="M22" s="175">
        <f>'[1]Trial Balance'!$L$292</f>
        <v>31316.120000000003</v>
      </c>
      <c r="N22" s="174">
        <f t="shared" si="0"/>
        <v>31316.120000000003</v>
      </c>
      <c r="O22" s="266">
        <v>1</v>
      </c>
      <c r="Q22" s="68">
        <v>1</v>
      </c>
    </row>
    <row r="23" spans="1:17" s="1" customFormat="1" ht="15.75" thickBot="1">
      <c r="A23" s="20"/>
      <c r="B23" s="23"/>
      <c r="C23" s="23"/>
      <c r="D23" s="23"/>
      <c r="E23" s="60"/>
      <c r="F23" s="2">
        <v>2335</v>
      </c>
      <c r="G23" s="2" t="s">
        <v>48</v>
      </c>
      <c r="H23" s="2"/>
      <c r="I23" s="2"/>
      <c r="J23" s="2"/>
      <c r="K23" s="14" t="s">
        <v>49</v>
      </c>
      <c r="L23" s="175">
        <f>'[1]Trial Balance'!$D$293</f>
        <v>0</v>
      </c>
      <c r="M23" s="175">
        <f>'[1]Trial Balance'!$L$293</f>
        <v>0</v>
      </c>
      <c r="N23" s="174">
        <f t="shared" si="0"/>
        <v>0</v>
      </c>
      <c r="O23" s="266">
        <v>0</v>
      </c>
      <c r="Q23" s="1">
        <v>0</v>
      </c>
    </row>
    <row r="24" spans="1:17" s="1" customFormat="1" ht="15.75" customHeight="1" thickTop="1">
      <c r="A24" s="20"/>
      <c r="E24" s="25"/>
      <c r="F24" s="2">
        <v>2340</v>
      </c>
      <c r="G24" s="2" t="s">
        <v>51</v>
      </c>
      <c r="H24" s="2"/>
      <c r="I24" s="2"/>
      <c r="J24" s="2"/>
      <c r="K24" s="14" t="s">
        <v>52</v>
      </c>
      <c r="L24" s="175">
        <f>'[1]Trial Balance'!$D$294</f>
        <v>0</v>
      </c>
      <c r="M24" s="175">
        <f>'[1]Trial Balance'!$L$294</f>
        <v>77.25</v>
      </c>
      <c r="N24" s="174">
        <f t="shared" si="0"/>
        <v>77.25</v>
      </c>
      <c r="O24" s="266">
        <v>1</v>
      </c>
      <c r="Q24" s="1">
        <v>0</v>
      </c>
    </row>
    <row r="25" spans="5:17" s="1" customFormat="1" ht="15">
      <c r="E25" s="25"/>
      <c r="F25" s="2">
        <v>2345</v>
      </c>
      <c r="G25" s="2" t="s">
        <v>53</v>
      </c>
      <c r="H25" s="2"/>
      <c r="I25" s="2"/>
      <c r="J25" s="2"/>
      <c r="K25" s="14" t="s">
        <v>54</v>
      </c>
      <c r="L25" s="175">
        <f>'[1]Trial Balance'!$D$295</f>
        <v>607</v>
      </c>
      <c r="M25" s="175">
        <f>'[1]Trial Balance'!$L$295</f>
        <v>4692.954804</v>
      </c>
      <c r="N25" s="174">
        <f t="shared" si="0"/>
        <v>4085.954804</v>
      </c>
      <c r="O25" s="266">
        <f t="shared" si="3"/>
        <v>6.731391769357495</v>
      </c>
      <c r="Q25" s="1">
        <v>0</v>
      </c>
    </row>
    <row r="26" spans="2:17" s="1" customFormat="1" ht="15">
      <c r="B26" s="19"/>
      <c r="C26" s="19"/>
      <c r="D26" s="19"/>
      <c r="E26" s="19"/>
      <c r="F26" s="2"/>
      <c r="G26" s="2"/>
      <c r="H26" s="2"/>
      <c r="I26" s="2"/>
      <c r="J26" s="2"/>
      <c r="K26" s="14" t="s">
        <v>56</v>
      </c>
      <c r="L26" s="175">
        <f>'[1]Trial Balance'!$D$296</f>
        <v>0</v>
      </c>
      <c r="M26" s="175">
        <f>'[1]Trial Balance'!$L$296</f>
        <v>0</v>
      </c>
      <c r="N26" s="174">
        <f t="shared" si="0"/>
        <v>0</v>
      </c>
      <c r="O26" s="266">
        <v>0</v>
      </c>
      <c r="Q26" s="1">
        <v>0</v>
      </c>
    </row>
    <row r="27" spans="1:17" s="1" customFormat="1" ht="15">
      <c r="A27" s="20"/>
      <c r="B27" s="21"/>
      <c r="C27" s="21"/>
      <c r="D27" s="21"/>
      <c r="E27" s="22"/>
      <c r="F27" s="2"/>
      <c r="G27" s="2"/>
      <c r="H27" s="2"/>
      <c r="I27" s="2"/>
      <c r="J27" s="2"/>
      <c r="K27" s="26" t="s">
        <v>57</v>
      </c>
      <c r="L27" s="175">
        <f>'[1]Trial Balance'!$D$297</f>
        <v>0</v>
      </c>
      <c r="M27" s="175">
        <f>'[1]Trial Balance'!$L$297</f>
        <v>0</v>
      </c>
      <c r="N27" s="174">
        <f t="shared" si="0"/>
        <v>0</v>
      </c>
      <c r="O27" s="266">
        <v>0</v>
      </c>
      <c r="Q27" s="1">
        <v>0</v>
      </c>
    </row>
    <row r="28" spans="1:17" s="1" customFormat="1" ht="15">
      <c r="A28" s="20"/>
      <c r="B28" s="21"/>
      <c r="C28" s="21"/>
      <c r="D28" s="21"/>
      <c r="E28" s="22"/>
      <c r="F28" s="2">
        <v>2350</v>
      </c>
      <c r="G28" s="2" t="s">
        <v>58</v>
      </c>
      <c r="H28" s="2"/>
      <c r="I28" s="2"/>
      <c r="J28" s="2"/>
      <c r="K28" s="14" t="s">
        <v>59</v>
      </c>
      <c r="L28" s="175">
        <f>'[1]Trial Balance'!$D$298</f>
        <v>0</v>
      </c>
      <c r="M28" s="175">
        <f>'[1]Trial Balance'!$L$298</f>
        <v>0</v>
      </c>
      <c r="N28" s="174">
        <f t="shared" si="0"/>
        <v>0</v>
      </c>
      <c r="O28" s="262">
        <v>0</v>
      </c>
      <c r="Q28" s="1">
        <v>0</v>
      </c>
    </row>
    <row r="29" spans="1:17" s="1" customFormat="1" ht="15">
      <c r="A29" s="20"/>
      <c r="B29" s="21"/>
      <c r="C29" s="21"/>
      <c r="D29" s="21"/>
      <c r="E29" s="22"/>
      <c r="F29" s="2"/>
      <c r="G29" s="2"/>
      <c r="H29" s="27"/>
      <c r="I29" s="2"/>
      <c r="J29" s="2"/>
      <c r="K29" s="172" t="s">
        <v>60</v>
      </c>
      <c r="L29" s="30">
        <f>SUM(L6:L28)</f>
        <v>617177</v>
      </c>
      <c r="M29" s="30">
        <f>SUM(M6:M28)</f>
        <v>879396.1671413335</v>
      </c>
      <c r="N29" s="201">
        <f t="shared" si="0"/>
        <v>262219.16714133346</v>
      </c>
      <c r="O29" s="266">
        <f t="shared" si="3"/>
        <v>0.4248686635136006</v>
      </c>
      <c r="Q29" s="1">
        <v>0</v>
      </c>
    </row>
    <row r="30" spans="1:17" s="1" customFormat="1" ht="15">
      <c r="A30" s="20"/>
      <c r="B30" s="21"/>
      <c r="C30" s="21"/>
      <c r="D30" s="21"/>
      <c r="E30" s="22"/>
      <c r="F30" s="2"/>
      <c r="G30" s="2"/>
      <c r="H30" s="27"/>
      <c r="I30" s="2"/>
      <c r="J30" s="2"/>
      <c r="K30" s="192"/>
      <c r="L30" s="192"/>
      <c r="M30" s="13"/>
      <c r="N30" s="67"/>
      <c r="O30" s="267"/>
      <c r="Q30" s="1">
        <v>0</v>
      </c>
    </row>
    <row r="31" spans="1:17" s="1" customFormat="1" ht="15">
      <c r="A31" s="20"/>
      <c r="B31" s="21"/>
      <c r="C31" s="21"/>
      <c r="D31" s="21"/>
      <c r="E31" s="22"/>
      <c r="F31" s="2"/>
      <c r="G31" s="2"/>
      <c r="H31" s="2"/>
      <c r="I31" s="2"/>
      <c r="J31" s="2"/>
      <c r="K31" s="170" t="s">
        <v>18</v>
      </c>
      <c r="L31" s="173" t="s">
        <v>3</v>
      </c>
      <c r="M31" s="173" t="s">
        <v>245</v>
      </c>
      <c r="N31" s="201" t="s">
        <v>12</v>
      </c>
      <c r="O31" s="268" t="s">
        <v>13</v>
      </c>
      <c r="Q31" s="1">
        <v>0</v>
      </c>
    </row>
    <row r="32" spans="1:17" s="1" customFormat="1" ht="15.75" thickBot="1">
      <c r="A32" s="20"/>
      <c r="B32" s="23"/>
      <c r="C32" s="23"/>
      <c r="D32" s="23"/>
      <c r="E32" s="24"/>
      <c r="F32" s="2">
        <v>0</v>
      </c>
      <c r="G32" s="2" t="s">
        <v>61</v>
      </c>
      <c r="H32" s="2"/>
      <c r="I32" s="2"/>
      <c r="J32" s="2"/>
      <c r="K32" s="14" t="s">
        <v>62</v>
      </c>
      <c r="L32" s="175">
        <f>'[1]Trial Balance'!$D$300</f>
        <v>0</v>
      </c>
      <c r="M32" s="175">
        <f>'[1]Trial Balance'!$L$300</f>
        <v>52312.5</v>
      </c>
      <c r="N32" s="174">
        <f aca="true" t="shared" si="4" ref="N32:N50">M32-L32</f>
        <v>52312.5</v>
      </c>
      <c r="O32" s="263">
        <v>1</v>
      </c>
      <c r="Q32" s="68">
        <v>1</v>
      </c>
    </row>
    <row r="33" spans="1:17" s="1" customFormat="1" ht="15.75" thickTop="1">
      <c r="A33" s="20"/>
      <c r="E33" s="25"/>
      <c r="F33" s="2">
        <v>2405</v>
      </c>
      <c r="G33" s="2" t="s">
        <v>63</v>
      </c>
      <c r="H33" s="2"/>
      <c r="I33" s="2"/>
      <c r="J33" s="2"/>
      <c r="K33" s="14" t="s">
        <v>64</v>
      </c>
      <c r="L33" s="175">
        <f>'[1]Trial Balance'!$D$301</f>
        <v>0</v>
      </c>
      <c r="M33" s="175">
        <f>'[1]Trial Balance'!$L$301</f>
        <v>0</v>
      </c>
      <c r="N33" s="174">
        <f t="shared" si="4"/>
        <v>0</v>
      </c>
      <c r="O33" s="266">
        <v>0</v>
      </c>
      <c r="Q33" s="1">
        <v>0</v>
      </c>
    </row>
    <row r="34" spans="5:17" s="1" customFormat="1" ht="15">
      <c r="E34" s="25"/>
      <c r="F34" s="2">
        <v>2410</v>
      </c>
      <c r="G34" s="2" t="s">
        <v>65</v>
      </c>
      <c r="H34" s="2"/>
      <c r="I34" s="2"/>
      <c r="J34" s="2"/>
      <c r="K34" s="14" t="s">
        <v>66</v>
      </c>
      <c r="L34" s="175">
        <f>'[1]Trial Balance'!$D$302</f>
        <v>0</v>
      </c>
      <c r="M34" s="175">
        <f>'[1]Trial Balance'!$L$302</f>
        <v>0</v>
      </c>
      <c r="N34" s="174">
        <f t="shared" si="4"/>
        <v>0</v>
      </c>
      <c r="O34" s="266">
        <v>0</v>
      </c>
      <c r="Q34" s="1">
        <v>0</v>
      </c>
    </row>
    <row r="35" spans="2:17" s="1" customFormat="1" ht="15">
      <c r="B35" s="19"/>
      <c r="C35" s="19"/>
      <c r="D35" s="19"/>
      <c r="E35" s="19"/>
      <c r="F35" s="2">
        <v>2415</v>
      </c>
      <c r="G35" s="2" t="s">
        <v>68</v>
      </c>
      <c r="H35" s="2"/>
      <c r="I35" s="2"/>
      <c r="J35" s="2"/>
      <c r="K35" s="14" t="s">
        <v>69</v>
      </c>
      <c r="L35" s="175">
        <f>'[1]Trial Balance'!$D$303</f>
        <v>0</v>
      </c>
      <c r="M35" s="175">
        <f>'[1]Trial Balance'!$L$303</f>
        <v>0</v>
      </c>
      <c r="N35" s="174">
        <f t="shared" si="4"/>
        <v>0</v>
      </c>
      <c r="O35" s="266">
        <v>0</v>
      </c>
      <c r="Q35" s="1">
        <v>0</v>
      </c>
    </row>
    <row r="36" spans="1:17" s="1" customFormat="1" ht="15">
      <c r="A36" s="20"/>
      <c r="B36" s="21"/>
      <c r="C36" s="21"/>
      <c r="D36" s="21"/>
      <c r="E36" s="22"/>
      <c r="F36" s="2">
        <v>2425</v>
      </c>
      <c r="G36" s="2" t="s">
        <v>70</v>
      </c>
      <c r="H36" s="2"/>
      <c r="I36" s="2"/>
      <c r="J36" s="2"/>
      <c r="K36" s="14" t="s">
        <v>71</v>
      </c>
      <c r="L36" s="175">
        <f>'[1]Trial Balance'!$D$304</f>
        <v>3033</v>
      </c>
      <c r="M36" s="175">
        <f>'[1]Trial Balance'!$L$304</f>
        <v>41786.823342</v>
      </c>
      <c r="N36" s="174">
        <f t="shared" si="4"/>
        <v>38753.823342</v>
      </c>
      <c r="O36" s="266">
        <f>N36/L36</f>
        <v>12.777389825914938</v>
      </c>
      <c r="Q36" s="68">
        <v>1</v>
      </c>
    </row>
    <row r="37" spans="1:17" s="1" customFormat="1" ht="15">
      <c r="A37" s="20"/>
      <c r="B37" s="21"/>
      <c r="C37" s="21"/>
      <c r="D37" s="21"/>
      <c r="E37" s="22"/>
      <c r="F37" s="2">
        <v>2435</v>
      </c>
      <c r="G37" s="2" t="s">
        <v>72</v>
      </c>
      <c r="H37" s="2"/>
      <c r="I37" s="2"/>
      <c r="J37" s="2"/>
      <c r="K37" s="14" t="s">
        <v>73</v>
      </c>
      <c r="L37" s="175">
        <f>'[1]Trial Balance'!$D$305</f>
        <v>0</v>
      </c>
      <c r="M37" s="175">
        <f>'[1]Trial Balance'!$L$305</f>
        <v>10000</v>
      </c>
      <c r="N37" s="174">
        <f t="shared" si="4"/>
        <v>10000</v>
      </c>
      <c r="O37" s="266">
        <v>1</v>
      </c>
      <c r="Q37" s="1">
        <v>0</v>
      </c>
    </row>
    <row r="38" spans="1:17" s="1" customFormat="1" ht="15">
      <c r="A38" s="20"/>
      <c r="B38" s="21"/>
      <c r="C38" s="21"/>
      <c r="D38" s="21"/>
      <c r="E38" s="22"/>
      <c r="F38" s="2">
        <v>0</v>
      </c>
      <c r="G38" s="2" t="s">
        <v>74</v>
      </c>
      <c r="H38" s="2"/>
      <c r="I38" s="2"/>
      <c r="J38" s="2"/>
      <c r="K38" s="14" t="s">
        <v>75</v>
      </c>
      <c r="L38" s="175">
        <f>'[1]Trial Balance'!D306</f>
        <v>0</v>
      </c>
      <c r="M38" s="175">
        <f>'[1]Trial Balance'!$L$306</f>
        <v>3000</v>
      </c>
      <c r="N38" s="174">
        <f t="shared" si="4"/>
        <v>3000</v>
      </c>
      <c r="O38" s="266">
        <v>1</v>
      </c>
      <c r="Q38" s="1">
        <v>0</v>
      </c>
    </row>
    <row r="39" spans="1:17" s="1" customFormat="1" ht="15">
      <c r="A39" s="20"/>
      <c r="B39" s="21"/>
      <c r="C39" s="21"/>
      <c r="D39" s="21"/>
      <c r="E39" s="22"/>
      <c r="F39" s="2">
        <v>2505</v>
      </c>
      <c r="G39" s="2" t="s">
        <v>76</v>
      </c>
      <c r="H39" s="2"/>
      <c r="I39" s="2"/>
      <c r="J39" s="2"/>
      <c r="K39" s="14" t="s">
        <v>77</v>
      </c>
      <c r="L39" s="175">
        <f>'[1]Trial Balance'!$D$307</f>
        <v>24233</v>
      </c>
      <c r="M39" s="175">
        <f>'[1]Trial Balance'!$L$307</f>
        <v>45053.931725</v>
      </c>
      <c r="N39" s="174">
        <f t="shared" si="4"/>
        <v>20820.931725000002</v>
      </c>
      <c r="O39" s="266">
        <f>N39/L39</f>
        <v>0.8591974466636406</v>
      </c>
      <c r="Q39" s="68">
        <v>1</v>
      </c>
    </row>
    <row r="40" spans="1:17" s="1" customFormat="1" ht="15">
      <c r="A40" s="20"/>
      <c r="B40" s="21"/>
      <c r="C40" s="21"/>
      <c r="D40" s="21"/>
      <c r="E40" s="22"/>
      <c r="F40" s="2">
        <v>2510</v>
      </c>
      <c r="G40" s="2" t="s">
        <v>78</v>
      </c>
      <c r="H40" s="2"/>
      <c r="I40" s="2"/>
      <c r="J40" s="2"/>
      <c r="K40" s="14" t="s">
        <v>79</v>
      </c>
      <c r="L40" s="175">
        <f>'[1]Trial Balance'!$D$308</f>
        <v>0</v>
      </c>
      <c r="M40" s="175">
        <f>'[1]Trial Balance'!$L$308</f>
        <v>0</v>
      </c>
      <c r="N40" s="174">
        <f t="shared" si="4"/>
        <v>0</v>
      </c>
      <c r="O40" s="266">
        <v>0</v>
      </c>
      <c r="Q40" s="1">
        <v>0</v>
      </c>
    </row>
    <row r="41" spans="1:17" s="1" customFormat="1" ht="15.75" thickBot="1">
      <c r="A41" s="20"/>
      <c r="B41" s="23"/>
      <c r="C41" s="23"/>
      <c r="D41" s="23"/>
      <c r="E41" s="24"/>
      <c r="F41" s="2">
        <v>2515</v>
      </c>
      <c r="G41" s="2" t="s">
        <v>80</v>
      </c>
      <c r="H41" s="2"/>
      <c r="I41" s="2"/>
      <c r="J41" s="2"/>
      <c r="K41" s="14" t="s">
        <v>81</v>
      </c>
      <c r="L41" s="175">
        <f>'[1]Trial Balance'!$D$309</f>
        <v>0</v>
      </c>
      <c r="M41" s="175">
        <f>'[1]Trial Balance'!$L$309</f>
        <v>0</v>
      </c>
      <c r="N41" s="174">
        <f t="shared" si="4"/>
        <v>0</v>
      </c>
      <c r="O41" s="266">
        <v>0</v>
      </c>
      <c r="Q41" s="1">
        <v>0</v>
      </c>
    </row>
    <row r="42" spans="1:17" s="1" customFormat="1" ht="15.75" thickTop="1">
      <c r="A42" s="20"/>
      <c r="E42" s="25"/>
      <c r="F42" s="2">
        <v>2520</v>
      </c>
      <c r="G42" s="2" t="s">
        <v>82</v>
      </c>
      <c r="H42" s="2"/>
      <c r="I42" s="2"/>
      <c r="J42" s="2"/>
      <c r="K42" s="14" t="s">
        <v>83</v>
      </c>
      <c r="L42" s="175">
        <f>'[1]Trial Balance'!$D$310</f>
        <v>1197</v>
      </c>
      <c r="M42" s="175">
        <f>'[1]Trial Balance'!$L$310</f>
        <v>9229.119197</v>
      </c>
      <c r="N42" s="174">
        <f t="shared" si="4"/>
        <v>8032.119197</v>
      </c>
      <c r="O42" s="266">
        <f>N42/L42</f>
        <v>6.710208184628237</v>
      </c>
      <c r="Q42" s="1">
        <v>0</v>
      </c>
    </row>
    <row r="43" spans="1:17" s="1" customFormat="1" ht="15">
      <c r="A43" s="2"/>
      <c r="B43" s="2"/>
      <c r="C43" s="2"/>
      <c r="D43" s="2"/>
      <c r="E43" s="35"/>
      <c r="F43" s="2">
        <v>2525</v>
      </c>
      <c r="G43" s="2" t="s">
        <v>84</v>
      </c>
      <c r="H43" s="2"/>
      <c r="I43" s="2"/>
      <c r="J43" s="2"/>
      <c r="K43" s="14" t="s">
        <v>85</v>
      </c>
      <c r="L43" s="175">
        <f>'[1]Trial Balance'!$D$311</f>
        <v>35904</v>
      </c>
      <c r="M43" s="175">
        <f>'[1]Trial Balance'!$L$311</f>
        <v>36138.89685</v>
      </c>
      <c r="N43" s="174">
        <f t="shared" si="4"/>
        <v>234.89684999999736</v>
      </c>
      <c r="O43" s="266">
        <f>N43/L43</f>
        <v>0.006542358790106878</v>
      </c>
      <c r="Q43" s="1">
        <v>0</v>
      </c>
    </row>
    <row r="44" spans="2:17" s="1" customFormat="1" ht="15">
      <c r="B44" s="19"/>
      <c r="C44" s="19"/>
      <c r="D44" s="19"/>
      <c r="E44" s="19"/>
      <c r="F44" s="2"/>
      <c r="G44" s="2"/>
      <c r="H44" s="2"/>
      <c r="I44" s="2"/>
      <c r="J44" s="2"/>
      <c r="K44" s="14" t="s">
        <v>86</v>
      </c>
      <c r="L44" s="175">
        <f>'[1]Trial Balance'!$D$312</f>
        <v>0</v>
      </c>
      <c r="M44" s="175">
        <f>'[1]Trial Balance'!$L$312</f>
        <v>0</v>
      </c>
      <c r="N44" s="174">
        <f t="shared" si="4"/>
        <v>0</v>
      </c>
      <c r="O44" s="266">
        <v>0</v>
      </c>
      <c r="Q44" s="1">
        <v>0</v>
      </c>
    </row>
    <row r="45" spans="1:17" s="1" customFormat="1" ht="15">
      <c r="A45" s="20"/>
      <c r="B45" s="21"/>
      <c r="C45" s="21"/>
      <c r="D45" s="21"/>
      <c r="E45" s="22"/>
      <c r="F45" s="2"/>
      <c r="G45" s="2"/>
      <c r="H45" s="2"/>
      <c r="I45" s="2"/>
      <c r="J45" s="2"/>
      <c r="K45" s="14" t="s">
        <v>87</v>
      </c>
      <c r="L45" s="175">
        <f>'[1]Trial Balance'!$D$313</f>
        <v>0</v>
      </c>
      <c r="M45" s="175">
        <f>'[1]Trial Balance'!$L$313</f>
        <v>0</v>
      </c>
      <c r="N45" s="174">
        <f t="shared" si="4"/>
        <v>0</v>
      </c>
      <c r="O45" s="266">
        <v>0</v>
      </c>
      <c r="Q45" s="1">
        <v>0</v>
      </c>
    </row>
    <row r="46" spans="1:17" s="1" customFormat="1" ht="15">
      <c r="A46" s="20"/>
      <c r="B46" s="21"/>
      <c r="C46" s="21"/>
      <c r="D46" s="21"/>
      <c r="E46" s="22"/>
      <c r="F46" s="2"/>
      <c r="G46" s="2"/>
      <c r="H46" s="2"/>
      <c r="I46" s="2"/>
      <c r="J46" s="2"/>
      <c r="K46" s="14" t="s">
        <v>88</v>
      </c>
      <c r="L46" s="175">
        <f>'[1]Trial Balance'!$D$314</f>
        <v>0</v>
      </c>
      <c r="M46" s="175">
        <f>'[1]Trial Balance'!$L$314</f>
        <v>0</v>
      </c>
      <c r="N46" s="174">
        <f t="shared" si="4"/>
        <v>0</v>
      </c>
      <c r="O46" s="266">
        <v>0</v>
      </c>
      <c r="Q46" s="1">
        <v>0</v>
      </c>
    </row>
    <row r="47" spans="1:17" s="1" customFormat="1" ht="15">
      <c r="A47" s="20"/>
      <c r="B47" s="21"/>
      <c r="C47" s="21"/>
      <c r="D47" s="21"/>
      <c r="E47" s="22"/>
      <c r="F47" s="2">
        <v>2530</v>
      </c>
      <c r="G47" s="2" t="s">
        <v>89</v>
      </c>
      <c r="H47" s="2"/>
      <c r="I47" s="2"/>
      <c r="J47" s="2"/>
      <c r="K47" s="14" t="s">
        <v>90</v>
      </c>
      <c r="L47" s="175">
        <f>'[1]Trial Balance'!$D$315</f>
        <v>12970</v>
      </c>
      <c r="M47" s="175">
        <f>'[1]Trial Balance'!$L$315</f>
        <v>194264.250696</v>
      </c>
      <c r="N47" s="174">
        <f t="shared" si="4"/>
        <v>181294.250696</v>
      </c>
      <c r="O47" s="266">
        <f>N47/L47</f>
        <v>13.977968442251349</v>
      </c>
      <c r="Q47" s="68">
        <v>1</v>
      </c>
    </row>
    <row r="48" spans="1:17" s="1" customFormat="1" ht="15">
      <c r="A48" s="20"/>
      <c r="B48" s="21"/>
      <c r="C48" s="21"/>
      <c r="D48" s="21"/>
      <c r="E48" s="22"/>
      <c r="F48" s="2"/>
      <c r="G48" s="2"/>
      <c r="H48" s="2"/>
      <c r="I48" s="2"/>
      <c r="J48" s="2"/>
      <c r="K48" s="14" t="s">
        <v>91</v>
      </c>
      <c r="L48" s="175">
        <f>'[1]Trial Balance'!$D$316</f>
        <v>0</v>
      </c>
      <c r="M48" s="175">
        <f>'[1]Trial Balance'!$L$316</f>
        <v>0</v>
      </c>
      <c r="N48" s="174">
        <f t="shared" si="4"/>
        <v>0</v>
      </c>
      <c r="O48" s="266">
        <v>0</v>
      </c>
      <c r="Q48" s="1">
        <v>0</v>
      </c>
    </row>
    <row r="49" spans="1:17" ht="20.25" customHeight="1">
      <c r="A49" s="20"/>
      <c r="B49" s="21"/>
      <c r="C49" s="21"/>
      <c r="D49" s="21"/>
      <c r="E49" s="22"/>
      <c r="K49" s="14" t="s">
        <v>92</v>
      </c>
      <c r="L49" s="175">
        <f>'[1]Trial Balance'!$D$317</f>
        <v>0</v>
      </c>
      <c r="M49" s="175">
        <f>'[1]Trial Balance'!$L$317</f>
        <v>0</v>
      </c>
      <c r="N49" s="174">
        <f t="shared" si="4"/>
        <v>0</v>
      </c>
      <c r="O49" s="262">
        <v>0</v>
      </c>
      <c r="Q49" s="1">
        <v>0</v>
      </c>
    </row>
    <row r="50" spans="1:113" s="33" customFormat="1" ht="20.25" customHeight="1" thickBot="1">
      <c r="A50" s="20"/>
      <c r="B50" s="23"/>
      <c r="C50" s="23"/>
      <c r="D50" s="23"/>
      <c r="E50" s="24"/>
      <c r="I50" s="2"/>
      <c r="J50" s="2"/>
      <c r="K50" s="172" t="s">
        <v>60</v>
      </c>
      <c r="L50" s="30">
        <f>SUM(L32:L49)</f>
        <v>77337</v>
      </c>
      <c r="M50" s="30">
        <f>SUM(M32:M49)</f>
        <v>391785.52180999995</v>
      </c>
      <c r="N50" s="201">
        <f t="shared" si="4"/>
        <v>314448.52180999995</v>
      </c>
      <c r="O50" s="266">
        <f>N50/L50</f>
        <v>4.065951896375602</v>
      </c>
      <c r="P50" s="34"/>
      <c r="Q50" s="34">
        <v>0</v>
      </c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</row>
    <row r="51" spans="1:17" ht="20.25" customHeight="1" thickTop="1">
      <c r="A51" s="20"/>
      <c r="K51" s="192"/>
      <c r="L51" s="192"/>
      <c r="N51" s="67"/>
      <c r="O51" s="267"/>
      <c r="Q51" s="1">
        <v>0</v>
      </c>
    </row>
    <row r="52" spans="11:17" ht="20.25" customHeight="1">
      <c r="K52" s="170" t="s">
        <v>93</v>
      </c>
      <c r="L52" s="173" t="s">
        <v>3</v>
      </c>
      <c r="M52" s="173" t="s">
        <v>245</v>
      </c>
      <c r="N52" s="201" t="s">
        <v>12</v>
      </c>
      <c r="O52" s="268" t="s">
        <v>13</v>
      </c>
      <c r="Q52" s="1">
        <v>0</v>
      </c>
    </row>
    <row r="53" spans="6:17" ht="20.25" customHeight="1">
      <c r="F53" s="2">
        <v>2550</v>
      </c>
      <c r="G53" s="2" t="s">
        <v>94</v>
      </c>
      <c r="K53" s="14" t="s">
        <v>95</v>
      </c>
      <c r="L53" s="175">
        <f>'[1]Trial Balance'!$D$323</f>
        <v>0</v>
      </c>
      <c r="M53" s="175">
        <f>'[1]Trial Balance'!$L$323</f>
        <v>0</v>
      </c>
      <c r="N53" s="174">
        <f aca="true" t="shared" si="5" ref="N53:N61">M53-L53</f>
        <v>0</v>
      </c>
      <c r="O53" s="263">
        <v>0</v>
      </c>
      <c r="Q53" s="1">
        <v>0</v>
      </c>
    </row>
    <row r="54" spans="1:17" ht="20.25" customHeight="1">
      <c r="A54" s="36"/>
      <c r="F54" s="2">
        <v>0</v>
      </c>
      <c r="G54" s="2" t="s">
        <v>96</v>
      </c>
      <c r="K54" s="14" t="s">
        <v>97</v>
      </c>
      <c r="L54" s="175">
        <f>'[1]Trial Balance'!$D$324</f>
        <v>64970</v>
      </c>
      <c r="M54" s="175">
        <f>'[1]Trial Balance'!$L$324</f>
        <v>17191.9512</v>
      </c>
      <c r="N54" s="174">
        <f t="shared" si="5"/>
        <v>-47778.048800000004</v>
      </c>
      <c r="O54" s="266">
        <f aca="true" t="shared" si="6" ref="O54:O61">N54/L54</f>
        <v>-0.7353863136832385</v>
      </c>
      <c r="Q54" s="68">
        <v>1</v>
      </c>
    </row>
    <row r="55" spans="1:17" ht="20.25" customHeight="1">
      <c r="A55" s="12"/>
      <c r="B55" s="162"/>
      <c r="F55" s="2">
        <v>3005</v>
      </c>
      <c r="G55" s="2" t="s">
        <v>98</v>
      </c>
      <c r="K55" s="14" t="s">
        <v>99</v>
      </c>
      <c r="L55" s="175">
        <f>'[1]Trial Balance'!$D$325</f>
        <v>122411</v>
      </c>
      <c r="M55" s="175">
        <f>'[1]Trial Balance'!$L$325</f>
        <v>131000</v>
      </c>
      <c r="N55" s="174">
        <f t="shared" si="5"/>
        <v>8589</v>
      </c>
      <c r="O55" s="266">
        <f t="shared" si="6"/>
        <v>0.07016526292571745</v>
      </c>
      <c r="Q55" s="1">
        <v>0</v>
      </c>
    </row>
    <row r="56" spans="1:17" ht="20.25" customHeight="1">
      <c r="A56" s="34"/>
      <c r="B56" s="22"/>
      <c r="C56" s="1"/>
      <c r="D56" s="1"/>
      <c r="E56" s="1"/>
      <c r="F56" s="2">
        <v>3008</v>
      </c>
      <c r="G56" s="2" t="s">
        <v>100</v>
      </c>
      <c r="K56" s="14" t="s">
        <v>101</v>
      </c>
      <c r="L56" s="175">
        <f>'[1]Trial Balance'!$D$326</f>
        <v>97641</v>
      </c>
      <c r="M56" s="175">
        <f>'[1]Trial Balance'!$L$326</f>
        <v>130277.17214200002</v>
      </c>
      <c r="N56" s="174">
        <f t="shared" si="5"/>
        <v>32636.172142000025</v>
      </c>
      <c r="O56" s="266">
        <f t="shared" si="6"/>
        <v>0.3342465986829306</v>
      </c>
      <c r="Q56" s="68">
        <v>1</v>
      </c>
    </row>
    <row r="57" spans="1:17" ht="20.25" customHeight="1">
      <c r="A57" s="34"/>
      <c r="B57" s="22"/>
      <c r="C57" s="1"/>
      <c r="D57" s="1"/>
      <c r="E57" s="1"/>
      <c r="F57" s="2">
        <v>3010</v>
      </c>
      <c r="G57" s="2" t="s">
        <v>102</v>
      </c>
      <c r="K57" s="14" t="s">
        <v>103</v>
      </c>
      <c r="L57" s="175">
        <f>'[1]Trial Balance'!$D$327</f>
        <v>5</v>
      </c>
      <c r="M57" s="175">
        <f>'[1]Trial Balance'!$L$327</f>
        <v>0</v>
      </c>
      <c r="N57" s="174">
        <f t="shared" si="5"/>
        <v>-5</v>
      </c>
      <c r="O57" s="266">
        <f t="shared" si="6"/>
        <v>-1</v>
      </c>
      <c r="Q57" s="1">
        <v>0</v>
      </c>
    </row>
    <row r="58" spans="1:17" ht="21" customHeight="1">
      <c r="A58" s="34"/>
      <c r="B58" s="22"/>
      <c r="C58" s="1"/>
      <c r="D58" s="1"/>
      <c r="E58" s="1"/>
      <c r="F58" s="2">
        <v>3020</v>
      </c>
      <c r="G58" s="2" t="s">
        <v>104</v>
      </c>
      <c r="K58" s="14" t="s">
        <v>105</v>
      </c>
      <c r="L58" s="175">
        <f>'[1]Trial Balance'!$D$328</f>
        <v>4440</v>
      </c>
      <c r="M58" s="175">
        <f>'[1]Trial Balance'!$L$328</f>
        <v>4171.8296</v>
      </c>
      <c r="N58" s="174">
        <f t="shared" si="5"/>
        <v>-268.1704</v>
      </c>
      <c r="O58" s="266">
        <f t="shared" si="6"/>
        <v>-0.06039873873873873</v>
      </c>
      <c r="Q58" s="1">
        <v>0</v>
      </c>
    </row>
    <row r="59" spans="1:17" ht="47.25" customHeight="1">
      <c r="A59" s="34"/>
      <c r="B59" s="37"/>
      <c r="C59" s="1"/>
      <c r="D59" s="1"/>
      <c r="E59" s="1"/>
      <c r="F59" s="2">
        <v>3022</v>
      </c>
      <c r="G59" s="2" t="s">
        <v>106</v>
      </c>
      <c r="K59" s="14" t="s">
        <v>107</v>
      </c>
      <c r="L59" s="175">
        <f>'[1]Trial Balance'!$D$329</f>
        <v>29693</v>
      </c>
      <c r="M59" s="175">
        <f>'[1]Trial Balance'!$L$329</f>
        <v>22544.705233333338</v>
      </c>
      <c r="N59" s="174">
        <f t="shared" si="5"/>
        <v>-7148.294766666662</v>
      </c>
      <c r="O59" s="266">
        <f t="shared" si="6"/>
        <v>-0.24074006555978386</v>
      </c>
      <c r="Q59" s="1">
        <v>0</v>
      </c>
    </row>
    <row r="60" spans="1:17" ht="20.25" customHeight="1">
      <c r="A60" s="38"/>
      <c r="B60" s="39"/>
      <c r="C60" s="1"/>
      <c r="D60" s="40"/>
      <c r="E60" s="1"/>
      <c r="F60" s="2">
        <v>3026</v>
      </c>
      <c r="G60" s="2" t="s">
        <v>108</v>
      </c>
      <c r="K60" s="14" t="s">
        <v>109</v>
      </c>
      <c r="L60" s="175">
        <f>'[1]Trial Balance'!$D$330</f>
        <v>121125</v>
      </c>
      <c r="M60" s="175">
        <f>'[1]Trial Balance'!$L$330</f>
        <v>195112.49062</v>
      </c>
      <c r="N60" s="174">
        <f t="shared" si="5"/>
        <v>73987.49062</v>
      </c>
      <c r="O60" s="262">
        <f t="shared" si="6"/>
        <v>0.610835835872033</v>
      </c>
      <c r="Q60" s="68">
        <v>1</v>
      </c>
    </row>
    <row r="61" spans="1:17" ht="20.25" customHeight="1">
      <c r="A61" s="38"/>
      <c r="B61" s="39"/>
      <c r="C61" s="1"/>
      <c r="D61" s="1"/>
      <c r="E61" s="1"/>
      <c r="K61" s="172" t="s">
        <v>60</v>
      </c>
      <c r="L61" s="30">
        <f>SUM(L53:L60)</f>
        <v>440285</v>
      </c>
      <c r="M61" s="30">
        <f>SUM(M53:M60)</f>
        <v>500298.1487953334</v>
      </c>
      <c r="N61" s="201">
        <f t="shared" si="5"/>
        <v>60013.1487953334</v>
      </c>
      <c r="O61" s="266">
        <f t="shared" si="6"/>
        <v>0.136305231373618</v>
      </c>
      <c r="Q61" s="1">
        <v>0</v>
      </c>
    </row>
    <row r="62" spans="1:17" ht="20.25" customHeight="1" thickBot="1">
      <c r="A62" s="163"/>
      <c r="B62" s="42"/>
      <c r="C62" s="39"/>
      <c r="D62" s="1"/>
      <c r="E62" s="1"/>
      <c r="K62" s="192"/>
      <c r="L62" s="192"/>
      <c r="N62" s="67"/>
      <c r="O62" s="267"/>
      <c r="Q62" s="1">
        <v>0</v>
      </c>
    </row>
    <row r="63" spans="1:17" ht="22.5" customHeight="1" thickTop="1">
      <c r="A63" s="1"/>
      <c r="B63" s="1"/>
      <c r="C63" s="1"/>
      <c r="D63" s="1"/>
      <c r="E63" s="1"/>
      <c r="K63" s="170" t="s">
        <v>24</v>
      </c>
      <c r="L63" s="173" t="s">
        <v>3</v>
      </c>
      <c r="M63" s="173" t="s">
        <v>245</v>
      </c>
      <c r="N63" s="201" t="s">
        <v>12</v>
      </c>
      <c r="O63" s="268" t="s">
        <v>13</v>
      </c>
      <c r="Q63" s="1">
        <v>0</v>
      </c>
    </row>
    <row r="64" spans="1:17" ht="15">
      <c r="A64" s="1"/>
      <c r="B64" s="37"/>
      <c r="C64" s="1"/>
      <c r="D64" s="1"/>
      <c r="E64" s="1"/>
      <c r="F64" s="2">
        <v>3030</v>
      </c>
      <c r="G64" s="2" t="s">
        <v>112</v>
      </c>
      <c r="K64" s="14" t="s">
        <v>113</v>
      </c>
      <c r="L64" s="175">
        <f>'[1]Trial Balance'!$D$332</f>
        <v>0</v>
      </c>
      <c r="M64" s="175">
        <f>'[1]Trial Balance'!$L$332</f>
        <v>0</v>
      </c>
      <c r="N64" s="174">
        <f aca="true" t="shared" si="7" ref="N64:N71">M64-L64</f>
        <v>0</v>
      </c>
      <c r="O64" s="263">
        <v>0</v>
      </c>
      <c r="Q64" s="1">
        <v>0</v>
      </c>
    </row>
    <row r="65" spans="1:17" s="1" customFormat="1" ht="15">
      <c r="A65" s="38"/>
      <c r="B65" s="43"/>
      <c r="F65" s="2">
        <v>3035</v>
      </c>
      <c r="G65" s="2" t="s">
        <v>114</v>
      </c>
      <c r="H65" s="2"/>
      <c r="I65" s="2"/>
      <c r="J65" s="2"/>
      <c r="K65" s="14" t="s">
        <v>115</v>
      </c>
      <c r="L65" s="175">
        <f>'[1]Trial Balance'!$D$333</f>
        <v>8053</v>
      </c>
      <c r="M65" s="175">
        <f>'[1]Trial Balance'!$L$333</f>
        <v>14344.648015333336</v>
      </c>
      <c r="N65" s="174">
        <f t="shared" si="7"/>
        <v>6291.648015333336</v>
      </c>
      <c r="O65" s="266">
        <f>N65/L65</f>
        <v>0.7812800217724247</v>
      </c>
      <c r="Q65" s="1">
        <v>0</v>
      </c>
    </row>
    <row r="66" spans="1:17" s="1" customFormat="1" ht="15">
      <c r="A66" s="38"/>
      <c r="B66" s="43"/>
      <c r="D66" s="44"/>
      <c r="E66" s="44"/>
      <c r="F66" s="2">
        <v>3040</v>
      </c>
      <c r="G66" s="2" t="s">
        <v>116</v>
      </c>
      <c r="H66" s="2"/>
      <c r="I66" s="2"/>
      <c r="J66" s="2"/>
      <c r="K66" s="14" t="s">
        <v>117</v>
      </c>
      <c r="L66" s="175">
        <f>'[1]Trial Balance'!$D$334</f>
        <v>0</v>
      </c>
      <c r="M66" s="175">
        <f>'[1]Trial Balance'!$L$334</f>
        <v>0</v>
      </c>
      <c r="N66" s="174">
        <f t="shared" si="7"/>
        <v>0</v>
      </c>
      <c r="O66" s="266">
        <v>0</v>
      </c>
      <c r="Q66" s="1">
        <v>0</v>
      </c>
    </row>
    <row r="67" spans="1:17" s="1" customFormat="1" ht="15">
      <c r="A67" s="38"/>
      <c r="B67" s="43"/>
      <c r="F67" s="2">
        <v>3045</v>
      </c>
      <c r="G67" s="2" t="s">
        <v>119</v>
      </c>
      <c r="H67" s="2"/>
      <c r="I67" s="2"/>
      <c r="J67" s="2"/>
      <c r="K67" s="14" t="s">
        <v>120</v>
      </c>
      <c r="L67" s="175">
        <f>'[1]Trial Balance'!$D$335</f>
        <v>0</v>
      </c>
      <c r="M67" s="175">
        <f>'[1]Trial Balance'!$L$335</f>
        <v>0</v>
      </c>
      <c r="N67" s="174">
        <f t="shared" si="7"/>
        <v>0</v>
      </c>
      <c r="O67" s="266">
        <v>0</v>
      </c>
      <c r="Q67" s="1">
        <v>0</v>
      </c>
    </row>
    <row r="68" spans="6:17" s="1" customFormat="1" ht="15">
      <c r="F68" s="2">
        <v>3046</v>
      </c>
      <c r="G68" s="2" t="s">
        <v>121</v>
      </c>
      <c r="H68" s="2"/>
      <c r="I68" s="2"/>
      <c r="J68" s="2"/>
      <c r="K68" s="14" t="s">
        <v>122</v>
      </c>
      <c r="L68" s="175">
        <f>'[1]Trial Balance'!$D$336</f>
        <v>0</v>
      </c>
      <c r="M68" s="175">
        <f>'[1]Trial Balance'!$L$336</f>
        <v>0</v>
      </c>
      <c r="N68" s="174">
        <f t="shared" si="7"/>
        <v>0</v>
      </c>
      <c r="O68" s="266">
        <v>0</v>
      </c>
      <c r="Q68" s="1">
        <v>0</v>
      </c>
    </row>
    <row r="69" spans="6:17" s="1" customFormat="1" ht="15">
      <c r="F69" s="2">
        <v>3047</v>
      </c>
      <c r="G69" s="2" t="s">
        <v>123</v>
      </c>
      <c r="H69" s="2"/>
      <c r="I69" s="2"/>
      <c r="J69" s="2"/>
      <c r="K69" s="14" t="s">
        <v>124</v>
      </c>
      <c r="L69" s="175">
        <f>'[1]Trial Balance'!$D$337</f>
        <v>0</v>
      </c>
      <c r="M69" s="175">
        <f>'[1]Trial Balance'!$L$337</f>
        <v>0</v>
      </c>
      <c r="N69" s="174">
        <f t="shared" si="7"/>
        <v>0</v>
      </c>
      <c r="O69" s="266">
        <v>0</v>
      </c>
      <c r="Q69" s="1">
        <v>0</v>
      </c>
    </row>
    <row r="70" spans="6:17" s="1" customFormat="1" ht="15">
      <c r="F70" s="2">
        <v>3048</v>
      </c>
      <c r="G70" s="2" t="s">
        <v>126</v>
      </c>
      <c r="H70" s="2"/>
      <c r="I70" s="2"/>
      <c r="J70" s="2"/>
      <c r="K70" s="14" t="s">
        <v>127</v>
      </c>
      <c r="L70" s="175">
        <f>'[1]Trial Balance'!$D$338</f>
        <v>0</v>
      </c>
      <c r="M70" s="175">
        <f>'[1]Trial Balance'!$L$338</f>
        <v>0</v>
      </c>
      <c r="N70" s="174">
        <f t="shared" si="7"/>
        <v>0</v>
      </c>
      <c r="O70" s="262">
        <v>0</v>
      </c>
      <c r="Q70" s="1">
        <v>0</v>
      </c>
    </row>
    <row r="71" spans="6:17" s="1" customFormat="1" ht="15">
      <c r="F71" s="2"/>
      <c r="G71" s="2"/>
      <c r="H71" s="2"/>
      <c r="I71" s="2"/>
      <c r="J71" s="2"/>
      <c r="K71" s="172" t="s">
        <v>60</v>
      </c>
      <c r="L71" s="30">
        <f>SUM(L64:L70)</f>
        <v>8053</v>
      </c>
      <c r="M71" s="30">
        <f>SUM(M64:M70)</f>
        <v>14344.648015333336</v>
      </c>
      <c r="N71" s="201">
        <f t="shared" si="7"/>
        <v>6291.648015333336</v>
      </c>
      <c r="O71" s="266">
        <f>N71/L71</f>
        <v>0.7812800217724247</v>
      </c>
      <c r="Q71" s="1">
        <v>0</v>
      </c>
    </row>
    <row r="72" spans="6:17" s="1" customFormat="1" ht="15">
      <c r="F72" s="2"/>
      <c r="G72" s="2"/>
      <c r="H72" s="2"/>
      <c r="I72" s="2"/>
      <c r="J72" s="2"/>
      <c r="K72" s="192"/>
      <c r="L72" s="192"/>
      <c r="M72" s="13"/>
      <c r="N72" s="67"/>
      <c r="O72" s="267"/>
      <c r="Q72" s="1">
        <v>0</v>
      </c>
    </row>
    <row r="73" spans="6:17" s="1" customFormat="1" ht="15">
      <c r="F73" s="2"/>
      <c r="G73" s="2"/>
      <c r="H73" s="2"/>
      <c r="I73" s="2"/>
      <c r="J73" s="2"/>
      <c r="K73" s="170" t="s">
        <v>129</v>
      </c>
      <c r="L73" s="173" t="s">
        <v>3</v>
      </c>
      <c r="M73" s="173" t="s">
        <v>245</v>
      </c>
      <c r="N73" s="201" t="s">
        <v>12</v>
      </c>
      <c r="O73" s="268" t="s">
        <v>13</v>
      </c>
      <c r="Q73" s="1">
        <v>0</v>
      </c>
    </row>
    <row r="74" spans="6:17" s="1" customFormat="1" ht="15">
      <c r="F74" s="2">
        <v>3049</v>
      </c>
      <c r="G74" s="2" t="s">
        <v>130</v>
      </c>
      <c r="H74" s="2"/>
      <c r="I74" s="2"/>
      <c r="J74" s="2"/>
      <c r="K74" s="14" t="s">
        <v>131</v>
      </c>
      <c r="L74" s="175">
        <f>'[1]Trial Balance'!$D$343</f>
        <v>16612.16</v>
      </c>
      <c r="M74" s="175">
        <f>'[1]Trial Balance'!$L$343</f>
        <v>49342.819705999995</v>
      </c>
      <c r="N74" s="174">
        <f>M74-L74</f>
        <v>32730.659705999995</v>
      </c>
      <c r="O74" s="263">
        <f>N74/L74</f>
        <v>1.970283196525918</v>
      </c>
      <c r="Q74" s="68">
        <v>1</v>
      </c>
    </row>
    <row r="75" spans="6:17" s="1" customFormat="1" ht="15">
      <c r="F75" s="2">
        <v>3055</v>
      </c>
      <c r="G75" s="2" t="s">
        <v>132</v>
      </c>
      <c r="H75" s="2"/>
      <c r="I75" s="2"/>
      <c r="J75" s="2"/>
      <c r="K75" s="14" t="s">
        <v>133</v>
      </c>
      <c r="L75" s="175">
        <f>'[1]Trial Balance'!$D$344</f>
        <v>336516.18</v>
      </c>
      <c r="M75" s="175">
        <f>'[1]Trial Balance'!$L$344</f>
        <v>494916.309412</v>
      </c>
      <c r="N75" s="174">
        <f aca="true" t="shared" si="8" ref="N75:N106">M75-L75</f>
        <v>158400.129412</v>
      </c>
      <c r="O75" s="266">
        <f aca="true" t="shared" si="9" ref="O75:O93">N75/L75</f>
        <v>0.47070583474470684</v>
      </c>
      <c r="Q75" s="68">
        <v>1</v>
      </c>
    </row>
    <row r="76" spans="6:17" s="1" customFormat="1" ht="15">
      <c r="F76" s="2">
        <v>3065</v>
      </c>
      <c r="G76" s="2" t="s">
        <v>134</v>
      </c>
      <c r="H76" s="2"/>
      <c r="I76" s="2"/>
      <c r="J76" s="2"/>
      <c r="K76" s="14" t="s">
        <v>135</v>
      </c>
      <c r="L76" s="175">
        <f>'[1]Trial Balance'!$D$345</f>
        <v>86694</v>
      </c>
      <c r="M76" s="175">
        <f>'[1]Trial Balance'!$L$345</f>
        <v>143854.239352</v>
      </c>
      <c r="N76" s="174">
        <f t="shared" si="8"/>
        <v>57160.239352000004</v>
      </c>
      <c r="O76" s="266">
        <f t="shared" si="9"/>
        <v>0.6593332797194731</v>
      </c>
      <c r="Q76" s="68">
        <v>1</v>
      </c>
    </row>
    <row r="77" spans="6:17" s="1" customFormat="1" ht="15">
      <c r="F77" s="2">
        <v>0</v>
      </c>
      <c r="G77" s="2" t="s">
        <v>136</v>
      </c>
      <c r="H77" s="2"/>
      <c r="I77" s="2"/>
      <c r="J77" s="2"/>
      <c r="K77" s="14" t="s">
        <v>137</v>
      </c>
      <c r="L77" s="175">
        <f>'[1]Trial Balance'!$D$346</f>
        <v>77736</v>
      </c>
      <c r="M77" s="175">
        <f>'[1]Trial Balance'!$L$346</f>
        <v>105886.20111000001</v>
      </c>
      <c r="N77" s="174">
        <f t="shared" si="8"/>
        <v>28150.20111000001</v>
      </c>
      <c r="O77" s="266">
        <f t="shared" si="9"/>
        <v>0.36212567034578586</v>
      </c>
      <c r="Q77" s="68">
        <v>1</v>
      </c>
    </row>
    <row r="78" spans="6:17" s="1" customFormat="1" ht="15">
      <c r="F78" s="2"/>
      <c r="G78" s="2"/>
      <c r="H78" s="2"/>
      <c r="I78" s="2"/>
      <c r="J78" s="2"/>
      <c r="K78" s="14" t="s">
        <v>138</v>
      </c>
      <c r="L78" s="175">
        <f>'[1]Trial Balance'!$D$347</f>
        <v>0</v>
      </c>
      <c r="M78" s="175">
        <f>'[1]Trial Balance'!$L$347</f>
        <v>0</v>
      </c>
      <c r="N78" s="174">
        <f t="shared" si="8"/>
        <v>0</v>
      </c>
      <c r="O78" s="266">
        <v>0</v>
      </c>
      <c r="Q78" s="1">
        <v>0</v>
      </c>
    </row>
    <row r="79" spans="6:17" s="1" customFormat="1" ht="15">
      <c r="F79" s="2">
        <v>4006</v>
      </c>
      <c r="G79" s="2" t="s">
        <v>139</v>
      </c>
      <c r="H79" s="2"/>
      <c r="I79" s="2"/>
      <c r="J79" s="2"/>
      <c r="K79" s="14" t="s">
        <v>140</v>
      </c>
      <c r="L79" s="175">
        <f>'[1]Trial Balance'!$D$348</f>
        <v>7309</v>
      </c>
      <c r="M79" s="175">
        <f>'[1]Trial Balance'!$L$348</f>
        <v>155405.477047</v>
      </c>
      <c r="N79" s="174">
        <f t="shared" si="8"/>
        <v>148096.477047</v>
      </c>
      <c r="O79" s="266">
        <f t="shared" si="9"/>
        <v>20.262207832398413</v>
      </c>
      <c r="Q79" s="68">
        <v>1</v>
      </c>
    </row>
    <row r="80" spans="6:17" s="1" customFormat="1" ht="15">
      <c r="F80" s="2">
        <v>4010</v>
      </c>
      <c r="G80" s="2" t="s">
        <v>141</v>
      </c>
      <c r="H80" s="2"/>
      <c r="I80" s="2"/>
      <c r="J80" s="2"/>
      <c r="K80" s="14" t="s">
        <v>142</v>
      </c>
      <c r="L80" s="175">
        <f>'[1]Trial Balance'!$D$349</f>
        <v>20347</v>
      </c>
      <c r="M80" s="175">
        <f>'[1]Trial Balance'!$L$349</f>
        <v>28714.786196</v>
      </c>
      <c r="N80" s="174">
        <f t="shared" si="8"/>
        <v>8367.786196000001</v>
      </c>
      <c r="O80" s="266">
        <f t="shared" si="9"/>
        <v>0.41125405199783754</v>
      </c>
      <c r="Q80" s="1">
        <v>0</v>
      </c>
    </row>
    <row r="81" spans="6:17" s="1" customFormat="1" ht="15">
      <c r="F81" s="2">
        <v>4015</v>
      </c>
      <c r="G81" s="2" t="s">
        <v>143</v>
      </c>
      <c r="H81" s="2"/>
      <c r="I81" s="2"/>
      <c r="J81" s="2"/>
      <c r="K81" s="14" t="s">
        <v>144</v>
      </c>
      <c r="L81" s="175">
        <f>'[1]Trial Balance'!$D$350</f>
        <v>48141</v>
      </c>
      <c r="M81" s="175">
        <f>'[1]Trial Balance'!$L$350</f>
        <v>62374.894088</v>
      </c>
      <c r="N81" s="174">
        <f t="shared" si="8"/>
        <v>14233.894088000001</v>
      </c>
      <c r="O81" s="266">
        <f t="shared" si="9"/>
        <v>0.2956709268191355</v>
      </c>
      <c r="Q81" s="1">
        <v>0</v>
      </c>
    </row>
    <row r="82" spans="6:17" s="1" customFormat="1" ht="15">
      <c r="F82" s="2">
        <v>4020</v>
      </c>
      <c r="G82" s="2" t="s">
        <v>145</v>
      </c>
      <c r="H82" s="2"/>
      <c r="I82" s="2"/>
      <c r="J82" s="2"/>
      <c r="K82" s="14" t="s">
        <v>146</v>
      </c>
      <c r="L82" s="175">
        <f>'[1]Trial Balance'!$D$351</f>
        <v>0</v>
      </c>
      <c r="M82" s="175">
        <f>'[1]Trial Balance'!$L$351</f>
        <v>0</v>
      </c>
      <c r="N82" s="174">
        <f t="shared" si="8"/>
        <v>0</v>
      </c>
      <c r="O82" s="266">
        <v>0</v>
      </c>
      <c r="Q82" s="1">
        <v>0</v>
      </c>
    </row>
    <row r="83" spans="6:17" s="1" customFormat="1" ht="15">
      <c r="F83" s="2"/>
      <c r="G83" s="2"/>
      <c r="H83" s="2"/>
      <c r="I83" s="2"/>
      <c r="J83" s="2"/>
      <c r="K83" s="14" t="s">
        <v>147</v>
      </c>
      <c r="L83" s="175">
        <f>'[1]Trial Balance'!$D$352</f>
        <v>0</v>
      </c>
      <c r="M83" s="175">
        <f>'[1]Trial Balance'!$L$352</f>
        <v>0</v>
      </c>
      <c r="N83" s="174">
        <f t="shared" si="8"/>
        <v>0</v>
      </c>
      <c r="O83" s="266">
        <v>0</v>
      </c>
      <c r="Q83" s="1">
        <v>0</v>
      </c>
    </row>
    <row r="84" spans="6:17" s="1" customFormat="1" ht="15">
      <c r="F84" s="2">
        <v>4025</v>
      </c>
      <c r="G84" s="2" t="s">
        <v>148</v>
      </c>
      <c r="H84" s="2"/>
      <c r="I84" s="2"/>
      <c r="J84" s="2"/>
      <c r="K84" s="14" t="s">
        <v>149</v>
      </c>
      <c r="L84" s="175">
        <f>'[1]Trial Balance'!$D$353</f>
        <v>85631</v>
      </c>
      <c r="M84" s="175">
        <f>'[1]Trial Balance'!$L$353</f>
        <v>103562.33303200001</v>
      </c>
      <c r="N84" s="174">
        <f t="shared" si="8"/>
        <v>17931.33303200001</v>
      </c>
      <c r="O84" s="266">
        <f t="shared" si="9"/>
        <v>0.20940235466127932</v>
      </c>
      <c r="Q84" s="68">
        <v>1</v>
      </c>
    </row>
    <row r="85" spans="6:17" s="1" customFormat="1" ht="15">
      <c r="F85" s="2">
        <v>4030</v>
      </c>
      <c r="G85" s="2" t="s">
        <v>150</v>
      </c>
      <c r="H85" s="2"/>
      <c r="I85" s="2"/>
      <c r="J85" s="2"/>
      <c r="K85" s="14" t="s">
        <v>151</v>
      </c>
      <c r="L85" s="175">
        <f>'[1]Trial Balance'!$D$354</f>
        <v>2050</v>
      </c>
      <c r="M85" s="175">
        <f>'[1]Trial Balance'!$L$354</f>
        <v>4660.390433333334</v>
      </c>
      <c r="N85" s="174">
        <f t="shared" si="8"/>
        <v>2610.390433333334</v>
      </c>
      <c r="O85" s="266">
        <f t="shared" si="9"/>
        <v>1.2733611869918702</v>
      </c>
      <c r="Q85" s="1">
        <v>0</v>
      </c>
    </row>
    <row r="86" spans="6:17" s="1" customFormat="1" ht="15">
      <c r="F86" s="2">
        <v>4035</v>
      </c>
      <c r="G86" s="2" t="s">
        <v>152</v>
      </c>
      <c r="H86" s="2"/>
      <c r="I86" s="2"/>
      <c r="J86" s="2"/>
      <c r="K86" s="14" t="s">
        <v>153</v>
      </c>
      <c r="L86" s="175">
        <f>'[1]Trial Balance'!$D$355</f>
        <v>2450</v>
      </c>
      <c r="M86" s="175">
        <f>'[1]Trial Balance'!$L$355</f>
        <v>855.3257333333333</v>
      </c>
      <c r="N86" s="174">
        <f t="shared" si="8"/>
        <v>-1594.6742666666667</v>
      </c>
      <c r="O86" s="266">
        <f t="shared" si="9"/>
        <v>-0.6508874557823129</v>
      </c>
      <c r="Q86" s="1">
        <v>0</v>
      </c>
    </row>
    <row r="87" spans="6:17" s="1" customFormat="1" ht="15">
      <c r="F87" s="2">
        <v>4040</v>
      </c>
      <c r="G87" s="2" t="s">
        <v>154</v>
      </c>
      <c r="H87" s="2"/>
      <c r="I87" s="2"/>
      <c r="J87" s="2"/>
      <c r="K87" s="14" t="s">
        <v>155</v>
      </c>
      <c r="L87" s="175">
        <f>'[1]Trial Balance'!$D$356</f>
        <v>0</v>
      </c>
      <c r="M87" s="175">
        <f>'[1]Trial Balance'!$L$356</f>
        <v>0</v>
      </c>
      <c r="N87" s="174">
        <f t="shared" si="8"/>
        <v>0</v>
      </c>
      <c r="O87" s="266">
        <v>0</v>
      </c>
      <c r="Q87" s="1">
        <v>0</v>
      </c>
    </row>
    <row r="88" spans="6:17" s="1" customFormat="1" ht="15">
      <c r="F88" s="2">
        <v>4045</v>
      </c>
      <c r="G88" s="2" t="s">
        <v>156</v>
      </c>
      <c r="H88" s="2"/>
      <c r="I88" s="2"/>
      <c r="J88" s="2"/>
      <c r="K88" s="14" t="s">
        <v>157</v>
      </c>
      <c r="L88" s="175">
        <f>'[1]Trial Balance'!$D$357</f>
        <v>28575</v>
      </c>
      <c r="M88" s="175">
        <f>'[1]Trial Balance'!$L$357</f>
        <v>84370.889674</v>
      </c>
      <c r="N88" s="174">
        <f t="shared" si="8"/>
        <v>55795.889674000005</v>
      </c>
      <c r="O88" s="266">
        <f t="shared" si="9"/>
        <v>1.9526120620822398</v>
      </c>
      <c r="Q88" s="68">
        <v>1</v>
      </c>
    </row>
    <row r="89" spans="6:17" s="1" customFormat="1" ht="15">
      <c r="F89" s="2"/>
      <c r="G89" s="2"/>
      <c r="H89" s="2"/>
      <c r="I89" s="2"/>
      <c r="J89" s="2"/>
      <c r="K89" s="14" t="s">
        <v>158</v>
      </c>
      <c r="L89" s="175">
        <f>'[1]Trial Balance'!$D$358</f>
        <v>29704</v>
      </c>
      <c r="M89" s="175">
        <f>'[1]Trial Balance'!$L$358</f>
        <v>47545.53363333333</v>
      </c>
      <c r="N89" s="174">
        <f t="shared" si="8"/>
        <v>17841.533633333333</v>
      </c>
      <c r="O89" s="266">
        <f t="shared" si="9"/>
        <v>0.6006441433252536</v>
      </c>
      <c r="Q89" s="68">
        <v>1</v>
      </c>
    </row>
    <row r="90" spans="6:17" s="1" customFormat="1" ht="15">
      <c r="F90" s="2"/>
      <c r="G90" s="2"/>
      <c r="H90" s="2"/>
      <c r="I90" s="2"/>
      <c r="J90" s="2"/>
      <c r="K90" s="14" t="s">
        <v>342</v>
      </c>
      <c r="L90" s="175">
        <f>'[1]Trial Balance'!$D$359</f>
        <v>0</v>
      </c>
      <c r="M90" s="175">
        <f>'[1]Trial Balance'!$L$359</f>
        <v>0</v>
      </c>
      <c r="N90" s="174">
        <f t="shared" si="8"/>
        <v>0</v>
      </c>
      <c r="O90" s="266">
        <v>0</v>
      </c>
      <c r="Q90" s="1">
        <v>0</v>
      </c>
    </row>
    <row r="91" spans="6:17" s="1" customFormat="1" ht="15">
      <c r="F91" s="2"/>
      <c r="G91" s="2"/>
      <c r="H91" s="2"/>
      <c r="I91" s="2"/>
      <c r="J91" s="2"/>
      <c r="K91" s="14" t="s">
        <v>159</v>
      </c>
      <c r="L91" s="175">
        <f>'[1]Trial Balance'!$D$360</f>
        <v>0</v>
      </c>
      <c r="M91" s="175">
        <f>'[1]Trial Balance'!$L$360</f>
        <v>0</v>
      </c>
      <c r="N91" s="174">
        <f t="shared" si="8"/>
        <v>0</v>
      </c>
      <c r="O91" s="266">
        <v>0</v>
      </c>
      <c r="Q91" s="1">
        <v>0</v>
      </c>
    </row>
    <row r="92" spans="6:17" s="1" customFormat="1" ht="15">
      <c r="F92" s="2"/>
      <c r="G92" s="2"/>
      <c r="H92" s="2"/>
      <c r="I92" s="2"/>
      <c r="J92" s="2"/>
      <c r="K92" s="14" t="s">
        <v>343</v>
      </c>
      <c r="L92" s="175">
        <f>'[1]Trial Balance'!$D$360</f>
        <v>0</v>
      </c>
      <c r="M92" s="175">
        <f>'[1]Trial Balance'!$L$361</f>
        <v>0</v>
      </c>
      <c r="N92" s="174">
        <f t="shared" si="8"/>
        <v>0</v>
      </c>
      <c r="O92" s="262">
        <v>0</v>
      </c>
      <c r="Q92" s="1">
        <v>0</v>
      </c>
    </row>
    <row r="93" spans="6:17" s="1" customFormat="1" ht="15">
      <c r="F93" s="2"/>
      <c r="G93" s="2"/>
      <c r="H93" s="45"/>
      <c r="I93" s="2"/>
      <c r="J93" s="2"/>
      <c r="K93" s="172" t="s">
        <v>60</v>
      </c>
      <c r="L93" s="30">
        <f>SUM(L74:L91)</f>
        <v>741765.34</v>
      </c>
      <c r="M93" s="30">
        <f>SUM(M74:M91)</f>
        <v>1281489.1994170004</v>
      </c>
      <c r="N93" s="174">
        <f t="shared" si="8"/>
        <v>539723.8594170004</v>
      </c>
      <c r="O93" s="266">
        <f t="shared" si="9"/>
        <v>0.7276207586310254</v>
      </c>
      <c r="Q93" s="1">
        <v>0</v>
      </c>
    </row>
    <row r="94" spans="6:17" s="1" customFormat="1" ht="15">
      <c r="F94" s="2"/>
      <c r="G94" s="2"/>
      <c r="H94" s="45"/>
      <c r="I94" s="2"/>
      <c r="J94" s="2"/>
      <c r="K94" s="192"/>
      <c r="L94" s="192"/>
      <c r="M94" s="13"/>
      <c r="N94" s="67"/>
      <c r="O94" s="267"/>
      <c r="Q94" s="1">
        <v>0</v>
      </c>
    </row>
    <row r="95" spans="6:17" s="1" customFormat="1" ht="15">
      <c r="F95" s="2"/>
      <c r="G95" s="2"/>
      <c r="H95" s="2"/>
      <c r="I95" s="2"/>
      <c r="J95" s="2"/>
      <c r="K95" s="12" t="s">
        <v>160</v>
      </c>
      <c r="L95" s="30">
        <f>L29+L50+L61+L71+L93</f>
        <v>1884617.3399999999</v>
      </c>
      <c r="M95" s="30">
        <f>M29+M50+M61+M71+M93</f>
        <v>3067313.6851790007</v>
      </c>
      <c r="N95" s="67">
        <f t="shared" si="8"/>
        <v>1182696.3451790009</v>
      </c>
      <c r="O95" s="266">
        <f>N95/L95</f>
        <v>0.6275525116302926</v>
      </c>
      <c r="Q95" s="1">
        <v>0</v>
      </c>
    </row>
    <row r="96" spans="6:17" s="1" customFormat="1" ht="15">
      <c r="F96" s="2"/>
      <c r="G96" s="2"/>
      <c r="H96" s="2"/>
      <c r="I96" s="2"/>
      <c r="J96" s="2"/>
      <c r="K96" s="12"/>
      <c r="L96" s="50"/>
      <c r="M96" s="50"/>
      <c r="N96" s="67"/>
      <c r="O96" s="267"/>
      <c r="Q96" s="1">
        <v>0</v>
      </c>
    </row>
    <row r="97" spans="6:17" s="1" customFormat="1" ht="15">
      <c r="F97" s="2"/>
      <c r="G97" s="2"/>
      <c r="H97" s="45"/>
      <c r="I97" s="2"/>
      <c r="J97" s="2"/>
      <c r="K97" s="12" t="s">
        <v>161</v>
      </c>
      <c r="L97" s="52"/>
      <c r="M97" s="52"/>
      <c r="N97" s="67"/>
      <c r="O97" s="267"/>
      <c r="Q97" s="1">
        <v>0</v>
      </c>
    </row>
    <row r="98" spans="6:17" s="1" customFormat="1" ht="15">
      <c r="F98" s="2">
        <v>4064</v>
      </c>
      <c r="G98" s="2" t="s">
        <v>162</v>
      </c>
      <c r="H98" s="2"/>
      <c r="I98" s="2"/>
      <c r="J98" s="2"/>
      <c r="K98" s="14" t="s">
        <v>163</v>
      </c>
      <c r="L98" s="175">
        <f>'[1]Trial Balance'!$D$383</f>
        <v>42890</v>
      </c>
      <c r="M98" s="175">
        <f>'[1]Trial Balance'!$L$383</f>
        <v>49542.12038</v>
      </c>
      <c r="N98" s="67">
        <f t="shared" si="8"/>
        <v>6652.12038</v>
      </c>
      <c r="O98" s="266">
        <f>N98/L98</f>
        <v>0.1550972343203544</v>
      </c>
      <c r="Q98" s="1">
        <v>0</v>
      </c>
    </row>
    <row r="99" spans="6:17" s="1" customFormat="1" ht="15">
      <c r="F99" s="2"/>
      <c r="G99" s="2"/>
      <c r="H99" s="2"/>
      <c r="I99" s="2"/>
      <c r="J99" s="2"/>
      <c r="K99" s="28" t="s">
        <v>60</v>
      </c>
      <c r="L99" s="30">
        <f>SUM(L98)</f>
        <v>42890</v>
      </c>
      <c r="M99" s="30">
        <f>SUM(M98)</f>
        <v>49542.12038</v>
      </c>
      <c r="N99" s="67">
        <f t="shared" si="8"/>
        <v>6652.12038</v>
      </c>
      <c r="O99" s="266">
        <f>N99/L99</f>
        <v>0.1550972343203544</v>
      </c>
      <c r="Q99" s="1">
        <v>0</v>
      </c>
    </row>
    <row r="100" spans="6:17" s="1" customFormat="1" ht="15">
      <c r="F100" s="2"/>
      <c r="G100" s="2"/>
      <c r="H100" s="2"/>
      <c r="I100" s="2"/>
      <c r="J100" s="2"/>
      <c r="K100" s="192"/>
      <c r="L100" s="192"/>
      <c r="M100" s="13"/>
      <c r="N100" s="67"/>
      <c r="O100" s="267"/>
      <c r="Q100" s="1">
        <v>0</v>
      </c>
    </row>
    <row r="101" spans="1:17" s="1" customFormat="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2" t="s">
        <v>164</v>
      </c>
      <c r="L101" s="16"/>
      <c r="M101" s="16"/>
      <c r="N101" s="67"/>
      <c r="O101" s="267"/>
      <c r="Q101" s="1">
        <v>0</v>
      </c>
    </row>
    <row r="102" spans="1:17" s="1" customFormat="1" ht="15">
      <c r="A102" s="2"/>
      <c r="B102" s="2"/>
      <c r="C102" s="2"/>
      <c r="D102" s="2"/>
      <c r="E102" s="2"/>
      <c r="F102" s="2">
        <v>4050</v>
      </c>
      <c r="G102" s="2" t="s">
        <v>165</v>
      </c>
      <c r="H102" s="2"/>
      <c r="I102" s="2"/>
      <c r="J102" s="2"/>
      <c r="K102" s="14" t="s">
        <v>166</v>
      </c>
      <c r="L102" s="175">
        <f>'[1]Trial Balance'!$D$363</f>
        <v>838633</v>
      </c>
      <c r="M102" s="175">
        <f>'[1]Trial Balance'!$L$363</f>
        <v>773769.1891872174</v>
      </c>
      <c r="N102" s="67">
        <f t="shared" si="8"/>
        <v>-64863.81081278261</v>
      </c>
      <c r="O102" s="266">
        <f>N102/L102</f>
        <v>-0.07734469167416809</v>
      </c>
      <c r="Q102" s="1">
        <v>0</v>
      </c>
    </row>
    <row r="103" spans="1:17" s="1" customFormat="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8" t="s">
        <v>60</v>
      </c>
      <c r="L103" s="30">
        <f>SUM(L102)</f>
        <v>838633</v>
      </c>
      <c r="M103" s="30">
        <f>SUM(M102)</f>
        <v>773769.1891872174</v>
      </c>
      <c r="N103" s="67">
        <f t="shared" si="8"/>
        <v>-64863.81081278261</v>
      </c>
      <c r="O103" s="266">
        <f>N103/L103</f>
        <v>-0.07734469167416809</v>
      </c>
      <c r="Q103" s="1">
        <v>0</v>
      </c>
    </row>
    <row r="104" spans="1:17" s="1" customFormat="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92"/>
      <c r="L104" s="13"/>
      <c r="M104" s="13"/>
      <c r="N104" s="67"/>
      <c r="O104" s="267"/>
      <c r="Q104" s="1">
        <v>0</v>
      </c>
    </row>
    <row r="105" spans="1:17" s="1" customFormat="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2" t="s">
        <v>167</v>
      </c>
      <c r="L105" s="54">
        <f>L95+L103</f>
        <v>2723250.34</v>
      </c>
      <c r="M105" s="54">
        <f>M95+M99+M103</f>
        <v>3890624.9947462184</v>
      </c>
      <c r="N105" s="67">
        <f t="shared" si="8"/>
        <v>1167374.6547462186</v>
      </c>
      <c r="O105" s="266">
        <f>N105/L105</f>
        <v>0.4286696076374009</v>
      </c>
      <c r="Q105" s="1">
        <v>0</v>
      </c>
    </row>
    <row r="106" spans="1:17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2" t="s">
        <v>168</v>
      </c>
      <c r="L106" s="54">
        <f>L105*0.01</f>
        <v>27232.503399999998</v>
      </c>
      <c r="M106" s="54">
        <f>M105*0.01</f>
        <v>38906.24994746219</v>
      </c>
      <c r="N106" s="67">
        <f t="shared" si="8"/>
        <v>11673.74654746219</v>
      </c>
      <c r="O106" s="266">
        <f>N106/L106</f>
        <v>0.4286696076374011</v>
      </c>
      <c r="Q106" s="1">
        <v>0</v>
      </c>
    </row>
    <row r="107" spans="1:17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2" t="s">
        <v>169</v>
      </c>
      <c r="L107" s="13"/>
      <c r="M107" s="13"/>
      <c r="N107" s="34"/>
      <c r="O107" s="267"/>
      <c r="Q107" s="1">
        <v>0</v>
      </c>
    </row>
    <row r="108" spans="1:17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3"/>
      <c r="L108" s="13"/>
      <c r="M108" s="13"/>
      <c r="N108" s="34"/>
      <c r="O108" s="198"/>
      <c r="Q108" s="1">
        <v>0</v>
      </c>
    </row>
    <row r="109" spans="1:17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3"/>
      <c r="L109" s="176">
        <v>1490542.3399999999</v>
      </c>
      <c r="M109" s="176">
        <v>2184942.1622392307</v>
      </c>
      <c r="N109" s="34"/>
      <c r="O109" s="198"/>
      <c r="Q109" s="1">
        <v>0</v>
      </c>
    </row>
    <row r="110" spans="12:113" ht="15">
      <c r="L110" s="176">
        <f>L105-L109</f>
        <v>1232708</v>
      </c>
      <c r="M110" s="176">
        <f>M105-M109</f>
        <v>1705682.8325069877</v>
      </c>
      <c r="N110" s="33"/>
      <c r="O110" s="202"/>
      <c r="P110" s="2"/>
      <c r="Q110" s="2">
        <v>0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</row>
  </sheetData>
  <sheetProtection/>
  <autoFilter ref="A4:DI20"/>
  <mergeCells count="1">
    <mergeCell ref="A5:E5"/>
  </mergeCells>
  <printOptions/>
  <pageMargins left="1.7" right="0.7" top="0" bottom="0" header="0.3" footer="0.3"/>
  <pageSetup fitToHeight="1" fitToWidth="1" horizontalDpi="600" verticalDpi="600" orientation="portrait" scale="2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10"/>
  <sheetViews>
    <sheetView zoomScalePageLayoutView="0" workbookViewId="0" topLeftCell="J88">
      <selection activeCell="O92" sqref="O92"/>
    </sheetView>
  </sheetViews>
  <sheetFormatPr defaultColWidth="9.140625" defaultRowHeight="15"/>
  <cols>
    <col min="1" max="1" width="32.00390625" style="33" bestFit="1" customWidth="1"/>
    <col min="2" max="2" width="20.00390625" style="33" bestFit="1" customWidth="1"/>
    <col min="3" max="3" width="13.28125" style="33" customWidth="1"/>
    <col min="4" max="4" width="13.140625" style="33" customWidth="1"/>
    <col min="5" max="5" width="14.421875" style="33" customWidth="1"/>
    <col min="6" max="6" width="8.140625" style="33" hidden="1" customWidth="1"/>
    <col min="7" max="7" width="62.421875" style="33" hidden="1" customWidth="1"/>
    <col min="8" max="8" width="30.421875" style="33" hidden="1" customWidth="1"/>
    <col min="9" max="9" width="15.57421875" style="33" bestFit="1" customWidth="1"/>
    <col min="10" max="10" width="15.57421875" style="33" customWidth="1"/>
    <col min="11" max="11" width="73.140625" style="33" customWidth="1"/>
    <col min="12" max="12" width="10.421875" style="13" bestFit="1" customWidth="1"/>
    <col min="13" max="13" width="9.7109375" style="13" customWidth="1"/>
    <col min="14" max="14" width="14.7109375" style="34" customWidth="1"/>
    <col min="15" max="15" width="14.28125" style="34" customWidth="1"/>
    <col min="16" max="16" width="9.140625" style="34" customWidth="1"/>
    <col min="17" max="115" width="9.140625" style="1" customWidth="1"/>
    <col min="116" max="16384" width="9.140625" style="2" customWidth="1"/>
  </cols>
  <sheetData>
    <row r="1" spans="1:16" s="1" customFormat="1" ht="15">
      <c r="A1" s="34"/>
      <c r="B1" s="34"/>
      <c r="C1" s="34"/>
      <c r="D1" s="34"/>
      <c r="E1" s="34"/>
      <c r="F1" s="33"/>
      <c r="G1" s="33"/>
      <c r="H1" s="33"/>
      <c r="I1" s="33"/>
      <c r="J1" s="33"/>
      <c r="K1" s="28"/>
      <c r="L1" s="13"/>
      <c r="M1" s="13"/>
      <c r="N1" s="34"/>
      <c r="O1" s="34"/>
      <c r="P1" s="34"/>
    </row>
    <row r="2" spans="1:16" s="1" customFormat="1" ht="15">
      <c r="A2" s="85" t="s">
        <v>184</v>
      </c>
      <c r="B2" s="85"/>
      <c r="C2" s="34"/>
      <c r="D2" s="34"/>
      <c r="E2" s="34"/>
      <c r="F2" s="33"/>
      <c r="G2" s="33"/>
      <c r="H2" s="33"/>
      <c r="I2" s="33"/>
      <c r="J2" s="33"/>
      <c r="K2" s="28" t="s">
        <v>0</v>
      </c>
      <c r="L2" s="28"/>
      <c r="M2" s="34"/>
      <c r="N2" s="34"/>
      <c r="O2" s="34"/>
      <c r="P2" s="34"/>
    </row>
    <row r="3" spans="1:16" s="1" customFormat="1" ht="15">
      <c r="A3" s="34"/>
      <c r="B3" s="34"/>
      <c r="C3" s="34"/>
      <c r="D3" s="34"/>
      <c r="E3" s="34"/>
      <c r="F3" s="33"/>
      <c r="G3" s="33"/>
      <c r="H3" s="33"/>
      <c r="I3" s="33"/>
      <c r="J3" s="33"/>
      <c r="K3" s="33"/>
      <c r="L3" s="13"/>
      <c r="M3" s="13"/>
      <c r="N3" s="34"/>
      <c r="O3" s="34"/>
      <c r="P3" s="34"/>
    </row>
    <row r="4" spans="1:16" s="1" customFormat="1" ht="30">
      <c r="A4" s="34"/>
      <c r="B4" s="34"/>
      <c r="C4" s="34"/>
      <c r="D4" s="34"/>
      <c r="E4" s="34"/>
      <c r="F4" s="33"/>
      <c r="G4" s="33"/>
      <c r="H4" s="33"/>
      <c r="I4" s="33"/>
      <c r="J4" s="33"/>
      <c r="K4" s="8" t="s">
        <v>1</v>
      </c>
      <c r="L4" s="10" t="s">
        <v>171</v>
      </c>
      <c r="M4" s="10" t="s">
        <v>177</v>
      </c>
      <c r="N4" s="10" t="s">
        <v>12</v>
      </c>
      <c r="O4" s="10" t="s">
        <v>13</v>
      </c>
      <c r="P4" s="34"/>
    </row>
    <row r="5" spans="1:16" s="1" customFormat="1" ht="15">
      <c r="A5" s="345" t="s">
        <v>5</v>
      </c>
      <c r="B5" s="345"/>
      <c r="C5" s="345"/>
      <c r="D5" s="345"/>
      <c r="E5" s="345"/>
      <c r="F5" s="33"/>
      <c r="G5" s="33"/>
      <c r="H5" s="33"/>
      <c r="I5" s="33"/>
      <c r="J5" s="33"/>
      <c r="K5" s="12" t="s">
        <v>6</v>
      </c>
      <c r="L5" s="13"/>
      <c r="M5" s="13"/>
      <c r="N5" s="34"/>
      <c r="O5" s="34"/>
      <c r="P5" s="34"/>
    </row>
    <row r="6" spans="1:16" s="1" customFormat="1" ht="15">
      <c r="A6" s="34"/>
      <c r="B6" s="34"/>
      <c r="C6" s="34"/>
      <c r="D6" s="34"/>
      <c r="E6" s="34"/>
      <c r="F6" s="33">
        <v>2270</v>
      </c>
      <c r="G6" s="33" t="s">
        <v>7</v>
      </c>
      <c r="H6" s="33"/>
      <c r="I6" s="33"/>
      <c r="J6" s="33"/>
      <c r="K6" s="14" t="s">
        <v>8</v>
      </c>
      <c r="L6" s="175">
        <f>'[1]Trial Balance'!$H$276</f>
        <v>183439.76</v>
      </c>
      <c r="M6" s="175">
        <f>'[1]Trial Balance'!$L$276</f>
        <v>323678.441384</v>
      </c>
      <c r="N6" s="171">
        <f>M6-L6</f>
        <v>140238.681384</v>
      </c>
      <c r="O6" s="264">
        <f>N6/L6</f>
        <v>0.7644944661070205</v>
      </c>
      <c r="P6" s="34"/>
    </row>
    <row r="7" spans="1:16" s="1" customFormat="1" ht="15">
      <c r="A7" s="203" t="s">
        <v>9</v>
      </c>
      <c r="B7" s="34"/>
      <c r="C7" s="34"/>
      <c r="D7" s="34"/>
      <c r="E7" s="34"/>
      <c r="F7" s="33">
        <v>2272</v>
      </c>
      <c r="G7" s="33" t="s">
        <v>10</v>
      </c>
      <c r="H7" s="33"/>
      <c r="I7" s="33"/>
      <c r="J7" s="33"/>
      <c r="K7" s="14" t="s">
        <v>11</v>
      </c>
      <c r="L7" s="175">
        <f>'[1]Trial Balance'!$H$277</f>
        <v>0</v>
      </c>
      <c r="M7" s="175">
        <f>'[1]Trial Balance'!$L$277</f>
        <v>0</v>
      </c>
      <c r="N7" s="171">
        <f aca="true" t="shared" si="0" ref="N7:N70">M7-L7</f>
        <v>0</v>
      </c>
      <c r="O7" s="266">
        <v>0</v>
      </c>
      <c r="P7" s="34"/>
    </row>
    <row r="8" spans="1:16" s="1" customFormat="1" ht="15">
      <c r="A8" s="204"/>
      <c r="B8" s="205" t="s">
        <v>173</v>
      </c>
      <c r="C8" s="205" t="s">
        <v>175</v>
      </c>
      <c r="D8" s="205" t="s">
        <v>12</v>
      </c>
      <c r="E8" s="205" t="s">
        <v>13</v>
      </c>
      <c r="F8" s="33">
        <v>2285</v>
      </c>
      <c r="G8" s="33" t="s">
        <v>14</v>
      </c>
      <c r="H8" s="33"/>
      <c r="I8" s="33"/>
      <c r="J8" s="33"/>
      <c r="K8" s="14" t="s">
        <v>15</v>
      </c>
      <c r="L8" s="175">
        <f>'[1]Trial Balance'!$H$278</f>
        <v>0</v>
      </c>
      <c r="M8" s="175">
        <f>'[1]Trial Balance'!$L$278</f>
        <v>0</v>
      </c>
      <c r="N8" s="171">
        <f t="shared" si="0"/>
        <v>0</v>
      </c>
      <c r="O8" s="266">
        <v>0</v>
      </c>
      <c r="P8" s="34"/>
    </row>
    <row r="9" spans="1:16" s="1" customFormat="1" ht="15">
      <c r="A9" s="170" t="s">
        <v>6</v>
      </c>
      <c r="B9" s="177">
        <f>L29</f>
        <v>415820.95</v>
      </c>
      <c r="C9" s="177">
        <f>M29</f>
        <v>879396.1671413335</v>
      </c>
      <c r="D9" s="177">
        <f aca="true" t="shared" si="1" ref="D9:D14">C9-B9</f>
        <v>463575.21714133344</v>
      </c>
      <c r="E9" s="206">
        <f aca="true" t="shared" si="2" ref="E9:E14">D9/B9</f>
        <v>1.114843340965224</v>
      </c>
      <c r="F9" s="33">
        <v>2290</v>
      </c>
      <c r="G9" s="33" t="s">
        <v>16</v>
      </c>
      <c r="H9" s="33"/>
      <c r="I9" s="33"/>
      <c r="J9" s="33"/>
      <c r="K9" s="14" t="s">
        <v>17</v>
      </c>
      <c r="L9" s="175">
        <f>'[1]Trial Balance'!$H$279</f>
        <v>0</v>
      </c>
      <c r="M9" s="175">
        <f>'[1]Trial Balance'!$L$279</f>
        <v>0</v>
      </c>
      <c r="N9" s="171">
        <f t="shared" si="0"/>
        <v>0</v>
      </c>
      <c r="O9" s="266">
        <v>0</v>
      </c>
      <c r="P9" s="34"/>
    </row>
    <row r="10" spans="1:16" s="1" customFormat="1" ht="15">
      <c r="A10" s="170" t="s">
        <v>18</v>
      </c>
      <c r="B10" s="177">
        <f>L50</f>
        <v>225311.69</v>
      </c>
      <c r="C10" s="177">
        <f>M50</f>
        <v>391785.52180999995</v>
      </c>
      <c r="D10" s="177">
        <f t="shared" si="1"/>
        <v>166473.83180999995</v>
      </c>
      <c r="E10" s="206">
        <f t="shared" si="2"/>
        <v>0.7388601621602499</v>
      </c>
      <c r="F10" s="33">
        <v>2292</v>
      </c>
      <c r="G10" s="33" t="s">
        <v>19</v>
      </c>
      <c r="H10" s="33"/>
      <c r="I10" s="33"/>
      <c r="J10" s="33"/>
      <c r="K10" s="14" t="s">
        <v>20</v>
      </c>
      <c r="L10" s="175">
        <f>'[1]Trial Balance'!$H$280</f>
        <v>0</v>
      </c>
      <c r="M10" s="175">
        <f>'[1]Trial Balance'!$L$280</f>
        <v>0</v>
      </c>
      <c r="N10" s="171">
        <f t="shared" si="0"/>
        <v>0</v>
      </c>
      <c r="O10" s="266">
        <v>0</v>
      </c>
      <c r="P10" s="34"/>
    </row>
    <row r="11" spans="1:16" s="1" customFormat="1" ht="15">
      <c r="A11" s="170" t="s">
        <v>21</v>
      </c>
      <c r="B11" s="177">
        <f>L61</f>
        <v>425479.32</v>
      </c>
      <c r="C11" s="177">
        <f>M61</f>
        <v>500298.1487953334</v>
      </c>
      <c r="D11" s="177">
        <f t="shared" si="1"/>
        <v>74818.8287953334</v>
      </c>
      <c r="E11" s="206">
        <f t="shared" si="2"/>
        <v>0.17584598188070197</v>
      </c>
      <c r="F11" s="33">
        <v>2294</v>
      </c>
      <c r="G11" s="33" t="s">
        <v>22</v>
      </c>
      <c r="H11" s="33"/>
      <c r="I11" s="33"/>
      <c r="J11" s="33"/>
      <c r="K11" s="14" t="s">
        <v>23</v>
      </c>
      <c r="L11" s="175">
        <f>'[1]Trial Balance'!$H$281</f>
        <v>1043.42</v>
      </c>
      <c r="M11" s="175">
        <f>'[1]Trial Balance'!$L$281</f>
        <v>2598.5979866666667</v>
      </c>
      <c r="N11" s="171">
        <f t="shared" si="0"/>
        <v>1555.1779866666666</v>
      </c>
      <c r="O11" s="266">
        <f>N11/L11</f>
        <v>1.4904621213573312</v>
      </c>
      <c r="P11" s="34"/>
    </row>
    <row r="12" spans="1:16" s="1" customFormat="1" ht="15">
      <c r="A12" s="170" t="s">
        <v>24</v>
      </c>
      <c r="B12" s="177">
        <f>L71</f>
        <v>13354.54</v>
      </c>
      <c r="C12" s="177">
        <f>M71</f>
        <v>14344.648015333336</v>
      </c>
      <c r="D12" s="177">
        <f t="shared" si="1"/>
        <v>990.1080153333351</v>
      </c>
      <c r="E12" s="206">
        <f t="shared" si="2"/>
        <v>0.07414018119181455</v>
      </c>
      <c r="F12" s="33">
        <v>2296</v>
      </c>
      <c r="G12" s="33" t="s">
        <v>25</v>
      </c>
      <c r="H12" s="33"/>
      <c r="I12" s="33"/>
      <c r="J12" s="33"/>
      <c r="K12" s="14" t="s">
        <v>26</v>
      </c>
      <c r="L12" s="175">
        <f>'[1]Trial Balance'!$H$282</f>
        <v>4150.81</v>
      </c>
      <c r="M12" s="175">
        <f>'[1]Trial Balance'!$L$282</f>
        <v>35331.28333333333</v>
      </c>
      <c r="N12" s="171">
        <f t="shared" si="0"/>
        <v>31180.47333333333</v>
      </c>
      <c r="O12" s="266">
        <f>N12/L12</f>
        <v>7.511900890027086</v>
      </c>
      <c r="P12" s="34"/>
    </row>
    <row r="13" spans="1:16" s="1" customFormat="1" ht="15">
      <c r="A13" s="170" t="s">
        <v>27</v>
      </c>
      <c r="B13" s="177">
        <f>L93</f>
        <v>1019723.7100000001</v>
      </c>
      <c r="C13" s="177">
        <f>M93</f>
        <v>1281489.1994170004</v>
      </c>
      <c r="D13" s="177">
        <f t="shared" si="1"/>
        <v>261765.48941700032</v>
      </c>
      <c r="E13" s="206">
        <f t="shared" si="2"/>
        <v>0.25670236638608734</v>
      </c>
      <c r="F13" s="33">
        <v>0</v>
      </c>
      <c r="G13" s="33" t="s">
        <v>28</v>
      </c>
      <c r="H13" s="33"/>
      <c r="I13" s="33"/>
      <c r="J13" s="33"/>
      <c r="K13" s="14" t="s">
        <v>29</v>
      </c>
      <c r="L13" s="175">
        <f>'[1]Trial Balance'!$H$283</f>
        <v>160832.22</v>
      </c>
      <c r="M13" s="175">
        <f>'[1]Trial Balance'!$L$283</f>
        <v>309975.41030000005</v>
      </c>
      <c r="N13" s="171">
        <f>M13-L13</f>
        <v>149143.19030000005</v>
      </c>
      <c r="O13" s="266">
        <f>N13/L13</f>
        <v>0.9273215920292591</v>
      </c>
      <c r="P13" s="34"/>
    </row>
    <row r="14" spans="1:16" s="1" customFormat="1" ht="15.75" thickBot="1">
      <c r="A14" s="207" t="s">
        <v>30</v>
      </c>
      <c r="B14" s="208">
        <f>SUM(B9:B13)</f>
        <v>2099690.21</v>
      </c>
      <c r="C14" s="208">
        <f>SUM(C9:C13)</f>
        <v>3067313.6851790007</v>
      </c>
      <c r="D14" s="208">
        <f t="shared" si="1"/>
        <v>967623.4751790008</v>
      </c>
      <c r="E14" s="209">
        <f t="shared" si="2"/>
        <v>0.4608410662537693</v>
      </c>
      <c r="F14" s="33">
        <v>2305</v>
      </c>
      <c r="G14" s="33" t="s">
        <v>31</v>
      </c>
      <c r="H14" s="33"/>
      <c r="I14" s="33"/>
      <c r="J14" s="33"/>
      <c r="K14" s="14" t="s">
        <v>32</v>
      </c>
      <c r="L14" s="175">
        <f>'[1]Trial Balance'!$H$284</f>
        <v>26977.19</v>
      </c>
      <c r="M14" s="175">
        <f>'[1]Trial Balance'!$L$284</f>
        <v>126162.55073333334</v>
      </c>
      <c r="N14" s="171">
        <f t="shared" si="0"/>
        <v>99185.36073333333</v>
      </c>
      <c r="O14" s="266">
        <f>N14/L14</f>
        <v>3.6766379572273222</v>
      </c>
      <c r="P14" s="34"/>
    </row>
    <row r="15" spans="1:16" s="1" customFormat="1" ht="15.75" thickTop="1">
      <c r="A15" s="85"/>
      <c r="B15" s="34"/>
      <c r="C15" s="34"/>
      <c r="D15" s="34"/>
      <c r="E15" s="38"/>
      <c r="F15" s="33">
        <v>2306</v>
      </c>
      <c r="G15" s="33" t="s">
        <v>33</v>
      </c>
      <c r="H15" s="33"/>
      <c r="I15" s="33"/>
      <c r="J15" s="33"/>
      <c r="K15" s="14" t="s">
        <v>34</v>
      </c>
      <c r="L15" s="175">
        <f>'[1]Trial Balance'!$H$285</f>
        <v>0</v>
      </c>
      <c r="M15" s="175">
        <f>'[1]Trial Balance'!$L$285</f>
        <v>0</v>
      </c>
      <c r="N15" s="171">
        <f t="shared" si="0"/>
        <v>0</v>
      </c>
      <c r="O15" s="266">
        <v>0</v>
      </c>
      <c r="P15" s="34"/>
    </row>
    <row r="16" spans="1:16" s="1" customFormat="1" ht="15">
      <c r="A16" s="34"/>
      <c r="B16" s="34"/>
      <c r="C16" s="34"/>
      <c r="D16" s="34"/>
      <c r="E16" s="38"/>
      <c r="F16" s="33">
        <v>2308</v>
      </c>
      <c r="G16" s="33" t="s">
        <v>35</v>
      </c>
      <c r="H16" s="33"/>
      <c r="I16" s="33"/>
      <c r="J16" s="33"/>
      <c r="K16" s="14" t="s">
        <v>36</v>
      </c>
      <c r="L16" s="175">
        <f>'[1]Trial Balance'!$H$286</f>
        <v>0</v>
      </c>
      <c r="M16" s="175">
        <f>'[1]Trial Balance'!$L$286</f>
        <v>630.6175000000001</v>
      </c>
      <c r="N16" s="171">
        <f t="shared" si="0"/>
        <v>630.6175000000001</v>
      </c>
      <c r="O16" s="266">
        <v>1</v>
      </c>
      <c r="P16" s="34"/>
    </row>
    <row r="17" spans="1:16" s="1" customFormat="1" ht="15">
      <c r="A17" s="34"/>
      <c r="B17" s="210"/>
      <c r="C17" s="210"/>
      <c r="D17" s="210"/>
      <c r="E17" s="210"/>
      <c r="F17" s="33">
        <v>2310</v>
      </c>
      <c r="G17" s="33" t="s">
        <v>37</v>
      </c>
      <c r="H17" s="33"/>
      <c r="I17" s="33"/>
      <c r="J17" s="33"/>
      <c r="K17" s="14" t="s">
        <v>38</v>
      </c>
      <c r="L17" s="175">
        <f>'[1]Trial Balance'!$H$287</f>
        <v>17497.72</v>
      </c>
      <c r="M17" s="175">
        <f>'[1]Trial Balance'!$L$287</f>
        <v>25000</v>
      </c>
      <c r="N17" s="171">
        <f t="shared" si="0"/>
        <v>7502.279999999999</v>
      </c>
      <c r="O17" s="266">
        <f>N17/L17</f>
        <v>0.428757575272664</v>
      </c>
      <c r="P17" s="34"/>
    </row>
    <row r="18" spans="1:16" s="1" customFormat="1" ht="15">
      <c r="A18" s="85"/>
      <c r="B18" s="211"/>
      <c r="C18" s="211"/>
      <c r="D18" s="211"/>
      <c r="E18" s="39"/>
      <c r="F18" s="33">
        <v>2315</v>
      </c>
      <c r="G18" s="33" t="s">
        <v>39</v>
      </c>
      <c r="H18" s="33"/>
      <c r="I18" s="33"/>
      <c r="J18" s="33"/>
      <c r="K18" s="14" t="s">
        <v>40</v>
      </c>
      <c r="L18" s="175">
        <f>'[1]Trial Balance'!$H$288</f>
        <v>17456.27</v>
      </c>
      <c r="M18" s="175">
        <f>'[1]Trial Balance'!$L$288</f>
        <v>19932.9411</v>
      </c>
      <c r="N18" s="171">
        <f t="shared" si="0"/>
        <v>2476.6710999999996</v>
      </c>
      <c r="O18" s="266">
        <f>N18/L18</f>
        <v>0.14187859720318255</v>
      </c>
      <c r="P18" s="34"/>
    </row>
    <row r="19" spans="1:16" s="1" customFormat="1" ht="15">
      <c r="A19" s="85"/>
      <c r="B19" s="211"/>
      <c r="C19" s="211"/>
      <c r="D19" s="211"/>
      <c r="E19" s="39"/>
      <c r="F19" s="33">
        <v>2320</v>
      </c>
      <c r="G19" s="33" t="s">
        <v>41</v>
      </c>
      <c r="H19" s="33"/>
      <c r="I19" s="33"/>
      <c r="J19" s="33"/>
      <c r="K19" s="14" t="s">
        <v>42</v>
      </c>
      <c r="L19" s="175">
        <f>'[1]Trial Balance'!$H$289</f>
        <v>0</v>
      </c>
      <c r="M19" s="175">
        <f>'[1]Trial Balance'!$L$289</f>
        <v>0</v>
      </c>
      <c r="N19" s="171">
        <f t="shared" si="0"/>
        <v>0</v>
      </c>
      <c r="O19" s="266">
        <v>0</v>
      </c>
      <c r="P19" s="34"/>
    </row>
    <row r="20" spans="1:16" s="1" customFormat="1" ht="15">
      <c r="A20" s="85"/>
      <c r="B20" s="211"/>
      <c r="C20" s="211"/>
      <c r="D20" s="211"/>
      <c r="E20" s="39"/>
      <c r="F20" s="33">
        <v>2325</v>
      </c>
      <c r="G20" s="33" t="s">
        <v>43</v>
      </c>
      <c r="H20" s="33"/>
      <c r="I20" s="33"/>
      <c r="J20" s="33"/>
      <c r="K20" s="14" t="s">
        <v>44</v>
      </c>
      <c r="L20" s="175">
        <f>'[1]Trial Balance'!$H$290</f>
        <v>0</v>
      </c>
      <c r="M20" s="175">
        <f>'[1]Trial Balance'!$L$290</f>
        <v>0</v>
      </c>
      <c r="N20" s="171">
        <f t="shared" si="0"/>
        <v>0</v>
      </c>
      <c r="O20" s="266">
        <v>0</v>
      </c>
      <c r="P20" s="34"/>
    </row>
    <row r="21" spans="1:16" s="1" customFormat="1" ht="15">
      <c r="A21" s="85"/>
      <c r="B21" s="211"/>
      <c r="C21" s="211"/>
      <c r="D21" s="211"/>
      <c r="E21" s="39"/>
      <c r="F21" s="33"/>
      <c r="G21" s="33"/>
      <c r="H21" s="33"/>
      <c r="I21" s="33"/>
      <c r="J21" s="33"/>
      <c r="K21" s="14" t="s">
        <v>45</v>
      </c>
      <c r="L21" s="175">
        <f>'[1]Trial Balance'!$H$291</f>
        <v>0</v>
      </c>
      <c r="M21" s="175">
        <f>'[1]Trial Balance'!$L$291</f>
        <v>0</v>
      </c>
      <c r="N21" s="171">
        <f t="shared" si="0"/>
        <v>0</v>
      </c>
      <c r="O21" s="266">
        <v>0</v>
      </c>
      <c r="P21" s="34"/>
    </row>
    <row r="22" spans="1:16" s="1" customFormat="1" ht="15">
      <c r="A22" s="85"/>
      <c r="B22" s="211"/>
      <c r="C22" s="211"/>
      <c r="D22" s="211"/>
      <c r="E22" s="39"/>
      <c r="F22" s="33">
        <v>2330</v>
      </c>
      <c r="G22" s="33" t="s">
        <v>46</v>
      </c>
      <c r="H22" s="33"/>
      <c r="I22" s="33"/>
      <c r="J22" s="33"/>
      <c r="K22" s="14" t="s">
        <v>47</v>
      </c>
      <c r="L22" s="175">
        <f>'[1]Trial Balance'!$H$292</f>
        <v>0</v>
      </c>
      <c r="M22" s="175">
        <f>'[1]Trial Balance'!$L$292</f>
        <v>31316.120000000003</v>
      </c>
      <c r="N22" s="171">
        <f t="shared" si="0"/>
        <v>31316.120000000003</v>
      </c>
      <c r="O22" s="266">
        <v>1</v>
      </c>
      <c r="P22" s="34"/>
    </row>
    <row r="23" spans="1:16" s="1" customFormat="1" ht="15">
      <c r="A23" s="85"/>
      <c r="B23" s="212"/>
      <c r="C23" s="212"/>
      <c r="D23" s="212"/>
      <c r="E23" s="213"/>
      <c r="F23" s="33">
        <v>2335</v>
      </c>
      <c r="G23" s="33" t="s">
        <v>48</v>
      </c>
      <c r="H23" s="33"/>
      <c r="I23" s="33"/>
      <c r="J23" s="33"/>
      <c r="K23" s="14" t="s">
        <v>49</v>
      </c>
      <c r="L23" s="175">
        <f>'[1]Trial Balance'!$H$293</f>
        <v>0</v>
      </c>
      <c r="M23" s="175">
        <f>'[1]Trial Balance'!$L$293</f>
        <v>0</v>
      </c>
      <c r="N23" s="171">
        <f t="shared" si="0"/>
        <v>0</v>
      </c>
      <c r="O23" s="266">
        <v>0</v>
      </c>
      <c r="P23" s="34"/>
    </row>
    <row r="24" spans="1:16" s="1" customFormat="1" ht="15.75" customHeight="1">
      <c r="A24" s="85"/>
      <c r="B24" s="34"/>
      <c r="C24" s="34"/>
      <c r="D24" s="34"/>
      <c r="E24" s="38"/>
      <c r="F24" s="33">
        <v>2340</v>
      </c>
      <c r="G24" s="33" t="s">
        <v>51</v>
      </c>
      <c r="H24" s="33"/>
      <c r="I24" s="33"/>
      <c r="J24" s="33"/>
      <c r="K24" s="14" t="s">
        <v>52</v>
      </c>
      <c r="L24" s="175">
        <f>'[1]Trial Balance'!$H$294</f>
        <v>0</v>
      </c>
      <c r="M24" s="175">
        <f>'[1]Trial Balance'!$L$294</f>
        <v>77.25</v>
      </c>
      <c r="N24" s="171">
        <f t="shared" si="0"/>
        <v>77.25</v>
      </c>
      <c r="O24" s="266">
        <v>1</v>
      </c>
      <c r="P24" s="34"/>
    </row>
    <row r="25" spans="1:16" s="1" customFormat="1" ht="15">
      <c r="A25" s="34"/>
      <c r="B25" s="34"/>
      <c r="C25" s="34"/>
      <c r="D25" s="34"/>
      <c r="E25" s="38"/>
      <c r="F25" s="33">
        <v>2345</v>
      </c>
      <c r="G25" s="33" t="s">
        <v>53</v>
      </c>
      <c r="H25" s="33"/>
      <c r="I25" s="33"/>
      <c r="J25" s="33"/>
      <c r="K25" s="14" t="s">
        <v>54</v>
      </c>
      <c r="L25" s="175">
        <f>'[1]Trial Balance'!$H$295</f>
        <v>4423.56</v>
      </c>
      <c r="M25" s="175">
        <f>'[1]Trial Balance'!$L$295</f>
        <v>4692.954804</v>
      </c>
      <c r="N25" s="171">
        <f t="shared" si="0"/>
        <v>269.39480399999957</v>
      </c>
      <c r="O25" s="266">
        <f>N25/L25</f>
        <v>0.0608999999999999</v>
      </c>
      <c r="P25" s="34"/>
    </row>
    <row r="26" spans="1:16" s="1" customFormat="1" ht="15">
      <c r="A26" s="34"/>
      <c r="B26" s="210"/>
      <c r="C26" s="210"/>
      <c r="D26" s="210"/>
      <c r="E26" s="210"/>
      <c r="F26" s="33"/>
      <c r="G26" s="33"/>
      <c r="H26" s="33"/>
      <c r="I26" s="33"/>
      <c r="J26" s="33"/>
      <c r="K26" s="14" t="s">
        <v>56</v>
      </c>
      <c r="L26" s="175">
        <f>'[1]Trial Balance'!$H$296</f>
        <v>0</v>
      </c>
      <c r="M26" s="175">
        <f>'[1]Trial Balance'!$L$296</f>
        <v>0</v>
      </c>
      <c r="N26" s="171">
        <f t="shared" si="0"/>
        <v>0</v>
      </c>
      <c r="O26" s="266">
        <v>0</v>
      </c>
      <c r="P26" s="34"/>
    </row>
    <row r="27" spans="1:16" s="1" customFormat="1" ht="15">
      <c r="A27" s="85"/>
      <c r="B27" s="211"/>
      <c r="C27" s="211"/>
      <c r="D27" s="211"/>
      <c r="E27" s="39"/>
      <c r="F27" s="33"/>
      <c r="G27" s="33"/>
      <c r="H27" s="33"/>
      <c r="I27" s="33"/>
      <c r="J27" s="33"/>
      <c r="K27" s="26" t="s">
        <v>57</v>
      </c>
      <c r="L27" s="175">
        <f>'[1]Trial Balance'!$H$297</f>
        <v>0</v>
      </c>
      <c r="M27" s="175">
        <f>'[1]Trial Balance'!$L$297</f>
        <v>0</v>
      </c>
      <c r="N27" s="171">
        <f t="shared" si="0"/>
        <v>0</v>
      </c>
      <c r="O27" s="266">
        <v>0</v>
      </c>
      <c r="P27" s="34"/>
    </row>
    <row r="28" spans="1:16" s="1" customFormat="1" ht="15">
      <c r="A28" s="85"/>
      <c r="B28" s="211"/>
      <c r="C28" s="211"/>
      <c r="D28" s="211"/>
      <c r="E28" s="39"/>
      <c r="F28" s="33">
        <v>2350</v>
      </c>
      <c r="G28" s="33" t="s">
        <v>58</v>
      </c>
      <c r="H28" s="33"/>
      <c r="I28" s="33"/>
      <c r="J28" s="33"/>
      <c r="K28" s="14" t="s">
        <v>59</v>
      </c>
      <c r="L28" s="175">
        <f>'[1]Trial Balance'!$H$298</f>
        <v>0</v>
      </c>
      <c r="M28" s="175">
        <f>'[1]Trial Balance'!$L$298</f>
        <v>0</v>
      </c>
      <c r="N28" s="171">
        <f t="shared" si="0"/>
        <v>0</v>
      </c>
      <c r="O28" s="262">
        <v>0</v>
      </c>
      <c r="P28" s="34"/>
    </row>
    <row r="29" spans="1:16" s="1" customFormat="1" ht="15">
      <c r="A29" s="85"/>
      <c r="B29" s="211"/>
      <c r="C29" s="211"/>
      <c r="D29" s="211"/>
      <c r="E29" s="39"/>
      <c r="F29" s="33"/>
      <c r="G29" s="33"/>
      <c r="H29" s="214"/>
      <c r="I29" s="33"/>
      <c r="J29" s="33"/>
      <c r="K29" s="28" t="s">
        <v>60</v>
      </c>
      <c r="L29" s="30">
        <f>SUM(L6:L28)</f>
        <v>415820.95</v>
      </c>
      <c r="M29" s="30">
        <f>SUM(M6:M28)</f>
        <v>879396.1671413335</v>
      </c>
      <c r="N29" s="179">
        <f t="shared" si="0"/>
        <v>463575.21714133344</v>
      </c>
      <c r="O29" s="266">
        <f>N29/L29</f>
        <v>1.114843340965224</v>
      </c>
      <c r="P29" s="34"/>
    </row>
    <row r="30" spans="1:16" s="1" customFormat="1" ht="15">
      <c r="A30" s="85"/>
      <c r="B30" s="211"/>
      <c r="C30" s="211"/>
      <c r="D30" s="211"/>
      <c r="E30" s="39"/>
      <c r="F30" s="33"/>
      <c r="G30" s="33"/>
      <c r="H30" s="214"/>
      <c r="I30" s="33"/>
      <c r="J30" s="33"/>
      <c r="K30" s="192"/>
      <c r="L30" s="13"/>
      <c r="M30" s="13"/>
      <c r="N30" s="67"/>
      <c r="O30" s="267"/>
      <c r="P30" s="34"/>
    </row>
    <row r="31" spans="1:16" s="1" customFormat="1" ht="30">
      <c r="A31" s="85"/>
      <c r="B31" s="211"/>
      <c r="C31" s="211"/>
      <c r="D31" s="211"/>
      <c r="E31" s="39"/>
      <c r="F31" s="33"/>
      <c r="G31" s="33"/>
      <c r="H31" s="33"/>
      <c r="I31" s="33"/>
      <c r="J31" s="33"/>
      <c r="K31" s="12" t="s">
        <v>18</v>
      </c>
      <c r="L31" s="10" t="s">
        <v>171</v>
      </c>
      <c r="M31" s="10" t="s">
        <v>177</v>
      </c>
      <c r="N31" s="10" t="s">
        <v>12</v>
      </c>
      <c r="O31" s="265" t="s">
        <v>13</v>
      </c>
      <c r="P31" s="34"/>
    </row>
    <row r="32" spans="1:16" s="1" customFormat="1" ht="15">
      <c r="A32" s="85"/>
      <c r="B32" s="212"/>
      <c r="C32" s="212"/>
      <c r="D32" s="212"/>
      <c r="E32" s="178"/>
      <c r="F32" s="33">
        <v>0</v>
      </c>
      <c r="G32" s="33" t="s">
        <v>61</v>
      </c>
      <c r="H32" s="33"/>
      <c r="I32" s="33"/>
      <c r="J32" s="33"/>
      <c r="K32" s="14" t="s">
        <v>62</v>
      </c>
      <c r="L32" s="175">
        <f>'[1]Trial Balance'!$H$300</f>
        <v>0</v>
      </c>
      <c r="M32" s="175">
        <f>'[1]Trial Balance'!$L$300</f>
        <v>52312.5</v>
      </c>
      <c r="N32" s="171">
        <f t="shared" si="0"/>
        <v>52312.5</v>
      </c>
      <c r="O32" s="266">
        <v>1</v>
      </c>
      <c r="P32" s="34"/>
    </row>
    <row r="33" spans="1:16" s="1" customFormat="1" ht="15">
      <c r="A33" s="85"/>
      <c r="B33" s="34"/>
      <c r="C33" s="34"/>
      <c r="D33" s="34"/>
      <c r="E33" s="38"/>
      <c r="F33" s="33">
        <v>2405</v>
      </c>
      <c r="G33" s="33" t="s">
        <v>63</v>
      </c>
      <c r="H33" s="33"/>
      <c r="I33" s="33"/>
      <c r="J33" s="33"/>
      <c r="K33" s="14" t="s">
        <v>64</v>
      </c>
      <c r="L33" s="175">
        <f>'[1]Trial Balance'!$H$301</f>
        <v>0</v>
      </c>
      <c r="M33" s="175">
        <f>'[1]Trial Balance'!$L$301</f>
        <v>0</v>
      </c>
      <c r="N33" s="171">
        <f t="shared" si="0"/>
        <v>0</v>
      </c>
      <c r="O33" s="266">
        <v>0</v>
      </c>
      <c r="P33" s="34"/>
    </row>
    <row r="34" spans="1:16" s="1" customFormat="1" ht="15">
      <c r="A34" s="34"/>
      <c r="B34" s="34"/>
      <c r="C34" s="34"/>
      <c r="D34" s="34"/>
      <c r="E34" s="38"/>
      <c r="F34" s="33">
        <v>2410</v>
      </c>
      <c r="G34" s="33" t="s">
        <v>65</v>
      </c>
      <c r="H34" s="33"/>
      <c r="I34" s="33"/>
      <c r="J34" s="33"/>
      <c r="K34" s="14" t="s">
        <v>66</v>
      </c>
      <c r="L34" s="175">
        <f>'[1]Trial Balance'!$H$302</f>
        <v>0</v>
      </c>
      <c r="M34" s="175">
        <f>'[1]Trial Balance'!$L$302</f>
        <v>0</v>
      </c>
      <c r="N34" s="171">
        <f t="shared" si="0"/>
        <v>0</v>
      </c>
      <c r="O34" s="266">
        <v>0</v>
      </c>
      <c r="P34" s="34"/>
    </row>
    <row r="35" spans="1:16" s="1" customFormat="1" ht="15">
      <c r="A35" s="34"/>
      <c r="B35" s="210"/>
      <c r="C35" s="210"/>
      <c r="D35" s="210"/>
      <c r="E35" s="210"/>
      <c r="F35" s="33">
        <v>2415</v>
      </c>
      <c r="G35" s="33" t="s">
        <v>68</v>
      </c>
      <c r="H35" s="33"/>
      <c r="I35" s="33"/>
      <c r="J35" s="33"/>
      <c r="K35" s="14" t="s">
        <v>69</v>
      </c>
      <c r="L35" s="175">
        <f>'[1]Trial Balance'!$H$303</f>
        <v>0</v>
      </c>
      <c r="M35" s="175">
        <f>'[1]Trial Balance'!$L$303</f>
        <v>0</v>
      </c>
      <c r="N35" s="171">
        <f t="shared" si="0"/>
        <v>0</v>
      </c>
      <c r="O35" s="266">
        <v>0</v>
      </c>
      <c r="P35" s="34"/>
    </row>
    <row r="36" spans="1:16" s="1" customFormat="1" ht="15">
      <c r="A36" s="85"/>
      <c r="B36" s="211"/>
      <c r="C36" s="211"/>
      <c r="D36" s="211"/>
      <c r="E36" s="39"/>
      <c r="F36" s="33">
        <v>2425</v>
      </c>
      <c r="G36" s="33" t="s">
        <v>70</v>
      </c>
      <c r="H36" s="33"/>
      <c r="I36" s="33"/>
      <c r="J36" s="33"/>
      <c r="K36" s="14" t="s">
        <v>71</v>
      </c>
      <c r="L36" s="175">
        <f>'[1]Trial Balance'!$H$304</f>
        <v>36678.38</v>
      </c>
      <c r="M36" s="175">
        <f>'[1]Trial Balance'!$L$304</f>
        <v>41786.823342</v>
      </c>
      <c r="N36" s="171">
        <f t="shared" si="0"/>
        <v>5108.443342000006</v>
      </c>
      <c r="O36" s="266">
        <f>N36/L36</f>
        <v>0.13927668948301442</v>
      </c>
      <c r="P36" s="34"/>
    </row>
    <row r="37" spans="1:16" s="1" customFormat="1" ht="15">
      <c r="A37" s="85"/>
      <c r="B37" s="211"/>
      <c r="C37" s="211"/>
      <c r="D37" s="211"/>
      <c r="E37" s="39"/>
      <c r="F37" s="33">
        <v>2435</v>
      </c>
      <c r="G37" s="33" t="s">
        <v>72</v>
      </c>
      <c r="H37" s="33"/>
      <c r="I37" s="33"/>
      <c r="J37" s="33"/>
      <c r="K37" s="14" t="s">
        <v>73</v>
      </c>
      <c r="L37" s="175">
        <f>'[1]Trial Balance'!$H$305</f>
        <v>0</v>
      </c>
      <c r="M37" s="175">
        <f>'[1]Trial Balance'!$L$305</f>
        <v>10000</v>
      </c>
      <c r="N37" s="171">
        <f t="shared" si="0"/>
        <v>10000</v>
      </c>
      <c r="O37" s="266">
        <v>1</v>
      </c>
      <c r="P37" s="34"/>
    </row>
    <row r="38" spans="1:16" s="1" customFormat="1" ht="15">
      <c r="A38" s="85"/>
      <c r="B38" s="211"/>
      <c r="C38" s="211"/>
      <c r="D38" s="211"/>
      <c r="E38" s="39"/>
      <c r="F38" s="33">
        <v>0</v>
      </c>
      <c r="G38" s="33" t="s">
        <v>74</v>
      </c>
      <c r="H38" s="33"/>
      <c r="I38" s="33"/>
      <c r="J38" s="33"/>
      <c r="K38" s="14" t="s">
        <v>75</v>
      </c>
      <c r="L38" s="175">
        <f>'[1]Trial Balance'!$H$306</f>
        <v>0</v>
      </c>
      <c r="M38" s="175">
        <f>'[1]Trial Balance'!$L$306</f>
        <v>3000</v>
      </c>
      <c r="N38" s="171">
        <f t="shared" si="0"/>
        <v>3000</v>
      </c>
      <c r="O38" s="266">
        <v>1</v>
      </c>
      <c r="P38" s="34"/>
    </row>
    <row r="39" spans="1:16" s="1" customFormat="1" ht="15">
      <c r="A39" s="85"/>
      <c r="B39" s="211"/>
      <c r="C39" s="211"/>
      <c r="D39" s="211"/>
      <c r="E39" s="39"/>
      <c r="F39" s="33">
        <v>2505</v>
      </c>
      <c r="G39" s="33" t="s">
        <v>76</v>
      </c>
      <c r="H39" s="33"/>
      <c r="I39" s="33"/>
      <c r="J39" s="33"/>
      <c r="K39" s="14" t="s">
        <v>77</v>
      </c>
      <c r="L39" s="175">
        <f>'[1]Trial Balance'!$H$307</f>
        <v>69204.25</v>
      </c>
      <c r="M39" s="175">
        <f>'[1]Trial Balance'!$L$307</f>
        <v>45053.931725</v>
      </c>
      <c r="N39" s="171">
        <f t="shared" si="0"/>
        <v>-24150.318274999998</v>
      </c>
      <c r="O39" s="266">
        <f>N39/L39</f>
        <v>-0.3489716061513563</v>
      </c>
      <c r="P39" s="34"/>
    </row>
    <row r="40" spans="1:16" s="1" customFormat="1" ht="15">
      <c r="A40" s="85"/>
      <c r="B40" s="211"/>
      <c r="C40" s="211"/>
      <c r="D40" s="211"/>
      <c r="E40" s="39"/>
      <c r="F40" s="33">
        <v>2510</v>
      </c>
      <c r="G40" s="33" t="s">
        <v>78</v>
      </c>
      <c r="H40" s="33"/>
      <c r="I40" s="33"/>
      <c r="J40" s="33"/>
      <c r="K40" s="14" t="s">
        <v>79</v>
      </c>
      <c r="L40" s="175">
        <f>'[1]Trial Balance'!$H$308</f>
        <v>0</v>
      </c>
      <c r="M40" s="175">
        <f>'[1]Trial Balance'!$L$308</f>
        <v>0</v>
      </c>
      <c r="N40" s="171">
        <f t="shared" si="0"/>
        <v>0</v>
      </c>
      <c r="O40" s="266">
        <v>0</v>
      </c>
      <c r="P40" s="34"/>
    </row>
    <row r="41" spans="1:16" s="1" customFormat="1" ht="15">
      <c r="A41" s="85"/>
      <c r="B41" s="212"/>
      <c r="C41" s="212"/>
      <c r="D41" s="212"/>
      <c r="E41" s="178"/>
      <c r="F41" s="33">
        <v>2515</v>
      </c>
      <c r="G41" s="33" t="s">
        <v>80</v>
      </c>
      <c r="H41" s="33"/>
      <c r="I41" s="33"/>
      <c r="J41" s="33"/>
      <c r="K41" s="14" t="s">
        <v>81</v>
      </c>
      <c r="L41" s="175">
        <f>'[1]Trial Balance'!$H$309</f>
        <v>0</v>
      </c>
      <c r="M41" s="175">
        <f>'[1]Trial Balance'!$L$309</f>
        <v>0</v>
      </c>
      <c r="N41" s="171">
        <f t="shared" si="0"/>
        <v>0</v>
      </c>
      <c r="O41" s="266">
        <v>0</v>
      </c>
      <c r="P41" s="34"/>
    </row>
    <row r="42" spans="1:16" s="1" customFormat="1" ht="15">
      <c r="A42" s="85"/>
      <c r="B42" s="34"/>
      <c r="C42" s="34"/>
      <c r="D42" s="34"/>
      <c r="E42" s="38"/>
      <c r="F42" s="33">
        <v>2520</v>
      </c>
      <c r="G42" s="33" t="s">
        <v>82</v>
      </c>
      <c r="H42" s="33"/>
      <c r="I42" s="33"/>
      <c r="J42" s="33"/>
      <c r="K42" s="14" t="s">
        <v>83</v>
      </c>
      <c r="L42" s="175">
        <f>'[1]Trial Balance'!$H$310</f>
        <v>8699.33</v>
      </c>
      <c r="M42" s="175">
        <f>'[1]Trial Balance'!$L$310</f>
        <v>9229.119197</v>
      </c>
      <c r="N42" s="171">
        <f t="shared" si="0"/>
        <v>529.7891970000001</v>
      </c>
      <c r="O42" s="266">
        <f>N42/L42</f>
        <v>0.06090000000000001</v>
      </c>
      <c r="P42" s="34"/>
    </row>
    <row r="43" spans="1:16" s="1" customFormat="1" ht="15">
      <c r="A43" s="34"/>
      <c r="B43" s="34"/>
      <c r="C43" s="34"/>
      <c r="D43" s="34"/>
      <c r="E43" s="38"/>
      <c r="F43" s="33">
        <v>2525</v>
      </c>
      <c r="G43" s="33" t="s">
        <v>84</v>
      </c>
      <c r="H43" s="33"/>
      <c r="I43" s="33"/>
      <c r="J43" s="33"/>
      <c r="K43" s="14" t="s">
        <v>85</v>
      </c>
      <c r="L43" s="175">
        <f>'[1]Trial Balance'!$H$311</f>
        <v>30881.41</v>
      </c>
      <c r="M43" s="175">
        <f>'[1]Trial Balance'!$L$311</f>
        <v>36138.89685</v>
      </c>
      <c r="N43" s="171">
        <f t="shared" si="0"/>
        <v>5257.4868499999975</v>
      </c>
      <c r="O43" s="266">
        <f>N43/L43</f>
        <v>0.17024762956095585</v>
      </c>
      <c r="P43" s="34"/>
    </row>
    <row r="44" spans="1:16" s="1" customFormat="1" ht="15">
      <c r="A44" s="34"/>
      <c r="B44" s="210"/>
      <c r="C44" s="210"/>
      <c r="D44" s="210"/>
      <c r="E44" s="210"/>
      <c r="F44" s="33"/>
      <c r="G44" s="33"/>
      <c r="H44" s="33"/>
      <c r="I44" s="33"/>
      <c r="J44" s="33"/>
      <c r="K44" s="14" t="s">
        <v>86</v>
      </c>
      <c r="L44" s="175">
        <f>'[1]Trial Balance'!$H$312</f>
        <v>0</v>
      </c>
      <c r="M44" s="175">
        <f>'[1]Trial Balance'!$L$312</f>
        <v>0</v>
      </c>
      <c r="N44" s="171">
        <f t="shared" si="0"/>
        <v>0</v>
      </c>
      <c r="O44" s="266">
        <v>0</v>
      </c>
      <c r="P44" s="34"/>
    </row>
    <row r="45" spans="1:16" s="1" customFormat="1" ht="15">
      <c r="A45" s="85"/>
      <c r="B45" s="211"/>
      <c r="C45" s="211"/>
      <c r="D45" s="211"/>
      <c r="E45" s="39"/>
      <c r="F45" s="33"/>
      <c r="G45" s="33"/>
      <c r="H45" s="33"/>
      <c r="I45" s="33"/>
      <c r="J45" s="33"/>
      <c r="K45" s="14" t="s">
        <v>87</v>
      </c>
      <c r="L45" s="175">
        <f>'[1]Trial Balance'!$H$313</f>
        <v>0</v>
      </c>
      <c r="M45" s="175">
        <f>'[1]Trial Balance'!$L$313</f>
        <v>0</v>
      </c>
      <c r="N45" s="171">
        <f t="shared" si="0"/>
        <v>0</v>
      </c>
      <c r="O45" s="266">
        <v>0</v>
      </c>
      <c r="P45" s="34"/>
    </row>
    <row r="46" spans="1:16" s="1" customFormat="1" ht="15">
      <c r="A46" s="85"/>
      <c r="B46" s="211"/>
      <c r="C46" s="211"/>
      <c r="D46" s="211"/>
      <c r="E46" s="39"/>
      <c r="F46" s="33"/>
      <c r="G46" s="33"/>
      <c r="H46" s="33"/>
      <c r="I46" s="33"/>
      <c r="J46" s="33"/>
      <c r="K46" s="14" t="s">
        <v>88</v>
      </c>
      <c r="L46" s="175">
        <f>'[1]Trial Balance'!$H$314</f>
        <v>0</v>
      </c>
      <c r="M46" s="175">
        <f>'[1]Trial Balance'!$L$314</f>
        <v>0</v>
      </c>
      <c r="N46" s="171">
        <f t="shared" si="0"/>
        <v>0</v>
      </c>
      <c r="O46" s="266">
        <v>0</v>
      </c>
      <c r="P46" s="34"/>
    </row>
    <row r="47" spans="1:16" s="1" customFormat="1" ht="15">
      <c r="A47" s="85"/>
      <c r="B47" s="211"/>
      <c r="C47" s="211"/>
      <c r="D47" s="211"/>
      <c r="E47" s="39"/>
      <c r="F47" s="33">
        <v>2530</v>
      </c>
      <c r="G47" s="33" t="s">
        <v>89</v>
      </c>
      <c r="H47" s="33"/>
      <c r="I47" s="33"/>
      <c r="J47" s="33"/>
      <c r="K47" s="14" t="s">
        <v>90</v>
      </c>
      <c r="L47" s="175">
        <f>'[1]Trial Balance'!$H$315</f>
        <v>79848.32</v>
      </c>
      <c r="M47" s="175">
        <f>'[1]Trial Balance'!$L$315</f>
        <v>194264.250696</v>
      </c>
      <c r="N47" s="171">
        <f t="shared" si="0"/>
        <v>114415.930696</v>
      </c>
      <c r="O47" s="266">
        <f>N47/L47</f>
        <v>1.432915942326651</v>
      </c>
      <c r="P47" s="34"/>
    </row>
    <row r="48" spans="1:16" s="1" customFormat="1" ht="15">
      <c r="A48" s="85"/>
      <c r="B48" s="211"/>
      <c r="C48" s="211"/>
      <c r="D48" s="211"/>
      <c r="E48" s="39"/>
      <c r="F48" s="33"/>
      <c r="G48" s="33"/>
      <c r="H48" s="33"/>
      <c r="I48" s="33"/>
      <c r="J48" s="33"/>
      <c r="K48" s="14" t="s">
        <v>91</v>
      </c>
      <c r="L48" s="175">
        <f>'[1]Trial Balance'!$H$316</f>
        <v>0</v>
      </c>
      <c r="M48" s="175">
        <f>'[1]Trial Balance'!$L$316</f>
        <v>0</v>
      </c>
      <c r="N48" s="171">
        <f t="shared" si="0"/>
        <v>0</v>
      </c>
      <c r="O48" s="266">
        <v>0</v>
      </c>
      <c r="P48" s="34"/>
    </row>
    <row r="49" spans="1:15" ht="20.25" customHeight="1">
      <c r="A49" s="85"/>
      <c r="B49" s="211"/>
      <c r="C49" s="211"/>
      <c r="D49" s="211"/>
      <c r="E49" s="39"/>
      <c r="K49" s="14" t="s">
        <v>92</v>
      </c>
      <c r="L49" s="175">
        <f>'[1]Trial Balance'!$H$317</f>
        <v>0</v>
      </c>
      <c r="M49" s="175">
        <f>'[1]Trial Balance'!$L$317</f>
        <v>0</v>
      </c>
      <c r="N49" s="171">
        <f t="shared" si="0"/>
        <v>0</v>
      </c>
      <c r="O49" s="262">
        <v>0</v>
      </c>
    </row>
    <row r="50" spans="1:115" s="33" customFormat="1" ht="20.25" customHeight="1">
      <c r="A50" s="85"/>
      <c r="B50" s="212"/>
      <c r="C50" s="212"/>
      <c r="D50" s="212"/>
      <c r="E50" s="178"/>
      <c r="K50" s="28" t="s">
        <v>60</v>
      </c>
      <c r="L50" s="30">
        <f>SUM(L32:L49)</f>
        <v>225311.69</v>
      </c>
      <c r="M50" s="30">
        <f>SUM(M32:M49)</f>
        <v>391785.52180999995</v>
      </c>
      <c r="N50" s="171">
        <f t="shared" si="0"/>
        <v>166473.83180999995</v>
      </c>
      <c r="O50" s="266">
        <f>N50/L50</f>
        <v>0.7388601621602499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</row>
    <row r="51" spans="1:15" ht="20.25" customHeight="1">
      <c r="A51" s="85"/>
      <c r="B51" s="34"/>
      <c r="C51" s="34"/>
      <c r="D51" s="34"/>
      <c r="E51" s="34"/>
      <c r="K51" s="192"/>
      <c r="N51" s="67"/>
      <c r="O51" s="267"/>
    </row>
    <row r="52" spans="1:15" ht="30">
      <c r="A52" s="34"/>
      <c r="B52" s="34"/>
      <c r="C52" s="34"/>
      <c r="D52" s="34"/>
      <c r="E52" s="34"/>
      <c r="K52" s="12" t="s">
        <v>93</v>
      </c>
      <c r="L52" s="10" t="s">
        <v>171</v>
      </c>
      <c r="M52" s="10" t="s">
        <v>177</v>
      </c>
      <c r="N52" s="10" t="s">
        <v>12</v>
      </c>
      <c r="O52" s="265" t="s">
        <v>13</v>
      </c>
    </row>
    <row r="53" spans="1:15" ht="20.25" customHeight="1">
      <c r="A53" s="34"/>
      <c r="B53" s="34"/>
      <c r="C53" s="34"/>
      <c r="D53" s="34"/>
      <c r="E53" s="34"/>
      <c r="F53" s="33">
        <v>2550</v>
      </c>
      <c r="G53" s="33" t="s">
        <v>94</v>
      </c>
      <c r="K53" s="14" t="s">
        <v>95</v>
      </c>
      <c r="L53" s="175">
        <f>'[1]Trial Balance'!$H$323</f>
        <v>0</v>
      </c>
      <c r="M53" s="175">
        <f>'[1]Trial Balance'!$L$323</f>
        <v>0</v>
      </c>
      <c r="N53" s="171">
        <f t="shared" si="0"/>
        <v>0</v>
      </c>
      <c r="O53" s="263">
        <v>0</v>
      </c>
    </row>
    <row r="54" spans="1:15" ht="20.25" customHeight="1">
      <c r="A54" s="203"/>
      <c r="B54" s="34"/>
      <c r="C54" s="34"/>
      <c r="D54" s="34"/>
      <c r="E54" s="34"/>
      <c r="F54" s="33">
        <v>0</v>
      </c>
      <c r="G54" s="33" t="s">
        <v>96</v>
      </c>
      <c r="K54" s="14" t="s">
        <v>97</v>
      </c>
      <c r="L54" s="175">
        <f>'[1]Trial Balance'!$H$324</f>
        <v>62889.54</v>
      </c>
      <c r="M54" s="175">
        <f>'[1]Trial Balance'!$L$324</f>
        <v>17191.9512</v>
      </c>
      <c r="N54" s="171">
        <f t="shared" si="0"/>
        <v>-45697.5888</v>
      </c>
      <c r="O54" s="266">
        <f>N54/L54</f>
        <v>-0.7266325815071949</v>
      </c>
    </row>
    <row r="55" spans="1:15" ht="20.25" customHeight="1">
      <c r="A55" s="85"/>
      <c r="B55" s="84"/>
      <c r="C55" s="34"/>
      <c r="D55" s="34"/>
      <c r="E55" s="34"/>
      <c r="F55" s="33">
        <v>3005</v>
      </c>
      <c r="G55" s="33" t="s">
        <v>98</v>
      </c>
      <c r="K55" s="14" t="s">
        <v>99</v>
      </c>
      <c r="L55" s="175">
        <f>'[1]Trial Balance'!$H$325</f>
        <v>126867.12</v>
      </c>
      <c r="M55" s="175">
        <f>'[1]Trial Balance'!$L$325</f>
        <v>131000</v>
      </c>
      <c r="N55" s="171">
        <f t="shared" si="0"/>
        <v>4132.880000000005</v>
      </c>
      <c r="O55" s="266">
        <f>N55/L55</f>
        <v>0.03257644691548137</v>
      </c>
    </row>
    <row r="56" spans="1:15" ht="20.25" customHeight="1">
      <c r="A56" s="34"/>
      <c r="B56" s="39"/>
      <c r="C56" s="34"/>
      <c r="D56" s="34"/>
      <c r="E56" s="34"/>
      <c r="F56" s="33">
        <v>3008</v>
      </c>
      <c r="G56" s="33" t="s">
        <v>100</v>
      </c>
      <c r="K56" s="14" t="s">
        <v>101</v>
      </c>
      <c r="L56" s="175">
        <f>'[1]Trial Balance'!$H$326</f>
        <v>103730.38</v>
      </c>
      <c r="M56" s="175">
        <f>'[1]Trial Balance'!$L$326</f>
        <v>130277.17214200002</v>
      </c>
      <c r="N56" s="171">
        <f t="shared" si="0"/>
        <v>26546.79214200002</v>
      </c>
      <c r="O56" s="266">
        <f>N56/L56</f>
        <v>0.2559210921814807</v>
      </c>
    </row>
    <row r="57" spans="1:15" ht="20.25" customHeight="1">
      <c r="A57" s="34"/>
      <c r="B57" s="39"/>
      <c r="C57" s="34"/>
      <c r="D57" s="34"/>
      <c r="E57" s="34"/>
      <c r="F57" s="33">
        <v>3010</v>
      </c>
      <c r="G57" s="33" t="s">
        <v>102</v>
      </c>
      <c r="K57" s="14" t="s">
        <v>103</v>
      </c>
      <c r="L57" s="175">
        <f>'[1]Trial Balance'!$H$327</f>
        <v>-16.85</v>
      </c>
      <c r="M57" s="175">
        <f>'[1]Trial Balance'!$L$327</f>
        <v>0</v>
      </c>
      <c r="N57" s="171">
        <f t="shared" si="0"/>
        <v>16.85</v>
      </c>
      <c r="O57" s="266">
        <f>N57/L57</f>
        <v>-1</v>
      </c>
    </row>
    <row r="58" spans="1:15" ht="21" customHeight="1">
      <c r="A58" s="34"/>
      <c r="B58" s="39"/>
      <c r="C58" s="34"/>
      <c r="D58" s="34"/>
      <c r="E58" s="34"/>
      <c r="F58" s="33">
        <v>3020</v>
      </c>
      <c r="G58" s="33" t="s">
        <v>104</v>
      </c>
      <c r="K58" s="14" t="s">
        <v>105</v>
      </c>
      <c r="L58" s="175">
        <f>'[1]Trial Balance'!$H$328</f>
        <v>4067.17</v>
      </c>
      <c r="M58" s="175">
        <f>'[1]Trial Balance'!$L$328</f>
        <v>4171.8296</v>
      </c>
      <c r="N58" s="171">
        <f t="shared" si="0"/>
        <v>104.65959999999995</v>
      </c>
      <c r="O58" s="266">
        <f>N58/L58</f>
        <v>0.0257327822539997</v>
      </c>
    </row>
    <row r="59" spans="1:15" ht="47.25" customHeight="1">
      <c r="A59" s="34"/>
      <c r="B59" s="215"/>
      <c r="C59" s="34"/>
      <c r="D59" s="34"/>
      <c r="E59" s="34"/>
      <c r="F59" s="33">
        <v>3022</v>
      </c>
      <c r="G59" s="33" t="s">
        <v>106</v>
      </c>
      <c r="K59" s="14" t="s">
        <v>107</v>
      </c>
      <c r="L59" s="175">
        <f>'[1]Trial Balance'!$H$329</f>
        <v>22681.1</v>
      </c>
      <c r="M59" s="175">
        <f>'[1]Trial Balance'!$L$329</f>
        <v>22544.705233333338</v>
      </c>
      <c r="N59" s="171">
        <f t="shared" si="0"/>
        <v>-136.39476666666087</v>
      </c>
      <c r="O59" s="266">
        <f>N59/L59</f>
        <v>-0.0060135869365533804</v>
      </c>
    </row>
    <row r="60" spans="1:15" ht="20.25" customHeight="1">
      <c r="A60" s="38"/>
      <c r="B60" s="39"/>
      <c r="C60" s="34"/>
      <c r="D60" s="216"/>
      <c r="E60" s="34"/>
      <c r="F60" s="33">
        <v>3026</v>
      </c>
      <c r="G60" s="33" t="s">
        <v>108</v>
      </c>
      <c r="K60" s="14" t="s">
        <v>109</v>
      </c>
      <c r="L60" s="175">
        <f>'[1]Trial Balance'!$H$330</f>
        <v>105260.86</v>
      </c>
      <c r="M60" s="175">
        <f>'[1]Trial Balance'!$L$330</f>
        <v>195112.49062</v>
      </c>
      <c r="N60" s="171">
        <f t="shared" si="0"/>
        <v>89851.63062</v>
      </c>
      <c r="O60" s="262">
        <f>N60/L60</f>
        <v>0.8536091251772026</v>
      </c>
    </row>
    <row r="61" spans="1:15" ht="20.25" customHeight="1">
      <c r="A61" s="38"/>
      <c r="B61" s="39"/>
      <c r="C61" s="34"/>
      <c r="D61" s="34"/>
      <c r="E61" s="34"/>
      <c r="K61" s="28" t="s">
        <v>60</v>
      </c>
      <c r="L61" s="30">
        <f>SUM(L53:L60)</f>
        <v>425479.32</v>
      </c>
      <c r="M61" s="30">
        <f>SUM(M53:M60)</f>
        <v>500298.1487953334</v>
      </c>
      <c r="N61" s="171">
        <f t="shared" si="0"/>
        <v>74818.8287953334</v>
      </c>
      <c r="O61" s="266">
        <f>N61/L61</f>
        <v>0.17584598188070197</v>
      </c>
    </row>
    <row r="62" spans="1:15" ht="20.25" customHeight="1">
      <c r="A62" s="84"/>
      <c r="B62" s="178"/>
      <c r="C62" s="39"/>
      <c r="D62" s="34"/>
      <c r="E62" s="34"/>
      <c r="K62" s="192"/>
      <c r="N62" s="67"/>
      <c r="O62" s="267"/>
    </row>
    <row r="63" spans="1:15" ht="22.5" customHeight="1">
      <c r="A63" s="34"/>
      <c r="B63" s="34"/>
      <c r="C63" s="34"/>
      <c r="D63" s="34"/>
      <c r="E63" s="34"/>
      <c r="K63" s="12" t="s">
        <v>24</v>
      </c>
      <c r="L63" s="10" t="s">
        <v>171</v>
      </c>
      <c r="M63" s="10" t="s">
        <v>177</v>
      </c>
      <c r="N63" s="10" t="s">
        <v>12</v>
      </c>
      <c r="O63" s="265" t="s">
        <v>13</v>
      </c>
    </row>
    <row r="64" spans="1:15" ht="15">
      <c r="A64" s="34"/>
      <c r="B64" s="215"/>
      <c r="C64" s="34"/>
      <c r="D64" s="34"/>
      <c r="E64" s="34"/>
      <c r="F64" s="33">
        <v>3030</v>
      </c>
      <c r="G64" s="33" t="s">
        <v>112</v>
      </c>
      <c r="K64" s="14" t="s">
        <v>113</v>
      </c>
      <c r="L64" s="175">
        <f>'[1]Trial Balance'!$H$332</f>
        <v>0</v>
      </c>
      <c r="M64" s="175">
        <f>'[1]Trial Balance'!$L$332</f>
        <v>0</v>
      </c>
      <c r="N64" s="171">
        <f t="shared" si="0"/>
        <v>0</v>
      </c>
      <c r="O64" s="263">
        <v>0</v>
      </c>
    </row>
    <row r="65" spans="1:16" s="1" customFormat="1" ht="15">
      <c r="A65" s="38"/>
      <c r="B65" s="217"/>
      <c r="C65" s="34"/>
      <c r="D65" s="34"/>
      <c r="E65" s="34"/>
      <c r="F65" s="33">
        <v>3035</v>
      </c>
      <c r="G65" s="33" t="s">
        <v>114</v>
      </c>
      <c r="H65" s="33"/>
      <c r="I65" s="33"/>
      <c r="J65" s="33"/>
      <c r="K65" s="14" t="s">
        <v>115</v>
      </c>
      <c r="L65" s="175">
        <f>'[1]Trial Balance'!$H$333</f>
        <v>13354.54</v>
      </c>
      <c r="M65" s="175">
        <f>'[1]Trial Balance'!$L$333</f>
        <v>14344.648015333336</v>
      </c>
      <c r="N65" s="171">
        <f t="shared" si="0"/>
        <v>990.1080153333351</v>
      </c>
      <c r="O65" s="266">
        <f>N65/L65</f>
        <v>0.07414018119181455</v>
      </c>
      <c r="P65" s="34"/>
    </row>
    <row r="66" spans="1:16" s="1" customFormat="1" ht="15">
      <c r="A66" s="38"/>
      <c r="B66" s="217"/>
      <c r="C66" s="34"/>
      <c r="D66" s="218"/>
      <c r="E66" s="218"/>
      <c r="F66" s="33">
        <v>3040</v>
      </c>
      <c r="G66" s="33" t="s">
        <v>116</v>
      </c>
      <c r="H66" s="33"/>
      <c r="I66" s="33"/>
      <c r="J66" s="33"/>
      <c r="K66" s="14" t="s">
        <v>117</v>
      </c>
      <c r="L66" s="175">
        <f>'[1]Trial Balance'!$H$334</f>
        <v>0</v>
      </c>
      <c r="M66" s="175">
        <f>'[1]Trial Balance'!$L$334</f>
        <v>0</v>
      </c>
      <c r="N66" s="171">
        <f t="shared" si="0"/>
        <v>0</v>
      </c>
      <c r="O66" s="266">
        <v>0</v>
      </c>
      <c r="P66" s="34"/>
    </row>
    <row r="67" spans="1:16" s="1" customFormat="1" ht="15">
      <c r="A67" s="38"/>
      <c r="B67" s="217"/>
      <c r="C67" s="34"/>
      <c r="D67" s="34"/>
      <c r="E67" s="34"/>
      <c r="F67" s="33">
        <v>3045</v>
      </c>
      <c r="G67" s="33" t="s">
        <v>119</v>
      </c>
      <c r="H67" s="33"/>
      <c r="I67" s="33"/>
      <c r="J67" s="33"/>
      <c r="K67" s="14" t="s">
        <v>120</v>
      </c>
      <c r="L67" s="175">
        <f>'[1]Trial Balance'!$H$335</f>
        <v>0</v>
      </c>
      <c r="M67" s="175">
        <f>'[1]Trial Balance'!$L$335</f>
        <v>0</v>
      </c>
      <c r="N67" s="171">
        <f t="shared" si="0"/>
        <v>0</v>
      </c>
      <c r="O67" s="266">
        <v>0</v>
      </c>
      <c r="P67" s="34"/>
    </row>
    <row r="68" spans="1:16" s="1" customFormat="1" ht="15">
      <c r="A68" s="34"/>
      <c r="B68" s="34"/>
      <c r="C68" s="34"/>
      <c r="D68" s="34"/>
      <c r="E68" s="34"/>
      <c r="F68" s="33">
        <v>3046</v>
      </c>
      <c r="G68" s="33" t="s">
        <v>121</v>
      </c>
      <c r="H68" s="33"/>
      <c r="I68" s="33"/>
      <c r="J68" s="33"/>
      <c r="K68" s="14" t="s">
        <v>122</v>
      </c>
      <c r="L68" s="175">
        <f>'[1]Trial Balance'!$H$336</f>
        <v>0</v>
      </c>
      <c r="M68" s="175">
        <f>'[1]Trial Balance'!$L$336</f>
        <v>0</v>
      </c>
      <c r="N68" s="171">
        <f t="shared" si="0"/>
        <v>0</v>
      </c>
      <c r="O68" s="266">
        <v>0</v>
      </c>
      <c r="P68" s="34"/>
    </row>
    <row r="69" spans="1:16" s="1" customFormat="1" ht="15">
      <c r="A69" s="34"/>
      <c r="B69" s="34"/>
      <c r="C69" s="34"/>
      <c r="D69" s="34"/>
      <c r="E69" s="34"/>
      <c r="F69" s="33">
        <v>3047</v>
      </c>
      <c r="G69" s="33" t="s">
        <v>123</v>
      </c>
      <c r="H69" s="33"/>
      <c r="I69" s="33"/>
      <c r="J69" s="33"/>
      <c r="K69" s="14" t="s">
        <v>124</v>
      </c>
      <c r="L69" s="175">
        <f>'[1]Trial Balance'!$H$337</f>
        <v>0</v>
      </c>
      <c r="M69" s="175">
        <f>'[1]Trial Balance'!$L$337</f>
        <v>0</v>
      </c>
      <c r="N69" s="171">
        <f t="shared" si="0"/>
        <v>0</v>
      </c>
      <c r="O69" s="266">
        <v>0</v>
      </c>
      <c r="P69" s="34"/>
    </row>
    <row r="70" spans="1:16" s="1" customFormat="1" ht="15">
      <c r="A70" s="34"/>
      <c r="B70" s="34"/>
      <c r="C70" s="34"/>
      <c r="D70" s="34"/>
      <c r="E70" s="34"/>
      <c r="F70" s="33">
        <v>3048</v>
      </c>
      <c r="G70" s="33" t="s">
        <v>126</v>
      </c>
      <c r="H70" s="33"/>
      <c r="I70" s="33"/>
      <c r="J70" s="33"/>
      <c r="K70" s="14" t="s">
        <v>127</v>
      </c>
      <c r="L70" s="175">
        <f>'[1]Trial Balance'!$H$338</f>
        <v>0</v>
      </c>
      <c r="M70" s="175">
        <f>'[1]Trial Balance'!$L$338</f>
        <v>0</v>
      </c>
      <c r="N70" s="171">
        <f t="shared" si="0"/>
        <v>0</v>
      </c>
      <c r="O70" s="262">
        <v>0</v>
      </c>
      <c r="P70" s="34"/>
    </row>
    <row r="71" spans="1:16" s="1" customFormat="1" ht="15">
      <c r="A71" s="34"/>
      <c r="B71" s="34"/>
      <c r="C71" s="34"/>
      <c r="D71" s="34"/>
      <c r="E71" s="34"/>
      <c r="F71" s="33"/>
      <c r="G71" s="33"/>
      <c r="H71" s="33"/>
      <c r="I71" s="33"/>
      <c r="J71" s="33"/>
      <c r="K71" s="28" t="s">
        <v>60</v>
      </c>
      <c r="L71" s="30">
        <f>SUM(L64:L70)</f>
        <v>13354.54</v>
      </c>
      <c r="M71" s="30">
        <f>SUM(M64:M70)</f>
        <v>14344.648015333336</v>
      </c>
      <c r="N71" s="171">
        <f aca="true" t="shared" si="3" ref="N71:N106">M71-L71</f>
        <v>990.1080153333351</v>
      </c>
      <c r="O71" s="266">
        <f aca="true" t="shared" si="4" ref="O71:O106">N71/L71</f>
        <v>0.07414018119181455</v>
      </c>
      <c r="P71" s="34"/>
    </row>
    <row r="72" spans="1:16" s="1" customFormat="1" ht="15">
      <c r="A72" s="34"/>
      <c r="B72" s="34"/>
      <c r="C72" s="34"/>
      <c r="D72" s="34"/>
      <c r="E72" s="34"/>
      <c r="F72" s="33"/>
      <c r="G72" s="33"/>
      <c r="H72" s="33"/>
      <c r="I72" s="33"/>
      <c r="J72" s="33"/>
      <c r="K72" s="192"/>
      <c r="L72" s="13"/>
      <c r="M72" s="13"/>
      <c r="N72" s="67"/>
      <c r="O72" s="267"/>
      <c r="P72" s="34"/>
    </row>
    <row r="73" spans="1:16" s="1" customFormat="1" ht="30">
      <c r="A73" s="34"/>
      <c r="B73" s="34"/>
      <c r="C73" s="34"/>
      <c r="D73" s="34"/>
      <c r="E73" s="34"/>
      <c r="F73" s="33"/>
      <c r="G73" s="33"/>
      <c r="H73" s="33"/>
      <c r="I73" s="33"/>
      <c r="J73" s="33"/>
      <c r="K73" s="12" t="s">
        <v>129</v>
      </c>
      <c r="L73" s="10" t="s">
        <v>171</v>
      </c>
      <c r="M73" s="10" t="s">
        <v>177</v>
      </c>
      <c r="N73" s="10" t="s">
        <v>12</v>
      </c>
      <c r="O73" s="265" t="s">
        <v>13</v>
      </c>
      <c r="P73" s="34"/>
    </row>
    <row r="74" spans="1:16" s="1" customFormat="1" ht="15">
      <c r="A74" s="34"/>
      <c r="B74" s="34"/>
      <c r="C74" s="34"/>
      <c r="D74" s="34"/>
      <c r="E74" s="34"/>
      <c r="F74" s="33">
        <v>3049</v>
      </c>
      <c r="G74" s="33" t="s">
        <v>130</v>
      </c>
      <c r="H74" s="33"/>
      <c r="I74" s="33"/>
      <c r="J74" s="33"/>
      <c r="K74" s="14" t="s">
        <v>131</v>
      </c>
      <c r="L74" s="175">
        <f>'[1]Trial Balance'!$H$343</f>
        <v>46510</v>
      </c>
      <c r="M74" s="175">
        <f>'[1]Trial Balance'!$L$343</f>
        <v>49342.819705999995</v>
      </c>
      <c r="N74" s="171">
        <f t="shared" si="3"/>
        <v>2832.8197059999948</v>
      </c>
      <c r="O74" s="263">
        <f t="shared" si="4"/>
        <v>0.06090775545044065</v>
      </c>
      <c r="P74" s="34"/>
    </row>
    <row r="75" spans="1:16" s="1" customFormat="1" ht="15">
      <c r="A75" s="34"/>
      <c r="B75" s="34"/>
      <c r="C75" s="34"/>
      <c r="D75" s="34"/>
      <c r="E75" s="34"/>
      <c r="F75" s="33">
        <v>3055</v>
      </c>
      <c r="G75" s="33" t="s">
        <v>132</v>
      </c>
      <c r="H75" s="33"/>
      <c r="I75" s="33"/>
      <c r="J75" s="33"/>
      <c r="K75" s="14" t="s">
        <v>133</v>
      </c>
      <c r="L75" s="175">
        <f>'[1]Trial Balance'!$H$344</f>
        <v>426686</v>
      </c>
      <c r="M75" s="175">
        <f>'[1]Trial Balance'!$L$344</f>
        <v>494916.309412</v>
      </c>
      <c r="N75" s="171">
        <f t="shared" si="3"/>
        <v>68230.309412</v>
      </c>
      <c r="O75" s="266">
        <f t="shared" si="4"/>
        <v>0.15990754187388384</v>
      </c>
      <c r="P75" s="34"/>
    </row>
    <row r="76" spans="1:16" s="1" customFormat="1" ht="15">
      <c r="A76" s="34"/>
      <c r="B76" s="34"/>
      <c r="C76" s="34"/>
      <c r="D76" s="34"/>
      <c r="E76" s="34"/>
      <c r="F76" s="33">
        <v>3065</v>
      </c>
      <c r="G76" s="33" t="s">
        <v>134</v>
      </c>
      <c r="H76" s="33"/>
      <c r="I76" s="33"/>
      <c r="J76" s="33"/>
      <c r="K76" s="14" t="s">
        <v>135</v>
      </c>
      <c r="L76" s="175">
        <f>'[1]Trial Balance'!$H$345</f>
        <v>91247.28</v>
      </c>
      <c r="M76" s="175">
        <f>'[1]Trial Balance'!$L$345</f>
        <v>143854.239352</v>
      </c>
      <c r="N76" s="171">
        <f t="shared" si="3"/>
        <v>52606.959352000005</v>
      </c>
      <c r="O76" s="266">
        <f t="shared" si="4"/>
        <v>0.576531808422125</v>
      </c>
      <c r="P76" s="34"/>
    </row>
    <row r="77" spans="1:16" s="1" customFormat="1" ht="15">
      <c r="A77" s="34"/>
      <c r="B77" s="34"/>
      <c r="C77" s="34"/>
      <c r="D77" s="34"/>
      <c r="E77" s="34"/>
      <c r="F77" s="33">
        <v>0</v>
      </c>
      <c r="G77" s="33" t="s">
        <v>136</v>
      </c>
      <c r="H77" s="33"/>
      <c r="I77" s="33"/>
      <c r="J77" s="33"/>
      <c r="K77" s="14" t="s">
        <v>137</v>
      </c>
      <c r="L77" s="175">
        <f>'[1]Trial Balance'!$H$346</f>
        <v>99807.9</v>
      </c>
      <c r="M77" s="175">
        <f>'[1]Trial Balance'!$L$346</f>
        <v>105886.20111000001</v>
      </c>
      <c r="N77" s="171">
        <f t="shared" si="3"/>
        <v>6078.301110000015</v>
      </c>
      <c r="O77" s="266">
        <f t="shared" si="4"/>
        <v>0.060900000000000155</v>
      </c>
      <c r="P77" s="34"/>
    </row>
    <row r="78" spans="1:16" s="1" customFormat="1" ht="15">
      <c r="A78" s="34"/>
      <c r="B78" s="34"/>
      <c r="C78" s="34"/>
      <c r="D78" s="34"/>
      <c r="E78" s="34"/>
      <c r="F78" s="33"/>
      <c r="G78" s="33"/>
      <c r="H78" s="33"/>
      <c r="I78" s="33"/>
      <c r="J78" s="33"/>
      <c r="K78" s="14" t="s">
        <v>138</v>
      </c>
      <c r="L78" s="175">
        <f>'[1]Trial Balance'!$H$347</f>
        <v>0</v>
      </c>
      <c r="M78" s="175">
        <f>'[1]Trial Balance'!$L$347</f>
        <v>0</v>
      </c>
      <c r="N78" s="171">
        <f t="shared" si="3"/>
        <v>0</v>
      </c>
      <c r="O78" s="266">
        <v>0</v>
      </c>
      <c r="P78" s="34"/>
    </row>
    <row r="79" spans="1:16" s="1" customFormat="1" ht="15">
      <c r="A79" s="34"/>
      <c r="B79" s="34"/>
      <c r="C79" s="34"/>
      <c r="D79" s="34"/>
      <c r="E79" s="34"/>
      <c r="F79" s="33">
        <v>4006</v>
      </c>
      <c r="G79" s="33" t="s">
        <v>139</v>
      </c>
      <c r="H79" s="33"/>
      <c r="I79" s="33"/>
      <c r="J79" s="33"/>
      <c r="K79" s="14" t="s">
        <v>140</v>
      </c>
      <c r="L79" s="175">
        <f>'[1]Trial Balance'!$H$348</f>
        <v>70227.74</v>
      </c>
      <c r="M79" s="175">
        <f>'[1]Trial Balance'!$L$348</f>
        <v>155405.477047</v>
      </c>
      <c r="N79" s="171">
        <f t="shared" si="3"/>
        <v>85177.73704699999</v>
      </c>
      <c r="O79" s="266">
        <f t="shared" si="4"/>
        <v>1.212878800414195</v>
      </c>
      <c r="P79" s="34"/>
    </row>
    <row r="80" spans="1:16" s="1" customFormat="1" ht="15">
      <c r="A80" s="34"/>
      <c r="B80" s="34"/>
      <c r="C80" s="34"/>
      <c r="D80" s="34"/>
      <c r="E80" s="34"/>
      <c r="F80" s="33">
        <v>4010</v>
      </c>
      <c r="G80" s="33" t="s">
        <v>141</v>
      </c>
      <c r="H80" s="33"/>
      <c r="I80" s="33"/>
      <c r="J80" s="33"/>
      <c r="K80" s="14" t="s">
        <v>142</v>
      </c>
      <c r="L80" s="175">
        <f>'[1]Trial Balance'!$H$349</f>
        <v>27066.44</v>
      </c>
      <c r="M80" s="175">
        <f>'[1]Trial Balance'!$L$349</f>
        <v>28714.786196</v>
      </c>
      <c r="N80" s="171">
        <f t="shared" si="3"/>
        <v>1648.3461960000022</v>
      </c>
      <c r="O80" s="266">
        <f t="shared" si="4"/>
        <v>0.060900000000000086</v>
      </c>
      <c r="P80" s="34"/>
    </row>
    <row r="81" spans="1:16" s="1" customFormat="1" ht="15">
      <c r="A81" s="34"/>
      <c r="B81" s="34"/>
      <c r="C81" s="34"/>
      <c r="D81" s="34"/>
      <c r="E81" s="34"/>
      <c r="F81" s="33">
        <v>4015</v>
      </c>
      <c r="G81" s="33" t="s">
        <v>143</v>
      </c>
      <c r="H81" s="33"/>
      <c r="I81" s="33"/>
      <c r="J81" s="33"/>
      <c r="K81" s="14" t="s">
        <v>144</v>
      </c>
      <c r="L81" s="175">
        <f>'[1]Trial Balance'!$H$350</f>
        <v>58794.32</v>
      </c>
      <c r="M81" s="175">
        <f>'[1]Trial Balance'!$L$350</f>
        <v>62374.894088</v>
      </c>
      <c r="N81" s="171">
        <f t="shared" si="3"/>
        <v>3580.574088000001</v>
      </c>
      <c r="O81" s="266">
        <f t="shared" si="4"/>
        <v>0.060900000000000024</v>
      </c>
      <c r="P81" s="34"/>
    </row>
    <row r="82" spans="1:16" s="1" customFormat="1" ht="15">
      <c r="A82" s="34"/>
      <c r="B82" s="34"/>
      <c r="C82" s="34"/>
      <c r="D82" s="34"/>
      <c r="E82" s="34"/>
      <c r="F82" s="33">
        <v>4020</v>
      </c>
      <c r="G82" s="33" t="s">
        <v>145</v>
      </c>
      <c r="H82" s="33"/>
      <c r="I82" s="33"/>
      <c r="J82" s="33"/>
      <c r="K82" s="14" t="s">
        <v>146</v>
      </c>
      <c r="L82" s="175">
        <f>'[1]Trial Balance'!$H$351</f>
        <v>0</v>
      </c>
      <c r="M82" s="175">
        <f>'[1]Trial Balance'!$L$351</f>
        <v>0</v>
      </c>
      <c r="N82" s="171">
        <f t="shared" si="3"/>
        <v>0</v>
      </c>
      <c r="O82" s="266">
        <v>0</v>
      </c>
      <c r="P82" s="34"/>
    </row>
    <row r="83" spans="1:16" s="1" customFormat="1" ht="15">
      <c r="A83" s="34"/>
      <c r="B83" s="34"/>
      <c r="C83" s="34"/>
      <c r="D83" s="34"/>
      <c r="E83" s="34"/>
      <c r="F83" s="33"/>
      <c r="G83" s="33"/>
      <c r="H83" s="33"/>
      <c r="I83" s="33"/>
      <c r="J83" s="33"/>
      <c r="K83" s="14" t="s">
        <v>147</v>
      </c>
      <c r="L83" s="175">
        <f>'[1]Trial Balance'!$H$352</f>
        <v>0</v>
      </c>
      <c r="M83" s="175">
        <f>'[1]Trial Balance'!$L$352</f>
        <v>0</v>
      </c>
      <c r="N83" s="171">
        <f t="shared" si="3"/>
        <v>0</v>
      </c>
      <c r="O83" s="266">
        <v>0</v>
      </c>
      <c r="P83" s="34"/>
    </row>
    <row r="84" spans="1:16" s="1" customFormat="1" ht="15">
      <c r="A84" s="34"/>
      <c r="B84" s="34"/>
      <c r="C84" s="34"/>
      <c r="D84" s="34"/>
      <c r="E84" s="34"/>
      <c r="F84" s="33">
        <v>4025</v>
      </c>
      <c r="G84" s="33" t="s">
        <v>148</v>
      </c>
      <c r="H84" s="33"/>
      <c r="I84" s="33"/>
      <c r="J84" s="33"/>
      <c r="K84" s="14" t="s">
        <v>149</v>
      </c>
      <c r="L84" s="175">
        <f>'[1]Trial Balance'!$H$353</f>
        <v>58782.48</v>
      </c>
      <c r="M84" s="175">
        <f>'[1]Trial Balance'!$L$353</f>
        <v>103562.33303200001</v>
      </c>
      <c r="N84" s="171">
        <f t="shared" si="3"/>
        <v>44779.853032000006</v>
      </c>
      <c r="O84" s="266">
        <f t="shared" si="4"/>
        <v>0.7617891084554446</v>
      </c>
      <c r="P84" s="34"/>
    </row>
    <row r="85" spans="1:16" s="1" customFormat="1" ht="15">
      <c r="A85" s="34"/>
      <c r="B85" s="34"/>
      <c r="C85" s="34"/>
      <c r="D85" s="34"/>
      <c r="E85" s="34"/>
      <c r="F85" s="33">
        <v>4030</v>
      </c>
      <c r="G85" s="33" t="s">
        <v>150</v>
      </c>
      <c r="H85" s="33"/>
      <c r="I85" s="33"/>
      <c r="J85" s="33"/>
      <c r="K85" s="14" t="s">
        <v>151</v>
      </c>
      <c r="L85" s="175">
        <f>'[1]Trial Balance'!$H$354</f>
        <v>2212.81</v>
      </c>
      <c r="M85" s="175">
        <f>'[1]Trial Balance'!$L$354</f>
        <v>4660.390433333334</v>
      </c>
      <c r="N85" s="171">
        <f t="shared" si="3"/>
        <v>2447.580433333334</v>
      </c>
      <c r="O85" s="266">
        <f t="shared" si="4"/>
        <v>1.1060960648828115</v>
      </c>
      <c r="P85" s="34"/>
    </row>
    <row r="86" spans="1:16" s="1" customFormat="1" ht="15">
      <c r="A86" s="34"/>
      <c r="B86" s="34"/>
      <c r="C86" s="34"/>
      <c r="D86" s="34"/>
      <c r="E86" s="34"/>
      <c r="F86" s="33">
        <v>4035</v>
      </c>
      <c r="G86" s="33" t="s">
        <v>152</v>
      </c>
      <c r="H86" s="33"/>
      <c r="I86" s="33"/>
      <c r="J86" s="33"/>
      <c r="K86" s="14" t="s">
        <v>153</v>
      </c>
      <c r="L86" s="175">
        <f>'[1]Trial Balance'!$H$355</f>
        <v>0</v>
      </c>
      <c r="M86" s="175">
        <f>'[1]Trial Balance'!$L$355</f>
        <v>855.3257333333333</v>
      </c>
      <c r="N86" s="171">
        <f t="shared" si="3"/>
        <v>855.3257333333333</v>
      </c>
      <c r="O86" s="266">
        <v>1</v>
      </c>
      <c r="P86" s="34"/>
    </row>
    <row r="87" spans="1:16" s="1" customFormat="1" ht="15">
      <c r="A87" s="34"/>
      <c r="B87" s="34"/>
      <c r="C87" s="34"/>
      <c r="D87" s="34"/>
      <c r="E87" s="34"/>
      <c r="F87" s="33">
        <v>4040</v>
      </c>
      <c r="G87" s="33" t="s">
        <v>154</v>
      </c>
      <c r="H87" s="33"/>
      <c r="I87" s="33"/>
      <c r="J87" s="33"/>
      <c r="K87" s="14" t="s">
        <v>155</v>
      </c>
      <c r="L87" s="175">
        <f>'[1]Trial Balance'!$H$356</f>
        <v>0</v>
      </c>
      <c r="M87" s="175">
        <f>'[1]Trial Balance'!$L$356</f>
        <v>0</v>
      </c>
      <c r="N87" s="171">
        <f t="shared" si="3"/>
        <v>0</v>
      </c>
      <c r="O87" s="266">
        <v>0</v>
      </c>
      <c r="P87" s="34"/>
    </row>
    <row r="88" spans="1:16" s="1" customFormat="1" ht="15">
      <c r="A88" s="34"/>
      <c r="B88" s="34"/>
      <c r="C88" s="34"/>
      <c r="D88" s="34"/>
      <c r="E88" s="34"/>
      <c r="F88" s="33">
        <v>4045</v>
      </c>
      <c r="G88" s="33" t="s">
        <v>156</v>
      </c>
      <c r="H88" s="33"/>
      <c r="I88" s="33"/>
      <c r="J88" s="33"/>
      <c r="K88" s="14" t="s">
        <v>157</v>
      </c>
      <c r="L88" s="175">
        <f>'[1]Trial Balance'!$H$357</f>
        <v>32397.86</v>
      </c>
      <c r="M88" s="175">
        <f>'[1]Trial Balance'!$L$357</f>
        <v>84370.889674</v>
      </c>
      <c r="N88" s="171">
        <f>M88-L88</f>
        <v>51973.029674000005</v>
      </c>
      <c r="O88" s="266">
        <f t="shared" si="4"/>
        <v>1.6042118113356871</v>
      </c>
      <c r="P88" s="34"/>
    </row>
    <row r="89" spans="1:16" s="1" customFormat="1" ht="15">
      <c r="A89" s="34"/>
      <c r="B89" s="34"/>
      <c r="C89" s="34"/>
      <c r="D89" s="34"/>
      <c r="E89" s="34"/>
      <c r="F89" s="33"/>
      <c r="G89" s="33"/>
      <c r="H89" s="33"/>
      <c r="I89" s="33"/>
      <c r="J89" s="33"/>
      <c r="K89" s="14" t="s">
        <v>158</v>
      </c>
      <c r="L89" s="175">
        <f>'[1]Trial Balance'!$H$358</f>
        <v>53616.02</v>
      </c>
      <c r="M89" s="175">
        <f>'[1]Trial Balance'!$L$358</f>
        <v>47545.53363333333</v>
      </c>
      <c r="N89" s="171">
        <f t="shared" si="3"/>
        <v>-6070.486366666664</v>
      </c>
      <c r="O89" s="266">
        <f t="shared" si="4"/>
        <v>-0.11322150295129449</v>
      </c>
      <c r="P89" s="34"/>
    </row>
    <row r="90" spans="1:16" s="1" customFormat="1" ht="15">
      <c r="A90" s="34"/>
      <c r="B90" s="34"/>
      <c r="C90" s="34"/>
      <c r="D90" s="34"/>
      <c r="E90" s="34"/>
      <c r="F90" s="33"/>
      <c r="G90" s="33"/>
      <c r="H90" s="33"/>
      <c r="I90" s="33"/>
      <c r="J90" s="33"/>
      <c r="K90" s="14" t="s">
        <v>342</v>
      </c>
      <c r="L90" s="175">
        <f>'[1]Trial Balance'!$H$359</f>
        <v>106153</v>
      </c>
      <c r="M90" s="175">
        <f>'[1]Trial Balance'!$L$359</f>
        <v>0</v>
      </c>
      <c r="N90" s="171">
        <f t="shared" si="3"/>
        <v>-106153</v>
      </c>
      <c r="O90" s="266">
        <f t="shared" si="4"/>
        <v>-1</v>
      </c>
      <c r="P90" s="34"/>
    </row>
    <row r="91" spans="1:16" s="1" customFormat="1" ht="15">
      <c r="A91" s="34"/>
      <c r="B91" s="34"/>
      <c r="C91" s="34"/>
      <c r="D91" s="34"/>
      <c r="E91" s="34"/>
      <c r="F91" s="33"/>
      <c r="G91" s="33"/>
      <c r="H91" s="33"/>
      <c r="I91" s="33"/>
      <c r="J91" s="33"/>
      <c r="K91" s="14" t="s">
        <v>159</v>
      </c>
      <c r="L91" s="175">
        <f>'[1]Trial Balance'!$H$360</f>
        <v>0</v>
      </c>
      <c r="M91" s="175">
        <f>'[1]Trial Balance'!$L$360</f>
        <v>0</v>
      </c>
      <c r="N91" s="171">
        <f t="shared" si="3"/>
        <v>0</v>
      </c>
      <c r="O91" s="266">
        <v>0</v>
      </c>
      <c r="P91" s="34"/>
    </row>
    <row r="92" spans="1:19" s="1" customFormat="1" ht="15">
      <c r="A92" s="34"/>
      <c r="B92" s="34"/>
      <c r="C92" s="34"/>
      <c r="D92" s="34"/>
      <c r="E92" s="34"/>
      <c r="F92" s="33"/>
      <c r="G92" s="33"/>
      <c r="H92" s="33"/>
      <c r="I92" s="33"/>
      <c r="J92" s="33"/>
      <c r="K92" s="14" t="s">
        <v>343</v>
      </c>
      <c r="L92" s="175">
        <f>'[1]Trial Balance'!$H$361</f>
        <v>-53778.14</v>
      </c>
      <c r="M92" s="175">
        <f>'[1]Trial Balance'!$L$361</f>
        <v>0</v>
      </c>
      <c r="N92" s="171">
        <f t="shared" si="3"/>
        <v>53778.14</v>
      </c>
      <c r="O92" s="266">
        <f t="shared" si="4"/>
        <v>-1</v>
      </c>
      <c r="P92" s="34"/>
      <c r="S92" s="80"/>
    </row>
    <row r="93" spans="1:16" s="1" customFormat="1" ht="15">
      <c r="A93" s="34"/>
      <c r="B93" s="34"/>
      <c r="C93" s="34"/>
      <c r="D93" s="34"/>
      <c r="E93" s="34"/>
      <c r="F93" s="33"/>
      <c r="G93" s="33"/>
      <c r="H93" s="219"/>
      <c r="I93" s="33"/>
      <c r="J93" s="33"/>
      <c r="K93" s="28" t="s">
        <v>60</v>
      </c>
      <c r="L93" s="30">
        <f>SUM(L74:L92)</f>
        <v>1019723.7100000001</v>
      </c>
      <c r="M93" s="30">
        <f>SUM(M74:M92)</f>
        <v>1281489.1994170004</v>
      </c>
      <c r="N93" s="30">
        <f>SUM(N74:N92)</f>
        <v>261765.48941700003</v>
      </c>
      <c r="O93" s="266">
        <f t="shared" si="4"/>
        <v>0.25670236638608707</v>
      </c>
      <c r="P93" s="34"/>
    </row>
    <row r="94" spans="1:16" s="1" customFormat="1" ht="15">
      <c r="A94" s="34"/>
      <c r="B94" s="34"/>
      <c r="C94" s="34"/>
      <c r="D94" s="34"/>
      <c r="E94" s="34"/>
      <c r="F94" s="33"/>
      <c r="G94" s="33"/>
      <c r="H94" s="219"/>
      <c r="I94" s="33"/>
      <c r="J94" s="33"/>
      <c r="K94" s="192"/>
      <c r="L94" s="13"/>
      <c r="M94" s="13"/>
      <c r="N94" s="67"/>
      <c r="O94" s="266"/>
      <c r="P94" s="34"/>
    </row>
    <row r="95" spans="1:16" s="1" customFormat="1" ht="15">
      <c r="A95" s="34"/>
      <c r="B95" s="34"/>
      <c r="C95" s="34"/>
      <c r="D95" s="34"/>
      <c r="E95" s="34"/>
      <c r="F95" s="33"/>
      <c r="G95" s="33"/>
      <c r="H95" s="33"/>
      <c r="I95" s="33"/>
      <c r="J95" s="33"/>
      <c r="K95" s="12" t="s">
        <v>160</v>
      </c>
      <c r="L95" s="30">
        <f>L29+L50+L61+L71+L93</f>
        <v>2099690.21</v>
      </c>
      <c r="M95" s="30">
        <f>M29+M50+M61+M71+M93</f>
        <v>3067313.6851790007</v>
      </c>
      <c r="N95" s="171">
        <f t="shared" si="3"/>
        <v>967623.4751790008</v>
      </c>
      <c r="O95" s="266">
        <f t="shared" si="4"/>
        <v>0.4608410662537693</v>
      </c>
      <c r="P95" s="34"/>
    </row>
    <row r="96" spans="1:16" s="1" customFormat="1" ht="15">
      <c r="A96" s="34"/>
      <c r="B96" s="34"/>
      <c r="C96" s="34"/>
      <c r="D96" s="34"/>
      <c r="E96" s="34"/>
      <c r="F96" s="33"/>
      <c r="G96" s="33"/>
      <c r="H96" s="33"/>
      <c r="I96" s="33"/>
      <c r="J96" s="33"/>
      <c r="K96" s="12"/>
      <c r="L96" s="50"/>
      <c r="M96" s="50"/>
      <c r="N96" s="67"/>
      <c r="O96" s="267"/>
      <c r="P96" s="34"/>
    </row>
    <row r="97" spans="1:16" s="1" customFormat="1" ht="15">
      <c r="A97" s="34"/>
      <c r="B97" s="34"/>
      <c r="C97" s="34"/>
      <c r="D97" s="34"/>
      <c r="E97" s="34"/>
      <c r="F97" s="33"/>
      <c r="G97" s="33"/>
      <c r="H97" s="219"/>
      <c r="I97" s="33"/>
      <c r="J97" s="33"/>
      <c r="K97" s="12" t="s">
        <v>161</v>
      </c>
      <c r="L97" s="52"/>
      <c r="M97" s="52"/>
      <c r="N97" s="67"/>
      <c r="O97" s="267"/>
      <c r="P97" s="34"/>
    </row>
    <row r="98" spans="1:16" s="1" customFormat="1" ht="15">
      <c r="A98" s="34"/>
      <c r="B98" s="34"/>
      <c r="C98" s="34"/>
      <c r="D98" s="34"/>
      <c r="E98" s="34"/>
      <c r="F98" s="33">
        <v>4064</v>
      </c>
      <c r="G98" s="33" t="s">
        <v>162</v>
      </c>
      <c r="H98" s="33"/>
      <c r="I98" s="33"/>
      <c r="J98" s="33"/>
      <c r="K98" s="14" t="s">
        <v>163</v>
      </c>
      <c r="L98" s="175">
        <f>'[1]Trial Balance'!$H$383</f>
        <v>46698.2</v>
      </c>
      <c r="M98" s="175">
        <f>'[1]Trial Balance'!$L$383</f>
        <v>49542.12038</v>
      </c>
      <c r="N98" s="171">
        <f t="shared" si="3"/>
        <v>2843.920380000003</v>
      </c>
      <c r="O98" s="266">
        <f t="shared" si="4"/>
        <v>0.06090000000000007</v>
      </c>
      <c r="P98" s="34"/>
    </row>
    <row r="99" spans="1:16" s="1" customFormat="1" ht="15">
      <c r="A99" s="34"/>
      <c r="B99" s="34"/>
      <c r="C99" s="34"/>
      <c r="D99" s="34"/>
      <c r="E99" s="34"/>
      <c r="F99" s="33"/>
      <c r="G99" s="33"/>
      <c r="H99" s="33"/>
      <c r="I99" s="33"/>
      <c r="J99" s="33"/>
      <c r="K99" s="28" t="s">
        <v>60</v>
      </c>
      <c r="L99" s="30">
        <f>SUM(L98)</f>
        <v>46698.2</v>
      </c>
      <c r="M99" s="30">
        <f>SUM(M98)</f>
        <v>49542.12038</v>
      </c>
      <c r="N99" s="171">
        <f t="shared" si="3"/>
        <v>2843.920380000003</v>
      </c>
      <c r="O99" s="266">
        <f t="shared" si="4"/>
        <v>0.06090000000000007</v>
      </c>
      <c r="P99" s="34"/>
    </row>
    <row r="100" spans="1:16" s="1" customFormat="1" ht="15">
      <c r="A100" s="34"/>
      <c r="B100" s="34"/>
      <c r="C100" s="34"/>
      <c r="D100" s="34"/>
      <c r="E100" s="34"/>
      <c r="F100" s="33"/>
      <c r="G100" s="33"/>
      <c r="H100" s="33"/>
      <c r="I100" s="33"/>
      <c r="J100" s="33"/>
      <c r="K100" s="192"/>
      <c r="L100" s="13"/>
      <c r="M100" s="13"/>
      <c r="N100" s="67"/>
      <c r="O100" s="267"/>
      <c r="P100" s="34"/>
    </row>
    <row r="101" spans="1:16" s="1" customFormat="1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12" t="s">
        <v>164</v>
      </c>
      <c r="L101" s="16"/>
      <c r="M101" s="16"/>
      <c r="N101" s="67"/>
      <c r="O101" s="267"/>
      <c r="P101" s="34"/>
    </row>
    <row r="102" spans="1:16" s="1" customFormat="1" ht="15">
      <c r="A102" s="33"/>
      <c r="B102" s="33"/>
      <c r="C102" s="33"/>
      <c r="D102" s="33"/>
      <c r="E102" s="33"/>
      <c r="F102" s="33">
        <v>4050</v>
      </c>
      <c r="G102" s="33" t="s">
        <v>165</v>
      </c>
      <c r="H102" s="33"/>
      <c r="I102" s="33"/>
      <c r="J102" s="33"/>
      <c r="K102" s="14" t="s">
        <v>166</v>
      </c>
      <c r="L102" s="175">
        <f>'[1]Trial Balance'!$H$363</f>
        <v>894072.6499999998</v>
      </c>
      <c r="M102" s="175">
        <f>'[1]Trial Balance'!$L$363</f>
        <v>773769.1891872174</v>
      </c>
      <c r="N102" s="171">
        <f t="shared" si="3"/>
        <v>-120303.4608127824</v>
      </c>
      <c r="O102" s="266">
        <f t="shared" si="4"/>
        <v>-0.13455669493165062</v>
      </c>
      <c r="P102" s="34"/>
    </row>
    <row r="103" spans="1:16" s="1" customFormat="1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28" t="s">
        <v>60</v>
      </c>
      <c r="L103" s="30">
        <f>SUM(L102)</f>
        <v>894072.6499999998</v>
      </c>
      <c r="M103" s="30">
        <f>SUM(M102)</f>
        <v>773769.1891872174</v>
      </c>
      <c r="N103" s="171">
        <f t="shared" si="3"/>
        <v>-120303.4608127824</v>
      </c>
      <c r="O103" s="266">
        <f t="shared" si="4"/>
        <v>-0.13455669493165062</v>
      </c>
      <c r="P103" s="34"/>
    </row>
    <row r="104" spans="1:16" s="1" customFormat="1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192"/>
      <c r="L104" s="13"/>
      <c r="M104" s="13"/>
      <c r="N104" s="67"/>
      <c r="O104" s="267"/>
      <c r="P104" s="34"/>
    </row>
    <row r="105" spans="1:16" s="1" customFormat="1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12" t="s">
        <v>167</v>
      </c>
      <c r="L105" s="54">
        <f>L95+L103</f>
        <v>2993762.86</v>
      </c>
      <c r="M105" s="54">
        <f>M95+M99+M103</f>
        <v>3890624.9947462184</v>
      </c>
      <c r="N105" s="171">
        <f t="shared" si="3"/>
        <v>896862.1347462186</v>
      </c>
      <c r="O105" s="266">
        <f t="shared" si="4"/>
        <v>0.2995768792275747</v>
      </c>
      <c r="P105" s="34"/>
    </row>
    <row r="106" spans="1:16" s="1" customFormat="1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12" t="s">
        <v>168</v>
      </c>
      <c r="L106" s="54">
        <f>L105*0.01</f>
        <v>29937.6286</v>
      </c>
      <c r="M106" s="54">
        <f>M105*0.01</f>
        <v>38906.24994746219</v>
      </c>
      <c r="N106" s="171">
        <f t="shared" si="3"/>
        <v>8968.621347462187</v>
      </c>
      <c r="O106" s="266">
        <f t="shared" si="4"/>
        <v>0.29957687922757475</v>
      </c>
      <c r="P106" s="34"/>
    </row>
    <row r="107" spans="1:16" s="1" customFormat="1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12" t="s">
        <v>169</v>
      </c>
      <c r="L107" s="13"/>
      <c r="M107" s="13"/>
      <c r="N107" s="34"/>
      <c r="O107" s="198"/>
      <c r="P107" s="34"/>
    </row>
    <row r="108" spans="1:16" s="1" customFormat="1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13"/>
      <c r="M108" s="13"/>
      <c r="N108" s="34"/>
      <c r="O108" s="34"/>
      <c r="P108" s="34"/>
    </row>
    <row r="109" spans="1:16" s="1" customFormat="1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176">
        <v>1629805.59</v>
      </c>
      <c r="M109" s="176">
        <v>2184942.1622392307</v>
      </c>
      <c r="N109" s="34"/>
      <c r="O109" s="34"/>
      <c r="P109" s="34"/>
    </row>
    <row r="110" spans="12:115" ht="15">
      <c r="L110" s="176">
        <f>L105-L109</f>
        <v>1363957.2699999998</v>
      </c>
      <c r="M110" s="176">
        <f>M105-M109</f>
        <v>1705682.8325069877</v>
      </c>
      <c r="N110" s="33"/>
      <c r="O110" s="33"/>
      <c r="P110" s="3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</row>
  </sheetData>
  <sheetProtection/>
  <mergeCells count="1">
    <mergeCell ref="A5:E5"/>
  </mergeCells>
  <printOptions/>
  <pageMargins left="1.7" right="0.7" top="0" bottom="0" header="0.3" footer="0.3"/>
  <pageSetup fitToHeight="1" fitToWidth="1" horizontalDpi="600" verticalDpi="600" orientation="portrait" scale="3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2.421875" style="0" bestFit="1" customWidth="1"/>
    <col min="2" max="4" width="15.28125" style="0" bestFit="1" customWidth="1"/>
    <col min="5" max="5" width="16.140625" style="0" bestFit="1" customWidth="1"/>
    <col min="6" max="6" width="15.28125" style="0" bestFit="1" customWidth="1"/>
  </cols>
  <sheetData>
    <row r="1" spans="1:6" ht="15">
      <c r="A1" s="102" t="s">
        <v>191</v>
      </c>
      <c r="B1" s="102" t="s">
        <v>3</v>
      </c>
      <c r="C1" s="102" t="s">
        <v>4</v>
      </c>
      <c r="D1" s="102" t="s">
        <v>171</v>
      </c>
      <c r="E1" s="102" t="s">
        <v>192</v>
      </c>
      <c r="F1" s="102" t="s">
        <v>193</v>
      </c>
    </row>
    <row r="2" spans="1:6" ht="15">
      <c r="A2" s="104" t="s">
        <v>433</v>
      </c>
      <c r="B2" s="185">
        <f>'[3]Summary'!$H$12+'[3]Summary'!$H$17+'[3]Summary'!$H$21</f>
        <v>9118.333333333334</v>
      </c>
      <c r="C2" s="185">
        <f>'[3]Summary'!$I$12+'[3]Summary'!$I$17+'[3]Summary'!$I$21</f>
        <v>9386.166666666668</v>
      </c>
      <c r="D2" s="185">
        <f>'[3]Summary'!$J$12+'[3]Summary'!$J$17+'[3]Summary'!$J$21</f>
        <v>9503.416666666666</v>
      </c>
      <c r="E2" s="185">
        <f>'[3]Summary'!$K$12+'[3]Summary'!$K$17+'[3]Summary'!$K$21</f>
        <v>9666.400169109662</v>
      </c>
      <c r="F2" s="185">
        <f>'[3]Summary'!$L$12+'[3]Summary'!$L$17+'[3]Summary'!$L$21</f>
        <v>9832.33448026355</v>
      </c>
    </row>
    <row r="3" spans="1:6" ht="15">
      <c r="A3" s="104" t="s">
        <v>430</v>
      </c>
      <c r="B3" s="180">
        <f>'App 2-E'!N95</f>
        <v>1884617.3399999999</v>
      </c>
      <c r="C3" s="180">
        <f>'App 2-E'!P95</f>
        <v>1855223.6099999999</v>
      </c>
      <c r="D3" s="180">
        <f>'App 2-E'!R95</f>
        <v>2099690.21</v>
      </c>
      <c r="E3" s="180">
        <f>'App 2-E'!T95</f>
        <v>2449125.8485666667</v>
      </c>
      <c r="F3" s="180">
        <f>'App 2-E'!V95</f>
        <v>3067313.6851790007</v>
      </c>
    </row>
    <row r="4" spans="1:6" ht="15">
      <c r="A4" s="104" t="s">
        <v>431</v>
      </c>
      <c r="B4" s="180">
        <f>B3/B2</f>
        <v>206.68440943154815</v>
      </c>
      <c r="C4" s="180">
        <f>C3/C2</f>
        <v>197.65508922705396</v>
      </c>
      <c r="D4" s="180">
        <f>D3/D2</f>
        <v>220.94056102629756</v>
      </c>
      <c r="E4" s="180">
        <f>E3/E2</f>
        <v>253.36483134571566</v>
      </c>
      <c r="F4" s="180">
        <f>F3/F2</f>
        <v>311.9618938245054</v>
      </c>
    </row>
    <row r="5" spans="1:6" ht="15">
      <c r="A5" s="104" t="s">
        <v>432</v>
      </c>
      <c r="B5" s="187">
        <f>'[4]Sheet1'!$B$5</f>
        <v>16.5</v>
      </c>
      <c r="C5" s="187">
        <f>'[4]Sheet1'!C$5</f>
        <v>17.5</v>
      </c>
      <c r="D5" s="187">
        <f>'[4]Sheet1'!$D$5</f>
        <v>19</v>
      </c>
      <c r="E5" s="187">
        <f>'[4]Sheet1'!$E$5</f>
        <v>19.5</v>
      </c>
      <c r="F5" s="187">
        <f>'[4]Sheet1'!$F$5</f>
        <v>22.25</v>
      </c>
    </row>
    <row r="6" spans="1:6" ht="15">
      <c r="A6" s="104" t="s">
        <v>435</v>
      </c>
      <c r="B6" s="188">
        <f>B5/B2</f>
        <v>0.0018095412173277279</v>
      </c>
      <c r="C6" s="188">
        <f>C5/C2</f>
        <v>0.0018644459044338296</v>
      </c>
      <c r="D6" s="188">
        <f>D5/D2</f>
        <v>0.001999280960356363</v>
      </c>
      <c r="E6" s="188">
        <f>E5/E2</f>
        <v>0.0020172969935917805</v>
      </c>
      <c r="F6" s="188">
        <f>F5/F2</f>
        <v>0.0022629417301315816</v>
      </c>
    </row>
    <row r="7" spans="1:6" ht="15">
      <c r="A7" s="104" t="s">
        <v>436</v>
      </c>
      <c r="B7" s="189">
        <f>B3/B5</f>
        <v>114219.23272727271</v>
      </c>
      <c r="C7" s="189">
        <f>C3/C5</f>
        <v>106012.77771428571</v>
      </c>
      <c r="D7" s="189">
        <f>D3/D5</f>
        <v>110510.01105263158</v>
      </c>
      <c r="E7" s="189">
        <f>E3/E5</f>
        <v>125596.19736239317</v>
      </c>
      <c r="F7" s="189">
        <f>F3/F5</f>
        <v>137856.79483950566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S21"/>
  <sheetViews>
    <sheetView tabSelected="1" zoomScale="80" zoomScaleNormal="80" zoomScalePageLayoutView="0" workbookViewId="0" topLeftCell="B1">
      <selection activeCell="J7" sqref="J7"/>
    </sheetView>
  </sheetViews>
  <sheetFormatPr defaultColWidth="9.140625" defaultRowHeight="15"/>
  <cols>
    <col min="1" max="1" width="9.140625" style="184" customWidth="1"/>
    <col min="2" max="2" width="21.7109375" style="190" customWidth="1"/>
    <col min="3" max="3" width="13.421875" style="0" bestFit="1" customWidth="1"/>
    <col min="4" max="4" width="13.28125" style="0" customWidth="1"/>
    <col min="5" max="5" width="17.140625" style="0" customWidth="1"/>
    <col min="6" max="6" width="17.140625" style="230" customWidth="1"/>
    <col min="7" max="7" width="16.421875" style="0" customWidth="1"/>
    <col min="8" max="8" width="12.421875" style="0" customWidth="1"/>
    <col min="9" max="9" width="18.8515625" style="0" customWidth="1"/>
    <col min="10" max="10" width="13.421875" style="0" customWidth="1"/>
    <col min="11" max="11" width="15.8515625" style="0" customWidth="1"/>
    <col min="12" max="12" width="15.8515625" style="234" customWidth="1"/>
    <col min="13" max="13" width="12.421875" style="0" customWidth="1"/>
    <col min="14" max="14" width="12.421875" style="253" customWidth="1"/>
    <col min="15" max="17" width="9.57421875" style="0" bestFit="1" customWidth="1"/>
    <col min="18" max="19" width="12.28125" style="0" bestFit="1" customWidth="1"/>
  </cols>
  <sheetData>
    <row r="1" spans="2:19" ht="62.25" customHeight="1">
      <c r="B1" s="191" t="s">
        <v>444</v>
      </c>
      <c r="C1" s="191" t="s">
        <v>442</v>
      </c>
      <c r="D1" s="191" t="s">
        <v>445</v>
      </c>
      <c r="E1" s="191" t="s">
        <v>443</v>
      </c>
      <c r="F1" s="191" t="s">
        <v>469</v>
      </c>
      <c r="G1" s="191" t="s">
        <v>470</v>
      </c>
      <c r="H1" s="191" t="s">
        <v>471</v>
      </c>
      <c r="I1" s="191" t="s">
        <v>472</v>
      </c>
      <c r="J1" s="191" t="s">
        <v>473</v>
      </c>
      <c r="K1" s="191" t="s">
        <v>474</v>
      </c>
      <c r="L1" s="244"/>
      <c r="M1" s="244" t="s">
        <v>507</v>
      </c>
      <c r="N1" s="259" t="s">
        <v>237</v>
      </c>
      <c r="O1" s="259" t="s">
        <v>508</v>
      </c>
      <c r="P1" s="241">
        <v>2009</v>
      </c>
      <c r="Q1" s="241">
        <v>2010</v>
      </c>
      <c r="R1" s="241">
        <v>2011</v>
      </c>
      <c r="S1" s="241">
        <v>2012</v>
      </c>
    </row>
    <row r="2" spans="2:19" ht="42.75" customHeight="1">
      <c r="B2" s="152" t="s">
        <v>446</v>
      </c>
      <c r="C2" s="181">
        <v>5655</v>
      </c>
      <c r="D2" s="104" t="s">
        <v>434</v>
      </c>
      <c r="E2" s="180">
        <v>23032</v>
      </c>
      <c r="F2" s="180">
        <f>800+18114</f>
        <v>18914</v>
      </c>
      <c r="G2" s="180">
        <f>26271+800</f>
        <v>27071</v>
      </c>
      <c r="H2" s="180">
        <f>21623.94+12000</f>
        <v>33623.94</v>
      </c>
      <c r="I2" s="128">
        <f>(H2-G2)/G2</f>
        <v>0.24206494034206355</v>
      </c>
      <c r="J2" s="186">
        <f>H2*1.03</f>
        <v>34632.658200000005</v>
      </c>
      <c r="K2" s="128">
        <f>(J2-H2)/H2</f>
        <v>0.030000000000000086</v>
      </c>
      <c r="L2" s="195">
        <v>82531</v>
      </c>
      <c r="M2" s="245">
        <f>E2/E15</f>
        <v>0.2685792481950022</v>
      </c>
      <c r="N2" s="260">
        <f>M2*$L$2</f>
        <v>22166.113932781725</v>
      </c>
      <c r="O2" s="261">
        <f>E2-N2</f>
        <v>865.8860672182745</v>
      </c>
      <c r="P2" s="242">
        <f>F2-E2</f>
        <v>-4118</v>
      </c>
      <c r="Q2" s="242">
        <f>G2-F2</f>
        <v>8157</v>
      </c>
      <c r="R2" s="242">
        <f>H2-G2</f>
        <v>6552.940000000002</v>
      </c>
      <c r="S2" s="243">
        <f>J2-H2</f>
        <v>1008.718200000003</v>
      </c>
    </row>
    <row r="3" spans="2:19" s="184" customFormat="1" ht="30">
      <c r="B3" s="152" t="s">
        <v>447</v>
      </c>
      <c r="C3" s="181">
        <v>5655</v>
      </c>
      <c r="D3" s="104" t="s">
        <v>434</v>
      </c>
      <c r="E3" s="180">
        <v>0</v>
      </c>
      <c r="F3" s="180"/>
      <c r="G3" s="180">
        <v>0</v>
      </c>
      <c r="H3" s="180">
        <v>0</v>
      </c>
      <c r="I3" s="128">
        <v>0</v>
      </c>
      <c r="J3" s="186">
        <f>H3*1.03</f>
        <v>0</v>
      </c>
      <c r="K3" s="128">
        <v>0</v>
      </c>
      <c r="L3" s="245"/>
      <c r="M3" s="245">
        <f>E3/E15</f>
        <v>0</v>
      </c>
      <c r="N3" s="260">
        <f aca="true" t="shared" si="0" ref="N3:N12">M3*$L$2</f>
        <v>0</v>
      </c>
      <c r="O3" s="261">
        <f aca="true" t="shared" si="1" ref="O3:O12">E3-N3</f>
        <v>0</v>
      </c>
      <c r="P3" s="242">
        <f aca="true" t="shared" si="2" ref="P3:R12">F3-E3</f>
        <v>0</v>
      </c>
      <c r="Q3" s="242">
        <f t="shared" si="2"/>
        <v>0</v>
      </c>
      <c r="R3" s="242">
        <f t="shared" si="2"/>
        <v>0</v>
      </c>
      <c r="S3" s="243">
        <f aca="true" t="shared" si="3" ref="S3:S12">J3-H3</f>
        <v>0</v>
      </c>
    </row>
    <row r="4" spans="2:19" s="184" customFormat="1" ht="30">
      <c r="B4" s="152" t="s">
        <v>448</v>
      </c>
      <c r="C4" s="181">
        <v>5655</v>
      </c>
      <c r="D4" s="104" t="s">
        <v>434</v>
      </c>
      <c r="E4" s="180">
        <v>1525.94</v>
      </c>
      <c r="F4" s="180">
        <v>745.43</v>
      </c>
      <c r="G4" s="180">
        <v>907.39</v>
      </c>
      <c r="H4" s="180">
        <f>670.68+700</f>
        <v>1370.6799999999998</v>
      </c>
      <c r="I4" s="128">
        <f aca="true" t="shared" si="4" ref="I4:I14">(H4-G4)/G4</f>
        <v>0.5105742844862736</v>
      </c>
      <c r="J4" s="186">
        <f>H4*1.03</f>
        <v>1411.8003999999999</v>
      </c>
      <c r="K4" s="128">
        <f aca="true" t="shared" si="5" ref="K4:K14">(J4-H4)/H4</f>
        <v>0.030000000000000016</v>
      </c>
      <c r="L4" s="245"/>
      <c r="M4" s="245">
        <f>E4/E15</f>
        <v>0.017794191472329003</v>
      </c>
      <c r="N4" s="260">
        <f t="shared" si="0"/>
        <v>1468.572416402785</v>
      </c>
      <c r="O4" s="261">
        <f t="shared" si="1"/>
        <v>57.367583597215116</v>
      </c>
      <c r="P4" s="242">
        <f t="shared" si="2"/>
        <v>-780.5100000000001</v>
      </c>
      <c r="Q4" s="242">
        <f t="shared" si="2"/>
        <v>161.96000000000004</v>
      </c>
      <c r="R4" s="242">
        <f t="shared" si="2"/>
        <v>463.28999999999985</v>
      </c>
      <c r="S4" s="243">
        <f t="shared" si="3"/>
        <v>41.12040000000002</v>
      </c>
    </row>
    <row r="5" spans="2:19" s="184" customFormat="1" ht="30">
      <c r="B5" s="152" t="s">
        <v>449</v>
      </c>
      <c r="C5" s="181">
        <v>5655</v>
      </c>
      <c r="D5" s="104" t="s">
        <v>441</v>
      </c>
      <c r="E5" s="180">
        <v>0</v>
      </c>
      <c r="F5" s="180"/>
      <c r="G5" s="180">
        <v>0</v>
      </c>
      <c r="H5" s="180">
        <v>0</v>
      </c>
      <c r="I5" s="128">
        <v>0</v>
      </c>
      <c r="J5" s="186">
        <f>H5*1.03</f>
        <v>0</v>
      </c>
      <c r="K5" s="128">
        <v>0</v>
      </c>
      <c r="L5" s="245"/>
      <c r="M5" s="245">
        <f>E5/E15</f>
        <v>0</v>
      </c>
      <c r="N5" s="260">
        <f t="shared" si="0"/>
        <v>0</v>
      </c>
      <c r="O5" s="261">
        <f t="shared" si="1"/>
        <v>0</v>
      </c>
      <c r="P5" s="242">
        <f t="shared" si="2"/>
        <v>0</v>
      </c>
      <c r="Q5" s="242">
        <f t="shared" si="2"/>
        <v>0</v>
      </c>
      <c r="R5" s="242">
        <f t="shared" si="2"/>
        <v>0</v>
      </c>
      <c r="S5" s="243">
        <f t="shared" si="3"/>
        <v>0</v>
      </c>
    </row>
    <row r="6" spans="2:19" ht="30">
      <c r="B6" s="152" t="s">
        <v>450</v>
      </c>
      <c r="C6" s="181">
        <v>5655</v>
      </c>
      <c r="D6" s="104" t="s">
        <v>441</v>
      </c>
      <c r="E6" s="180">
        <v>41079.16</v>
      </c>
      <c r="F6" s="180">
        <v>7377.63</v>
      </c>
      <c r="G6" s="180">
        <v>6405.28</v>
      </c>
      <c r="H6" s="180">
        <f>1500+6320</f>
        <v>7820</v>
      </c>
      <c r="I6" s="128">
        <f t="shared" si="4"/>
        <v>0.2208677840781356</v>
      </c>
      <c r="J6" s="186">
        <f>H6*1.03+10000</f>
        <v>18054.6</v>
      </c>
      <c r="K6" s="128">
        <f t="shared" si="5"/>
        <v>1.3087723785166239</v>
      </c>
      <c r="L6" s="245"/>
      <c r="M6" s="245">
        <f>E6/E15</f>
        <v>0.47902960703726144</v>
      </c>
      <c r="N6" s="260">
        <f t="shared" si="0"/>
        <v>39534.79249839222</v>
      </c>
      <c r="O6" s="261">
        <f t="shared" si="1"/>
        <v>1544.3675016077832</v>
      </c>
      <c r="P6" s="242">
        <f t="shared" si="2"/>
        <v>-33701.530000000006</v>
      </c>
      <c r="Q6" s="242">
        <f t="shared" si="2"/>
        <v>-972.3500000000004</v>
      </c>
      <c r="R6" s="242">
        <f t="shared" si="2"/>
        <v>1414.7200000000003</v>
      </c>
      <c r="S6" s="243">
        <f t="shared" si="3"/>
        <v>10234.599999999999</v>
      </c>
    </row>
    <row r="7" spans="2:19" s="184" customFormat="1" ht="30">
      <c r="B7" s="152" t="s">
        <v>451</v>
      </c>
      <c r="C7" s="181" t="s">
        <v>440</v>
      </c>
      <c r="D7" s="104" t="s">
        <v>441</v>
      </c>
      <c r="E7" s="180">
        <v>14429.59</v>
      </c>
      <c r="F7" s="180"/>
      <c r="G7" s="180">
        <f>2925+12000</f>
        <v>14925</v>
      </c>
      <c r="H7" s="180">
        <f>21003.28+10000</f>
        <v>31003.28</v>
      </c>
      <c r="I7" s="128">
        <f t="shared" si="4"/>
        <v>1.0772716917922947</v>
      </c>
      <c r="J7" s="186">
        <f>H7*1.03+3449</f>
        <v>35382.3784</v>
      </c>
      <c r="K7" s="128">
        <f t="shared" si="5"/>
        <v>0.1412462939405122</v>
      </c>
      <c r="L7" s="245"/>
      <c r="M7" s="245">
        <f>E7/E15</f>
        <v>0.16826538876181493</v>
      </c>
      <c r="N7" s="260">
        <f t="shared" si="0"/>
        <v>13887.110799901347</v>
      </c>
      <c r="O7" s="261">
        <f t="shared" si="1"/>
        <v>542.4792000986527</v>
      </c>
      <c r="P7" s="242">
        <f t="shared" si="2"/>
        <v>-14429.59</v>
      </c>
      <c r="Q7" s="242">
        <f t="shared" si="2"/>
        <v>14925</v>
      </c>
      <c r="R7" s="242">
        <f t="shared" si="2"/>
        <v>16078.279999999999</v>
      </c>
      <c r="S7" s="243">
        <f t="shared" si="3"/>
        <v>4379.098400000003</v>
      </c>
    </row>
    <row r="8" spans="2:19" ht="60">
      <c r="B8" s="152" t="s">
        <v>452</v>
      </c>
      <c r="C8" s="181">
        <v>5655</v>
      </c>
      <c r="D8" s="104" t="s">
        <v>434</v>
      </c>
      <c r="E8" s="180">
        <v>1076.5</v>
      </c>
      <c r="F8" s="180">
        <v>258.38</v>
      </c>
      <c r="G8" s="180">
        <v>981.9</v>
      </c>
      <c r="H8" s="180">
        <f>1143.04+2500</f>
        <v>3643.04</v>
      </c>
      <c r="I8" s="128">
        <f t="shared" si="4"/>
        <v>2.710194520826968</v>
      </c>
      <c r="J8" s="186">
        <f>H8*1.03</f>
        <v>3752.3312</v>
      </c>
      <c r="K8" s="128">
        <f t="shared" si="5"/>
        <v>0.030000000000000034</v>
      </c>
      <c r="L8" s="245"/>
      <c r="M8" s="245">
        <f>E8/E15</f>
        <v>0.012553211214046537</v>
      </c>
      <c r="N8" s="260">
        <f t="shared" si="0"/>
        <v>1036.0290747064748</v>
      </c>
      <c r="O8" s="261">
        <f t="shared" si="1"/>
        <v>40.47092529352517</v>
      </c>
      <c r="P8" s="242">
        <f t="shared" si="2"/>
        <v>-818.12</v>
      </c>
      <c r="Q8" s="242">
        <f t="shared" si="2"/>
        <v>723.52</v>
      </c>
      <c r="R8" s="242">
        <f t="shared" si="2"/>
        <v>2661.14</v>
      </c>
      <c r="S8" s="243">
        <f t="shared" si="3"/>
        <v>109.29120000000012</v>
      </c>
    </row>
    <row r="9" spans="2:19" ht="60">
      <c r="B9" s="152" t="s">
        <v>453</v>
      </c>
      <c r="C9" s="181">
        <v>5655</v>
      </c>
      <c r="D9" s="104" t="s">
        <v>441</v>
      </c>
      <c r="E9" s="180">
        <v>0</v>
      </c>
      <c r="F9" s="180"/>
      <c r="G9" s="180">
        <v>0</v>
      </c>
      <c r="H9" s="180">
        <v>0</v>
      </c>
      <c r="I9" s="128">
        <v>0</v>
      </c>
      <c r="J9" s="186">
        <f>H9*1.03</f>
        <v>0</v>
      </c>
      <c r="K9" s="128">
        <v>0</v>
      </c>
      <c r="L9" s="245"/>
      <c r="M9" s="245">
        <f>E9/E15</f>
        <v>0</v>
      </c>
      <c r="N9" s="260">
        <f t="shared" si="0"/>
        <v>0</v>
      </c>
      <c r="O9" s="261">
        <f t="shared" si="1"/>
        <v>0</v>
      </c>
      <c r="P9" s="242">
        <f t="shared" si="2"/>
        <v>0</v>
      </c>
      <c r="Q9" s="242">
        <f t="shared" si="2"/>
        <v>0</v>
      </c>
      <c r="R9" s="242">
        <f t="shared" si="2"/>
        <v>0</v>
      </c>
      <c r="S9" s="243">
        <f t="shared" si="3"/>
        <v>0</v>
      </c>
    </row>
    <row r="10" spans="2:19" ht="45">
      <c r="B10" s="152" t="s">
        <v>454</v>
      </c>
      <c r="C10" s="181">
        <v>5655</v>
      </c>
      <c r="D10" s="104" t="s">
        <v>434</v>
      </c>
      <c r="E10" s="180">
        <v>0</v>
      </c>
      <c r="F10" s="180"/>
      <c r="G10" s="180">
        <v>0</v>
      </c>
      <c r="H10" s="180">
        <v>0</v>
      </c>
      <c r="I10" s="128">
        <v>0</v>
      </c>
      <c r="J10" s="186">
        <f>H10*1.03</f>
        <v>0</v>
      </c>
      <c r="K10" s="128">
        <v>0</v>
      </c>
      <c r="L10" s="245"/>
      <c r="M10" s="245">
        <f>E10/E15</f>
        <v>0</v>
      </c>
      <c r="N10" s="260">
        <f t="shared" si="0"/>
        <v>0</v>
      </c>
      <c r="O10" s="261">
        <f t="shared" si="1"/>
        <v>0</v>
      </c>
      <c r="P10" s="242">
        <f t="shared" si="2"/>
        <v>0</v>
      </c>
      <c r="Q10" s="242">
        <f t="shared" si="2"/>
        <v>0</v>
      </c>
      <c r="R10" s="242">
        <f t="shared" si="2"/>
        <v>0</v>
      </c>
      <c r="S10" s="243">
        <f t="shared" si="3"/>
        <v>0</v>
      </c>
    </row>
    <row r="11" spans="2:19" ht="30">
      <c r="B11" s="152" t="s">
        <v>455</v>
      </c>
      <c r="C11" s="181">
        <v>5655</v>
      </c>
      <c r="D11" s="104" t="s">
        <v>434</v>
      </c>
      <c r="E11" s="180">
        <v>4611.76</v>
      </c>
      <c r="F11" s="180">
        <f>4613.79+540</f>
        <v>5153.79</v>
      </c>
      <c r="G11" s="180">
        <f>4877.5+540</f>
        <v>5417.5</v>
      </c>
      <c r="H11" s="180">
        <f>5054+532</f>
        <v>5586</v>
      </c>
      <c r="I11" s="128">
        <f t="shared" si="4"/>
        <v>0.031102907245039224</v>
      </c>
      <c r="J11" s="186">
        <f>H11*1.03</f>
        <v>5753.58</v>
      </c>
      <c r="K11" s="128">
        <f t="shared" si="5"/>
        <v>0.02999999999999999</v>
      </c>
      <c r="L11" s="245"/>
      <c r="M11" s="245">
        <f>E11/E15</f>
        <v>0.05377835331954599</v>
      </c>
      <c r="N11" s="260">
        <f t="shared" si="0"/>
        <v>4438.38127781545</v>
      </c>
      <c r="O11" s="261">
        <f t="shared" si="1"/>
        <v>173.3787221845505</v>
      </c>
      <c r="P11" s="242">
        <f t="shared" si="2"/>
        <v>542.0299999999997</v>
      </c>
      <c r="Q11" s="242">
        <f t="shared" si="2"/>
        <v>263.71000000000004</v>
      </c>
      <c r="R11" s="242">
        <f t="shared" si="2"/>
        <v>168.5</v>
      </c>
      <c r="S11" s="243">
        <f t="shared" si="3"/>
        <v>167.57999999999993</v>
      </c>
    </row>
    <row r="12" spans="2:19" ht="15">
      <c r="B12" s="152" t="s">
        <v>456</v>
      </c>
      <c r="C12" s="181">
        <v>5655</v>
      </c>
      <c r="D12" s="104" t="s">
        <v>441</v>
      </c>
      <c r="E12" s="180">
        <v>0</v>
      </c>
      <c r="F12" s="180"/>
      <c r="G12" s="180">
        <v>2501.7</v>
      </c>
      <c r="H12" s="180">
        <v>2500</v>
      </c>
      <c r="I12" s="128">
        <f t="shared" si="4"/>
        <v>-0.0006795379142182588</v>
      </c>
      <c r="J12" s="186">
        <f>H12*1.03+2000</f>
        <v>4575</v>
      </c>
      <c r="K12" s="128">
        <f t="shared" si="5"/>
        <v>0.83</v>
      </c>
      <c r="L12" s="245"/>
      <c r="M12" s="245">
        <f>E12/E15</f>
        <v>0</v>
      </c>
      <c r="N12" s="260">
        <f t="shared" si="0"/>
        <v>0</v>
      </c>
      <c r="O12" s="261">
        <f t="shared" si="1"/>
        <v>0</v>
      </c>
      <c r="P12" s="242">
        <f t="shared" si="2"/>
        <v>0</v>
      </c>
      <c r="Q12" s="242">
        <f t="shared" si="2"/>
        <v>2501.7</v>
      </c>
      <c r="R12" s="242">
        <f t="shared" si="2"/>
        <v>-1.699999999999818</v>
      </c>
      <c r="S12" s="243">
        <f t="shared" si="3"/>
        <v>2075</v>
      </c>
    </row>
    <row r="13" spans="2:14" ht="30">
      <c r="B13" s="221" t="s">
        <v>437</v>
      </c>
      <c r="C13" s="222">
        <v>5655</v>
      </c>
      <c r="D13" s="161"/>
      <c r="E13" s="223">
        <f>E2+E3+E4+E8+E10+E11</f>
        <v>30246.199999999997</v>
      </c>
      <c r="F13" s="223">
        <f>F2+F3+F4+F8+F10+F11</f>
        <v>25071.600000000002</v>
      </c>
      <c r="G13" s="223">
        <f>G2+G3+G4+G8+G10+G11</f>
        <v>34377.79</v>
      </c>
      <c r="H13" s="223">
        <f>H2+H3+H4+H8+H10+H11</f>
        <v>44223.66</v>
      </c>
      <c r="I13" s="224">
        <f t="shared" si="4"/>
        <v>0.2864020636579606</v>
      </c>
      <c r="J13" s="223">
        <f>J2+J3+J6+J8+J9+J10</f>
        <v>56439.589400000004</v>
      </c>
      <c r="K13" s="224">
        <f t="shared" si="5"/>
        <v>0.27623062858207575</v>
      </c>
      <c r="L13" s="245"/>
      <c r="M13" s="246"/>
      <c r="N13" s="246"/>
    </row>
    <row r="14" spans="2:14" ht="30">
      <c r="B14" s="221" t="s">
        <v>438</v>
      </c>
      <c r="C14" s="222">
        <v>5655</v>
      </c>
      <c r="D14" s="161"/>
      <c r="E14" s="223">
        <f>E5+E6+E7+E9+E12</f>
        <v>55508.75</v>
      </c>
      <c r="F14" s="223">
        <f>F5+F6+F7+F9+F12</f>
        <v>7377.63</v>
      </c>
      <c r="G14" s="223">
        <f>G5+G6+G7+G9+G12</f>
        <v>23831.98</v>
      </c>
      <c r="H14" s="223">
        <f>H5+H6+H7+H9+H12</f>
        <v>41323.28</v>
      </c>
      <c r="I14" s="224">
        <f t="shared" si="4"/>
        <v>0.7339423749096802</v>
      </c>
      <c r="J14" s="223">
        <f>J4+J5+J7+J11+J12</f>
        <v>47122.7588</v>
      </c>
      <c r="K14" s="224">
        <f t="shared" si="5"/>
        <v>0.1403441062761718</v>
      </c>
      <c r="L14" s="245"/>
      <c r="M14" s="246"/>
      <c r="N14" s="246"/>
    </row>
    <row r="15" spans="2:14" ht="15">
      <c r="B15" s="225" t="s">
        <v>439</v>
      </c>
      <c r="C15" s="226"/>
      <c r="D15" s="226"/>
      <c r="E15" s="227">
        <f aca="true" t="shared" si="6" ref="E15:K15">E13+E14</f>
        <v>85754.95</v>
      </c>
      <c r="F15" s="227">
        <f t="shared" si="6"/>
        <v>32449.230000000003</v>
      </c>
      <c r="G15" s="227">
        <f t="shared" si="6"/>
        <v>58209.770000000004</v>
      </c>
      <c r="H15" s="227">
        <f t="shared" si="6"/>
        <v>85546.94</v>
      </c>
      <c r="I15" s="228">
        <f t="shared" si="6"/>
        <v>1.0203444385676408</v>
      </c>
      <c r="J15" s="227">
        <f>J13+J14</f>
        <v>103562.34820000001</v>
      </c>
      <c r="K15" s="228">
        <f t="shared" si="6"/>
        <v>0.4165747348582476</v>
      </c>
      <c r="L15" s="245"/>
      <c r="M15" s="246"/>
      <c r="N15" s="246"/>
    </row>
    <row r="16" spans="2:14" ht="15">
      <c r="B16" s="107"/>
      <c r="C16" s="184"/>
      <c r="L16" s="246"/>
      <c r="M16" s="246"/>
      <c r="N16" s="246"/>
    </row>
    <row r="17" spans="2:14" ht="15">
      <c r="B17" s="107"/>
      <c r="C17" s="184"/>
      <c r="L17" s="246"/>
      <c r="M17" s="246"/>
      <c r="N17" s="246"/>
    </row>
    <row r="18" ht="15">
      <c r="C18" s="184"/>
    </row>
    <row r="19" ht="15">
      <c r="C19" s="184"/>
    </row>
    <row r="20" ht="15">
      <c r="C20" s="184"/>
    </row>
    <row r="21" ht="15">
      <c r="C21" s="18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O43" sqref="O43"/>
    </sheetView>
  </sheetViews>
  <sheetFormatPr defaultColWidth="9.140625" defaultRowHeight="15"/>
  <sheetData>
    <row r="1" ht="15">
      <c r="A1">
        <v>1.3</v>
      </c>
    </row>
    <row r="2" ht="15">
      <c r="A2">
        <v>1</v>
      </c>
    </row>
    <row r="3" ht="15">
      <c r="A3">
        <v>0.1</v>
      </c>
    </row>
    <row r="4" ht="15">
      <c r="A4">
        <v>-0.9</v>
      </c>
    </row>
    <row r="5" ht="15">
      <c r="A5">
        <v>-0.8</v>
      </c>
    </row>
    <row r="6" ht="15">
      <c r="A6">
        <v>-0.9</v>
      </c>
    </row>
    <row r="7" ht="15">
      <c r="A7">
        <v>-0.3</v>
      </c>
    </row>
    <row r="8" ht="15">
      <c r="A8">
        <v>0.1</v>
      </c>
    </row>
    <row r="9" ht="15">
      <c r="A9">
        <v>0.4</v>
      </c>
    </row>
    <row r="10" ht="15">
      <c r="A10">
        <v>1.2</v>
      </c>
    </row>
    <row r="11" ht="15">
      <c r="A11">
        <v>1.4</v>
      </c>
    </row>
    <row r="12" ht="15">
      <c r="A12">
        <v>1.1</v>
      </c>
    </row>
    <row r="15" ht="15">
      <c r="A15">
        <f>AVERAGE(A1:A12)</f>
        <v>0.3083333333333333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10"/>
  <sheetViews>
    <sheetView zoomScale="80" zoomScaleNormal="80" zoomScalePageLayoutView="0" workbookViewId="0" topLeftCell="I70">
      <selection activeCell="P116" sqref="P116"/>
    </sheetView>
  </sheetViews>
  <sheetFormatPr defaultColWidth="8.140625" defaultRowHeight="15"/>
  <cols>
    <col min="1" max="1" width="32.00390625" style="2" bestFit="1" customWidth="1"/>
    <col min="2" max="2" width="20.00390625" style="2" bestFit="1" customWidth="1"/>
    <col min="3" max="3" width="13.28125" style="2" customWidth="1"/>
    <col min="4" max="4" width="13.140625" style="2" customWidth="1"/>
    <col min="5" max="5" width="14.421875" style="2" customWidth="1"/>
    <col min="6" max="6" width="8.140625" style="2" hidden="1" customWidth="1"/>
    <col min="7" max="7" width="62.421875" style="2" hidden="1" customWidth="1"/>
    <col min="8" max="8" width="30.421875" style="2" hidden="1" customWidth="1"/>
    <col min="9" max="9" width="15.57421875" style="2" bestFit="1" customWidth="1"/>
    <col min="10" max="10" width="15.57421875" style="2" customWidth="1"/>
    <col min="11" max="11" width="73.140625" style="2" customWidth="1"/>
    <col min="12" max="12" width="11.140625" style="59" customWidth="1"/>
    <col min="13" max="13" width="5.00390625" style="13" customWidth="1"/>
    <col min="14" max="14" width="10.421875" style="13" customWidth="1"/>
    <col min="15" max="15" width="11.8515625" style="13" customWidth="1"/>
    <col min="16" max="16" width="10.421875" style="13" bestFit="1" customWidth="1"/>
    <col min="17" max="17" width="15.28125" style="13" customWidth="1"/>
    <col min="18" max="18" width="10.421875" style="13" bestFit="1" customWidth="1"/>
    <col min="19" max="19" width="14.8515625" style="13" customWidth="1"/>
    <col min="20" max="20" width="10.421875" style="13" bestFit="1" customWidth="1"/>
    <col min="21" max="21" width="15.28125" style="13" bestFit="1" customWidth="1"/>
    <col min="22" max="22" width="10.421875" style="13" bestFit="1" customWidth="1"/>
    <col min="23" max="23" width="15.28125" style="34" bestFit="1" customWidth="1"/>
    <col min="24" max="24" width="8.140625" style="1" customWidth="1"/>
    <col min="25" max="25" width="78.140625" style="1" customWidth="1"/>
    <col min="26" max="124" width="8.140625" style="1" customWidth="1"/>
    <col min="125" max="16384" width="8.140625" style="2" customWidth="1"/>
  </cols>
  <sheetData>
    <row r="1" spans="6:23" s="1" customFormat="1" ht="15">
      <c r="F1" s="2"/>
      <c r="G1" s="2"/>
      <c r="H1" s="2"/>
      <c r="I1" s="2"/>
      <c r="J1" s="2"/>
      <c r="K1" s="314"/>
      <c r="L1" s="314"/>
      <c r="M1" s="314"/>
      <c r="N1" s="314"/>
      <c r="O1" s="314"/>
      <c r="P1" s="314"/>
      <c r="Q1" s="13"/>
      <c r="R1" s="13"/>
      <c r="S1" s="13"/>
      <c r="T1" s="13"/>
      <c r="U1" s="13"/>
      <c r="V1" s="13"/>
      <c r="W1" s="34"/>
    </row>
    <row r="2" spans="1:23" s="1" customFormat="1" ht="15">
      <c r="A2" s="4" t="s">
        <v>184</v>
      </c>
      <c r="B2" s="4"/>
      <c r="F2" s="2"/>
      <c r="G2" s="2"/>
      <c r="H2" s="2"/>
      <c r="I2" s="2"/>
      <c r="J2" s="2"/>
      <c r="K2" s="314" t="s">
        <v>0</v>
      </c>
      <c r="L2" s="314"/>
      <c r="M2" s="314"/>
      <c r="N2" s="314"/>
      <c r="O2" s="314"/>
      <c r="P2" s="314"/>
      <c r="Q2" s="314"/>
      <c r="R2" s="314"/>
      <c r="S2" s="314"/>
      <c r="T2" s="314"/>
      <c r="U2" s="28"/>
      <c r="V2" s="34"/>
      <c r="W2" s="34"/>
    </row>
    <row r="3" spans="6:23" s="1" customFormat="1" ht="15">
      <c r="F3" s="2"/>
      <c r="G3" s="2"/>
      <c r="H3" s="2"/>
      <c r="I3" s="2"/>
      <c r="J3" s="2"/>
      <c r="K3" s="2"/>
      <c r="L3" s="59"/>
      <c r="M3" s="13"/>
      <c r="N3" s="13"/>
      <c r="O3" s="13"/>
      <c r="P3" s="13"/>
      <c r="Q3" s="13"/>
      <c r="R3" s="13"/>
      <c r="S3" s="13"/>
      <c r="T3" s="13"/>
      <c r="U3" s="13"/>
      <c r="V3" s="13"/>
      <c r="W3" s="34"/>
    </row>
    <row r="4" spans="6:25" s="1" customFormat="1" ht="30">
      <c r="F4" s="2"/>
      <c r="G4" s="2"/>
      <c r="H4" s="2"/>
      <c r="I4" s="2"/>
      <c r="J4" s="2"/>
      <c r="K4" s="8" t="s">
        <v>1</v>
      </c>
      <c r="L4" s="193" t="s">
        <v>176</v>
      </c>
      <c r="M4" s="11"/>
      <c r="N4" s="10" t="s">
        <v>3</v>
      </c>
      <c r="O4" s="239" t="s">
        <v>506</v>
      </c>
      <c r="P4" s="10" t="s">
        <v>4</v>
      </c>
      <c r="Q4" s="239" t="s">
        <v>477</v>
      </c>
      <c r="R4" s="10" t="s">
        <v>171</v>
      </c>
      <c r="S4" s="237" t="s">
        <v>478</v>
      </c>
      <c r="T4" s="10" t="s">
        <v>170</v>
      </c>
      <c r="U4" s="238" t="s">
        <v>479</v>
      </c>
      <c r="V4" s="10" t="s">
        <v>177</v>
      </c>
      <c r="W4" s="4" t="s">
        <v>480</v>
      </c>
      <c r="Y4" s="1" t="s">
        <v>481</v>
      </c>
    </row>
    <row r="5" spans="1:23" s="1" customFormat="1" ht="15">
      <c r="A5" s="315" t="s">
        <v>5</v>
      </c>
      <c r="B5" s="315"/>
      <c r="C5" s="315"/>
      <c r="D5" s="315"/>
      <c r="E5" s="315"/>
      <c r="F5" s="2"/>
      <c r="G5" s="2"/>
      <c r="H5" s="2"/>
      <c r="I5" s="2"/>
      <c r="J5" s="2"/>
      <c r="K5" s="12" t="s">
        <v>6</v>
      </c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34"/>
    </row>
    <row r="6" spans="6:23" s="1" customFormat="1" ht="15">
      <c r="F6" s="2">
        <v>2270</v>
      </c>
      <c r="G6" s="2" t="s">
        <v>7</v>
      </c>
      <c r="H6" s="2"/>
      <c r="I6" s="2"/>
      <c r="J6" s="2"/>
      <c r="K6" s="14" t="s">
        <v>8</v>
      </c>
      <c r="L6" s="146">
        <v>140459</v>
      </c>
      <c r="M6" s="16"/>
      <c r="N6" s="175">
        <f>'[1]Trial Balance'!$D$276</f>
        <v>148399</v>
      </c>
      <c r="O6" s="16">
        <f>N6-L6</f>
        <v>7940</v>
      </c>
      <c r="P6" s="175">
        <f>'[1]Trial Balance'!$F$276</f>
        <v>158401</v>
      </c>
      <c r="Q6" s="16">
        <f>P6-N6</f>
        <v>10002</v>
      </c>
      <c r="R6" s="175">
        <f>'[1]Trial Balance'!$H$276</f>
        <v>183439.76</v>
      </c>
      <c r="S6" s="16">
        <f>R6-P6</f>
        <v>25038.76000000001</v>
      </c>
      <c r="T6" s="175">
        <f>'[1]Trial Balance'!$J$276</f>
        <v>188942.95280000003</v>
      </c>
      <c r="U6" s="16">
        <f>T6-R6</f>
        <v>5503.192800000019</v>
      </c>
      <c r="V6" s="175">
        <f>'[1]Trial Balance'!$L$276</f>
        <v>323678.441384</v>
      </c>
      <c r="W6" s="67">
        <f>V6-T6</f>
        <v>134735.48858399998</v>
      </c>
    </row>
    <row r="7" spans="1:23" s="1" customFormat="1" ht="15">
      <c r="A7" s="18" t="s">
        <v>9</v>
      </c>
      <c r="F7" s="2">
        <v>2272</v>
      </c>
      <c r="G7" s="2" t="s">
        <v>10</v>
      </c>
      <c r="H7" s="2"/>
      <c r="I7" s="2"/>
      <c r="J7" s="2"/>
      <c r="K7" s="14" t="s">
        <v>11</v>
      </c>
      <c r="L7" s="146"/>
      <c r="M7" s="16"/>
      <c r="N7" s="175">
        <f>'[1]Trial Balance'!$D$277</f>
        <v>0</v>
      </c>
      <c r="O7" s="16">
        <f aca="true" t="shared" si="0" ref="O7:O29">N7-L7</f>
        <v>0</v>
      </c>
      <c r="P7" s="175">
        <f>'[1]Trial Balance'!$F$277</f>
        <v>0</v>
      </c>
      <c r="Q7" s="16">
        <f aca="true" t="shared" si="1" ref="Q7:Q70">P7-N7</f>
        <v>0</v>
      </c>
      <c r="R7" s="175">
        <f>'[1]Trial Balance'!$H$277</f>
        <v>0</v>
      </c>
      <c r="S7" s="16">
        <f aca="true" t="shared" si="2" ref="S7:S70">R7-P7</f>
        <v>0</v>
      </c>
      <c r="T7" s="175">
        <f>'[1]Trial Balance'!$J$277</f>
        <v>0</v>
      </c>
      <c r="U7" s="16">
        <f aca="true" t="shared" si="3" ref="U7:U70">T7-R7</f>
        <v>0</v>
      </c>
      <c r="V7" s="175">
        <f>'[1]Trial Balance'!$L$277</f>
        <v>0</v>
      </c>
      <c r="W7" s="67">
        <f aca="true" t="shared" si="4" ref="W7:W70">V7-T7</f>
        <v>0</v>
      </c>
    </row>
    <row r="8" spans="2:23" s="1" customFormat="1" ht="30">
      <c r="B8" s="19" t="s">
        <v>172</v>
      </c>
      <c r="C8" s="19" t="s">
        <v>55</v>
      </c>
      <c r="D8" s="19" t="s">
        <v>12</v>
      </c>
      <c r="E8" s="19" t="s">
        <v>13</v>
      </c>
      <c r="F8" s="2">
        <v>2285</v>
      </c>
      <c r="G8" s="2" t="s">
        <v>14</v>
      </c>
      <c r="H8" s="2"/>
      <c r="I8" s="2"/>
      <c r="J8" s="2"/>
      <c r="K8" s="14" t="s">
        <v>15</v>
      </c>
      <c r="L8" s="146"/>
      <c r="M8" s="16"/>
      <c r="N8" s="175">
        <f>'[1]Trial Balance'!$D$278</f>
        <v>0</v>
      </c>
      <c r="O8" s="16">
        <f t="shared" si="0"/>
        <v>0</v>
      </c>
      <c r="P8" s="175">
        <f>'[1]Trial Balance'!$F$278</f>
        <v>0</v>
      </c>
      <c r="Q8" s="16">
        <f t="shared" si="1"/>
        <v>0</v>
      </c>
      <c r="R8" s="175">
        <f>'[1]Trial Balance'!$H$278</f>
        <v>0</v>
      </c>
      <c r="S8" s="16">
        <f t="shared" si="2"/>
        <v>0</v>
      </c>
      <c r="T8" s="175">
        <f>'[1]Trial Balance'!$J$278</f>
        <v>0</v>
      </c>
      <c r="U8" s="16">
        <f t="shared" si="3"/>
        <v>0</v>
      </c>
      <c r="V8" s="175">
        <f>'[1]Trial Balance'!$L$278</f>
        <v>0</v>
      </c>
      <c r="W8" s="67">
        <f t="shared" si="4"/>
        <v>0</v>
      </c>
    </row>
    <row r="9" spans="1:23" s="1" customFormat="1" ht="15">
      <c r="A9" s="20" t="s">
        <v>6</v>
      </c>
      <c r="B9" s="55">
        <f>L29</f>
        <v>620871</v>
      </c>
      <c r="C9" s="21">
        <f>N29</f>
        <v>617177</v>
      </c>
      <c r="D9" s="21">
        <f aca="true" t="shared" si="5" ref="D9:D14">C9-B9</f>
        <v>-3694</v>
      </c>
      <c r="E9" s="22">
        <f aca="true" t="shared" si="6" ref="E9:E14">D9/B9</f>
        <v>-0.005949706138634273</v>
      </c>
      <c r="F9" s="2">
        <v>2290</v>
      </c>
      <c r="G9" s="2" t="s">
        <v>16</v>
      </c>
      <c r="H9" s="2"/>
      <c r="I9" s="2"/>
      <c r="J9" s="2"/>
      <c r="K9" s="14" t="s">
        <v>17</v>
      </c>
      <c r="L9" s="146"/>
      <c r="M9" s="16"/>
      <c r="N9" s="175">
        <f>'[1]Trial Balance'!D279</f>
        <v>0</v>
      </c>
      <c r="O9" s="16">
        <f t="shared" si="0"/>
        <v>0</v>
      </c>
      <c r="P9" s="175">
        <f>'[1]Trial Balance'!$F$279</f>
        <v>0</v>
      </c>
      <c r="Q9" s="16">
        <f t="shared" si="1"/>
        <v>0</v>
      </c>
      <c r="R9" s="175">
        <f>'[1]Trial Balance'!$H$279</f>
        <v>0</v>
      </c>
      <c r="S9" s="16">
        <f t="shared" si="2"/>
        <v>0</v>
      </c>
      <c r="T9" s="175">
        <f>'[1]Trial Balance'!$J$279</f>
        <v>0</v>
      </c>
      <c r="U9" s="16">
        <f t="shared" si="3"/>
        <v>0</v>
      </c>
      <c r="V9" s="175">
        <f>'[1]Trial Balance'!$L$279</f>
        <v>0</v>
      </c>
      <c r="W9" s="67">
        <f t="shared" si="4"/>
        <v>0</v>
      </c>
    </row>
    <row r="10" spans="1:23" s="1" customFormat="1" ht="15">
      <c r="A10" s="20" t="s">
        <v>18</v>
      </c>
      <c r="B10" s="55">
        <f>L50</f>
        <v>104107</v>
      </c>
      <c r="C10" s="21">
        <f>N50</f>
        <v>77337</v>
      </c>
      <c r="D10" s="21">
        <f t="shared" si="5"/>
        <v>-26770</v>
      </c>
      <c r="E10" s="22">
        <f t="shared" si="6"/>
        <v>-0.2571392893849597</v>
      </c>
      <c r="F10" s="2">
        <v>2292</v>
      </c>
      <c r="G10" s="2" t="s">
        <v>19</v>
      </c>
      <c r="H10" s="2"/>
      <c r="I10" s="2"/>
      <c r="J10" s="2"/>
      <c r="K10" s="14" t="s">
        <v>20</v>
      </c>
      <c r="L10" s="146"/>
      <c r="M10" s="16"/>
      <c r="N10" s="175">
        <f>'[1]Trial Balance'!$D$280</f>
        <v>0</v>
      </c>
      <c r="O10" s="16">
        <f t="shared" si="0"/>
        <v>0</v>
      </c>
      <c r="P10" s="175">
        <f>'[1]Trial Balance'!$F$280</f>
        <v>0</v>
      </c>
      <c r="Q10" s="16">
        <f t="shared" si="1"/>
        <v>0</v>
      </c>
      <c r="R10" s="175">
        <f>'[1]Trial Balance'!$H$280</f>
        <v>0</v>
      </c>
      <c r="S10" s="16">
        <f t="shared" si="2"/>
        <v>0</v>
      </c>
      <c r="T10" s="175">
        <f>'[1]Trial Balance'!$J$280</f>
        <v>0</v>
      </c>
      <c r="U10" s="16">
        <f t="shared" si="3"/>
        <v>0</v>
      </c>
      <c r="V10" s="175">
        <f>'[1]Trial Balance'!$L$280</f>
        <v>0</v>
      </c>
      <c r="W10" s="67">
        <f t="shared" si="4"/>
        <v>0</v>
      </c>
    </row>
    <row r="11" spans="1:23" s="1" customFormat="1" ht="15">
      <c r="A11" s="20" t="s">
        <v>21</v>
      </c>
      <c r="B11" s="55">
        <f>L61</f>
        <v>428844</v>
      </c>
      <c r="C11" s="21">
        <f>N61</f>
        <v>440285</v>
      </c>
      <c r="D11" s="21">
        <f t="shared" si="5"/>
        <v>11441</v>
      </c>
      <c r="E11" s="22">
        <f t="shared" si="6"/>
        <v>0.026678699014093702</v>
      </c>
      <c r="F11" s="2">
        <v>2294</v>
      </c>
      <c r="G11" s="2" t="s">
        <v>22</v>
      </c>
      <c r="H11" s="2"/>
      <c r="I11" s="2"/>
      <c r="J11" s="2"/>
      <c r="K11" s="14" t="s">
        <v>23</v>
      </c>
      <c r="L11" s="146">
        <v>7686</v>
      </c>
      <c r="M11" s="16"/>
      <c r="N11" s="175">
        <f>'[1]Trial Balance'!$D$281</f>
        <v>1314</v>
      </c>
      <c r="O11" s="16">
        <f t="shared" si="0"/>
        <v>-6372</v>
      </c>
      <c r="P11" s="175">
        <f>'[1]Trial Balance'!$F$281</f>
        <v>5211</v>
      </c>
      <c r="Q11" s="16">
        <f t="shared" si="1"/>
        <v>3897</v>
      </c>
      <c r="R11" s="175">
        <f>'[1]Trial Balance'!$H$281</f>
        <v>1043.42</v>
      </c>
      <c r="S11" s="16">
        <f t="shared" si="2"/>
        <v>-4167.58</v>
      </c>
      <c r="T11" s="175">
        <f>'[1]Trial Balance'!$J$281</f>
        <v>2522.9106666666667</v>
      </c>
      <c r="U11" s="16">
        <f t="shared" si="3"/>
        <v>1479.4906666666666</v>
      </c>
      <c r="V11" s="175">
        <f>'[1]Trial Balance'!$L$281</f>
        <v>2598.5979866666667</v>
      </c>
      <c r="W11" s="67">
        <f t="shared" si="4"/>
        <v>75.68732</v>
      </c>
    </row>
    <row r="12" spans="1:25" s="1" customFormat="1" ht="15">
      <c r="A12" s="20" t="s">
        <v>24</v>
      </c>
      <c r="B12" s="55">
        <f>L71</f>
        <v>19767</v>
      </c>
      <c r="C12" s="21">
        <f>N71</f>
        <v>8053</v>
      </c>
      <c r="D12" s="21">
        <f t="shared" si="5"/>
        <v>-11714</v>
      </c>
      <c r="E12" s="22">
        <f t="shared" si="6"/>
        <v>-0.5926038346739515</v>
      </c>
      <c r="F12" s="2">
        <v>2296</v>
      </c>
      <c r="G12" s="2" t="s">
        <v>25</v>
      </c>
      <c r="H12" s="2"/>
      <c r="I12" s="2"/>
      <c r="J12" s="2"/>
      <c r="K12" s="14" t="s">
        <v>26</v>
      </c>
      <c r="L12" s="146">
        <v>41527</v>
      </c>
      <c r="M12" s="16"/>
      <c r="N12" s="175">
        <f>'[1]Trial Balance'!$D$282</f>
        <v>63084</v>
      </c>
      <c r="O12" s="289">
        <f t="shared" si="0"/>
        <v>21557</v>
      </c>
      <c r="P12" s="175">
        <f>'[1]Trial Balance'!$F$282</f>
        <v>21690</v>
      </c>
      <c r="Q12" s="16">
        <f t="shared" si="1"/>
        <v>-41394</v>
      </c>
      <c r="R12" s="175">
        <f>'[1]Trial Balance'!$H$282</f>
        <v>4150.81</v>
      </c>
      <c r="S12" s="16">
        <f t="shared" si="2"/>
        <v>-17539.19</v>
      </c>
      <c r="T12" s="175">
        <f>'[1]Trial Balance'!$J$282</f>
        <v>29641.71</v>
      </c>
      <c r="U12" s="289">
        <f t="shared" si="3"/>
        <v>25490.899999999998</v>
      </c>
      <c r="V12" s="175">
        <f>'[1]Trial Balance'!$L$282</f>
        <v>35331.28333333333</v>
      </c>
      <c r="W12" s="290">
        <f t="shared" si="4"/>
        <v>5689.573333333334</v>
      </c>
      <c r="Y12" s="1" t="s">
        <v>482</v>
      </c>
    </row>
    <row r="13" spans="1:25" s="1" customFormat="1" ht="15">
      <c r="A13" s="20" t="s">
        <v>27</v>
      </c>
      <c r="B13" s="55">
        <f>L93</f>
        <v>921831</v>
      </c>
      <c r="C13" s="21">
        <f>N93</f>
        <v>741765.34</v>
      </c>
      <c r="D13" s="21">
        <f t="shared" si="5"/>
        <v>-180065.66000000003</v>
      </c>
      <c r="E13" s="22">
        <f t="shared" si="6"/>
        <v>-0.1953347847924403</v>
      </c>
      <c r="F13" s="2">
        <v>0</v>
      </c>
      <c r="G13" s="2" t="s">
        <v>28</v>
      </c>
      <c r="H13" s="2"/>
      <c r="I13" s="2"/>
      <c r="J13" s="2"/>
      <c r="K13" s="14" t="s">
        <v>29</v>
      </c>
      <c r="L13" s="146">
        <v>260858</v>
      </c>
      <c r="M13" s="16"/>
      <c r="N13" s="175">
        <f>'[1]Trial Balance'!$D$283</f>
        <v>223159</v>
      </c>
      <c r="O13" s="16">
        <f t="shared" si="0"/>
        <v>-37699</v>
      </c>
      <c r="P13" s="175">
        <f>'[1]Trial Balance'!$F$283</f>
        <v>153369</v>
      </c>
      <c r="Q13" s="236">
        <f t="shared" si="1"/>
        <v>-69790</v>
      </c>
      <c r="R13" s="175">
        <f>'[1]Trial Balance'!$H$283</f>
        <v>160832.22</v>
      </c>
      <c r="S13" s="236">
        <f t="shared" si="2"/>
        <v>7463.220000000001</v>
      </c>
      <c r="T13" s="175">
        <f>'[1]Trial Balance'!$J$283</f>
        <v>178880.01</v>
      </c>
      <c r="U13" s="236">
        <f t="shared" si="3"/>
        <v>18047.790000000008</v>
      </c>
      <c r="V13" s="175">
        <f>'[1]Trial Balance'!$L$283</f>
        <v>309975.41030000005</v>
      </c>
      <c r="W13" s="247">
        <f t="shared" si="4"/>
        <v>131095.40030000004</v>
      </c>
      <c r="Y13" s="1" t="s">
        <v>483</v>
      </c>
    </row>
    <row r="14" spans="1:23" s="1" customFormat="1" ht="15.75" thickBot="1">
      <c r="A14" s="20" t="s">
        <v>30</v>
      </c>
      <c r="B14" s="23">
        <f>SUM(B9:B13)</f>
        <v>2095420</v>
      </c>
      <c r="C14" s="23">
        <f>SUM(C9:C13)</f>
        <v>1884617.3399999999</v>
      </c>
      <c r="D14" s="23">
        <f t="shared" si="5"/>
        <v>-210802.66000000015</v>
      </c>
      <c r="E14" s="24">
        <f t="shared" si="6"/>
        <v>-0.10060162640425316</v>
      </c>
      <c r="F14" s="2">
        <v>2305</v>
      </c>
      <c r="G14" s="2" t="s">
        <v>31</v>
      </c>
      <c r="H14" s="2"/>
      <c r="I14" s="2"/>
      <c r="J14" s="2"/>
      <c r="K14" s="14" t="s">
        <v>32</v>
      </c>
      <c r="L14" s="146">
        <v>137134</v>
      </c>
      <c r="M14" s="16"/>
      <c r="N14" s="175">
        <f>'[1]Trial Balance'!$D$284</f>
        <v>133540</v>
      </c>
      <c r="O14" s="16">
        <f t="shared" si="0"/>
        <v>-3594</v>
      </c>
      <c r="P14" s="175">
        <f>'[1]Trial Balance'!$F$284</f>
        <v>107960</v>
      </c>
      <c r="Q14" s="236">
        <f t="shared" si="1"/>
        <v>-25580</v>
      </c>
      <c r="R14" s="175">
        <f>'[1]Trial Balance'!$H$284</f>
        <v>26977.19</v>
      </c>
      <c r="S14" s="236">
        <f t="shared" si="2"/>
        <v>-80982.81</v>
      </c>
      <c r="T14" s="175">
        <f>'[1]Trial Balance'!$J$284</f>
        <v>122487.91333333333</v>
      </c>
      <c r="U14" s="236">
        <f t="shared" si="3"/>
        <v>95510.72333333333</v>
      </c>
      <c r="V14" s="175">
        <f>'[1]Trial Balance'!$L$284</f>
        <v>126162.55073333334</v>
      </c>
      <c r="W14" s="247">
        <f t="shared" si="4"/>
        <v>3674.637400000007</v>
      </c>
    </row>
    <row r="15" spans="1:23" s="1" customFormat="1" ht="15.75" thickTop="1">
      <c r="A15" s="20"/>
      <c r="E15" s="25"/>
      <c r="F15" s="2">
        <v>2306</v>
      </c>
      <c r="G15" s="2" t="s">
        <v>33</v>
      </c>
      <c r="H15" s="2"/>
      <c r="I15" s="2"/>
      <c r="J15" s="2"/>
      <c r="K15" s="14" t="s">
        <v>34</v>
      </c>
      <c r="L15" s="146"/>
      <c r="M15" s="16"/>
      <c r="N15" s="175">
        <f>'[1]Trial Balance'!$D$285</f>
        <v>0</v>
      </c>
      <c r="O15" s="16">
        <f t="shared" si="0"/>
        <v>0</v>
      </c>
      <c r="P15" s="175">
        <f>'[1]Trial Balance'!F285</f>
        <v>0</v>
      </c>
      <c r="Q15" s="16">
        <f t="shared" si="1"/>
        <v>0</v>
      </c>
      <c r="R15" s="175">
        <f>'[1]Trial Balance'!$H$285</f>
        <v>0</v>
      </c>
      <c r="S15" s="16">
        <f t="shared" si="2"/>
        <v>0</v>
      </c>
      <c r="T15" s="175">
        <f>'[1]Trial Balance'!$J$285</f>
        <v>0</v>
      </c>
      <c r="U15" s="16">
        <f t="shared" si="3"/>
        <v>0</v>
      </c>
      <c r="V15" s="175">
        <f>'[1]Trial Balance'!$L$285</f>
        <v>0</v>
      </c>
      <c r="W15" s="67">
        <f t="shared" si="4"/>
        <v>0</v>
      </c>
    </row>
    <row r="16" spans="5:23" s="1" customFormat="1" ht="15">
      <c r="E16" s="25"/>
      <c r="F16" s="2">
        <v>2308</v>
      </c>
      <c r="G16" s="2" t="s">
        <v>35</v>
      </c>
      <c r="H16" s="2"/>
      <c r="I16" s="2"/>
      <c r="J16" s="2"/>
      <c r="K16" s="14" t="s">
        <v>36</v>
      </c>
      <c r="L16" s="146">
        <v>1558</v>
      </c>
      <c r="M16" s="16"/>
      <c r="N16" s="175">
        <f>'[1]Trial Balance'!$D$286</f>
        <v>2449</v>
      </c>
      <c r="O16" s="16">
        <f t="shared" si="0"/>
        <v>891</v>
      </c>
      <c r="P16" s="175">
        <f>'[1]Trial Balance'!$F$286</f>
        <v>0</v>
      </c>
      <c r="Q16" s="16">
        <f t="shared" si="1"/>
        <v>-2449</v>
      </c>
      <c r="R16" s="175">
        <f>'[1]Trial Balance'!$H$286</f>
        <v>0</v>
      </c>
      <c r="S16" s="16">
        <f t="shared" si="2"/>
        <v>0</v>
      </c>
      <c r="T16" s="175">
        <f>'[1]Trial Balance'!$J$286</f>
        <v>0</v>
      </c>
      <c r="U16" s="16">
        <f t="shared" si="3"/>
        <v>0</v>
      </c>
      <c r="V16" s="175">
        <f>'[1]Trial Balance'!$L$286</f>
        <v>630.6175000000001</v>
      </c>
      <c r="W16" s="67">
        <f t="shared" si="4"/>
        <v>630.6175000000001</v>
      </c>
    </row>
    <row r="17" spans="2:23" s="1" customFormat="1" ht="15">
      <c r="B17" s="19" t="s">
        <v>55</v>
      </c>
      <c r="C17" s="19" t="s">
        <v>67</v>
      </c>
      <c r="D17" s="19" t="s">
        <v>12</v>
      </c>
      <c r="E17" s="19" t="s">
        <v>13</v>
      </c>
      <c r="F17" s="2">
        <v>2310</v>
      </c>
      <c r="G17" s="2" t="s">
        <v>37</v>
      </c>
      <c r="H17" s="2"/>
      <c r="I17" s="2"/>
      <c r="J17" s="2"/>
      <c r="K17" s="14" t="s">
        <v>38</v>
      </c>
      <c r="L17" s="146">
        <v>25467</v>
      </c>
      <c r="M17" s="16"/>
      <c r="N17" s="175">
        <f>'[1]Trial Balance'!$D$287</f>
        <v>29339</v>
      </c>
      <c r="O17" s="16">
        <f t="shared" si="0"/>
        <v>3872</v>
      </c>
      <c r="P17" s="175">
        <f>'[1]Trial Balance'!$F$287</f>
        <v>25509</v>
      </c>
      <c r="Q17" s="16">
        <f t="shared" si="1"/>
        <v>-3830</v>
      </c>
      <c r="R17" s="175">
        <f>'[1]Trial Balance'!$H$287</f>
        <v>17497.72</v>
      </c>
      <c r="S17" s="16">
        <f t="shared" si="2"/>
        <v>-8011.279999999999</v>
      </c>
      <c r="T17" s="175">
        <f>'[1]Trial Balance'!$J$287</f>
        <v>18022.6516</v>
      </c>
      <c r="U17" s="16">
        <f t="shared" si="3"/>
        <v>524.9315999999999</v>
      </c>
      <c r="V17" s="175">
        <f>'[1]Trial Balance'!$L$287</f>
        <v>25000</v>
      </c>
      <c r="W17" s="67">
        <f t="shared" si="4"/>
        <v>6977.348399999999</v>
      </c>
    </row>
    <row r="18" spans="1:23" s="1" customFormat="1" ht="15">
      <c r="A18" s="20" t="s">
        <v>6</v>
      </c>
      <c r="B18" s="21">
        <f>C9</f>
        <v>617177</v>
      </c>
      <c r="C18" s="21">
        <f>P29</f>
        <v>505675</v>
      </c>
      <c r="D18" s="21">
        <f aca="true" t="shared" si="7" ref="D18:D23">C18-B18</f>
        <v>-111502</v>
      </c>
      <c r="E18" s="22">
        <f aca="true" t="shared" si="8" ref="E18:E23">D18/B18</f>
        <v>-0.18066454193853626</v>
      </c>
      <c r="F18" s="2">
        <v>2315</v>
      </c>
      <c r="G18" s="2" t="s">
        <v>39</v>
      </c>
      <c r="H18" s="2"/>
      <c r="I18" s="2"/>
      <c r="J18" s="2"/>
      <c r="K18" s="14" t="s">
        <v>40</v>
      </c>
      <c r="L18" s="146">
        <v>3966</v>
      </c>
      <c r="M18" s="16"/>
      <c r="N18" s="175">
        <f>'[1]Trial Balance'!$D$288</f>
        <v>15286</v>
      </c>
      <c r="O18" s="16">
        <f t="shared" si="0"/>
        <v>11320</v>
      </c>
      <c r="P18" s="175">
        <f>'[1]Trial Balance'!$F$288</f>
        <v>25314</v>
      </c>
      <c r="Q18" s="16">
        <f t="shared" si="1"/>
        <v>10028</v>
      </c>
      <c r="R18" s="175">
        <f>'[1]Trial Balance'!$H$288</f>
        <v>17456.27</v>
      </c>
      <c r="S18" s="16">
        <f t="shared" si="2"/>
        <v>-7857.73</v>
      </c>
      <c r="T18" s="175">
        <f>'[1]Trial Balance'!$J$288</f>
        <v>19352.37</v>
      </c>
      <c r="U18" s="16">
        <f t="shared" si="3"/>
        <v>1896.0999999999985</v>
      </c>
      <c r="V18" s="175">
        <f>'[1]Trial Balance'!$L$288</f>
        <v>19932.9411</v>
      </c>
      <c r="W18" s="67">
        <f t="shared" si="4"/>
        <v>580.571100000001</v>
      </c>
    </row>
    <row r="19" spans="1:23" s="1" customFormat="1" ht="15">
      <c r="A19" s="20" t="s">
        <v>18</v>
      </c>
      <c r="B19" s="21">
        <f>C10</f>
        <v>77337</v>
      </c>
      <c r="C19" s="21">
        <f>P50</f>
        <v>139615</v>
      </c>
      <c r="D19" s="21">
        <f t="shared" si="7"/>
        <v>62278</v>
      </c>
      <c r="E19" s="22">
        <f t="shared" si="8"/>
        <v>0.8052807841007539</v>
      </c>
      <c r="F19" s="2">
        <v>2320</v>
      </c>
      <c r="G19" s="2" t="s">
        <v>41</v>
      </c>
      <c r="H19" s="2"/>
      <c r="I19" s="2"/>
      <c r="J19" s="2"/>
      <c r="K19" s="14" t="s">
        <v>42</v>
      </c>
      <c r="L19" s="146"/>
      <c r="M19" s="16"/>
      <c r="N19" s="175">
        <f>'[1]Trial Balance'!$D$289</f>
        <v>0</v>
      </c>
      <c r="O19" s="16">
        <f t="shared" si="0"/>
        <v>0</v>
      </c>
      <c r="P19" s="175">
        <f>'[1]Trial Balance'!$F$289</f>
        <v>0</v>
      </c>
      <c r="Q19" s="16">
        <f t="shared" si="1"/>
        <v>0</v>
      </c>
      <c r="R19" s="175">
        <f>'[1]Trial Balance'!$H$289</f>
        <v>0</v>
      </c>
      <c r="S19" s="16">
        <f t="shared" si="2"/>
        <v>0</v>
      </c>
      <c r="T19" s="175">
        <f>'[1]Trial Balance'!$J$289</f>
        <v>0</v>
      </c>
      <c r="U19" s="16">
        <f t="shared" si="3"/>
        <v>0</v>
      </c>
      <c r="V19" s="175">
        <f>'[1]Trial Balance'!$L$289</f>
        <v>0</v>
      </c>
      <c r="W19" s="67">
        <f t="shared" si="4"/>
        <v>0</v>
      </c>
    </row>
    <row r="20" spans="1:23" s="1" customFormat="1" ht="15">
      <c r="A20" s="20" t="s">
        <v>21</v>
      </c>
      <c r="B20" s="21">
        <f>C11</f>
        <v>440285</v>
      </c>
      <c r="C20" s="21">
        <f>P61</f>
        <v>407715</v>
      </c>
      <c r="D20" s="21">
        <f t="shared" si="7"/>
        <v>-32570</v>
      </c>
      <c r="E20" s="22">
        <f t="shared" si="8"/>
        <v>-0.0739748117696492</v>
      </c>
      <c r="F20" s="2">
        <v>2325</v>
      </c>
      <c r="G20" s="2" t="s">
        <v>43</v>
      </c>
      <c r="H20" s="2"/>
      <c r="I20" s="2"/>
      <c r="J20" s="2"/>
      <c r="K20" s="14" t="s">
        <v>44</v>
      </c>
      <c r="L20" s="146"/>
      <c r="M20" s="16"/>
      <c r="N20" s="175">
        <f>'[1]Trial Balance'!$D$290</f>
        <v>0</v>
      </c>
      <c r="O20" s="16">
        <f t="shared" si="0"/>
        <v>0</v>
      </c>
      <c r="P20" s="175">
        <f>'[1]Trial Balance'!$F$290</f>
        <v>0</v>
      </c>
      <c r="Q20" s="16">
        <f t="shared" si="1"/>
        <v>0</v>
      </c>
      <c r="R20" s="175">
        <f>'[1]Trial Balance'!$H$290</f>
        <v>0</v>
      </c>
      <c r="S20" s="16">
        <f t="shared" si="2"/>
        <v>0</v>
      </c>
      <c r="T20" s="175">
        <f>'[1]Trial Balance'!$J$290</f>
        <v>0</v>
      </c>
      <c r="U20" s="16">
        <f t="shared" si="3"/>
        <v>0</v>
      </c>
      <c r="V20" s="175">
        <f>'[1]Trial Balance'!$L$290</f>
        <v>0</v>
      </c>
      <c r="W20" s="67">
        <f t="shared" si="4"/>
        <v>0</v>
      </c>
    </row>
    <row r="21" spans="1:23" s="1" customFormat="1" ht="15">
      <c r="A21" s="20" t="s">
        <v>24</v>
      </c>
      <c r="B21" s="21">
        <f>C12</f>
        <v>8053</v>
      </c>
      <c r="C21" s="21">
        <f>P71</f>
        <v>-4705</v>
      </c>
      <c r="D21" s="21">
        <f t="shared" si="7"/>
        <v>-12758</v>
      </c>
      <c r="E21" s="22">
        <f t="shared" si="8"/>
        <v>-1.5842543151620514</v>
      </c>
      <c r="F21" s="2"/>
      <c r="G21" s="2"/>
      <c r="H21" s="2"/>
      <c r="I21" s="2"/>
      <c r="J21" s="2"/>
      <c r="K21" s="14" t="s">
        <v>45</v>
      </c>
      <c r="L21" s="146"/>
      <c r="M21" s="16"/>
      <c r="N21" s="175">
        <f>'[1]Trial Balance'!$D$291</f>
        <v>0</v>
      </c>
      <c r="O21" s="16">
        <f t="shared" si="0"/>
        <v>0</v>
      </c>
      <c r="P21" s="175">
        <f>'[1]Trial Balance'!$F$291</f>
        <v>0</v>
      </c>
      <c r="Q21" s="16">
        <f t="shared" si="1"/>
        <v>0</v>
      </c>
      <c r="R21" s="175">
        <f>'[1]Trial Balance'!$H$291</f>
        <v>0</v>
      </c>
      <c r="S21" s="16">
        <f t="shared" si="2"/>
        <v>0</v>
      </c>
      <c r="T21" s="175">
        <f>'[1]Trial Balance'!$J$291</f>
        <v>0</v>
      </c>
      <c r="U21" s="16">
        <f t="shared" si="3"/>
        <v>0</v>
      </c>
      <c r="V21" s="175">
        <f>'[1]Trial Balance'!$L$291</f>
        <v>0</v>
      </c>
      <c r="W21" s="67">
        <f t="shared" si="4"/>
        <v>0</v>
      </c>
    </row>
    <row r="22" spans="1:23" s="1" customFormat="1" ht="15">
      <c r="A22" s="20" t="s">
        <v>27</v>
      </c>
      <c r="B22" s="21">
        <f>C13</f>
        <v>741765.34</v>
      </c>
      <c r="C22" s="21">
        <f>P93</f>
        <v>806923.61</v>
      </c>
      <c r="D22" s="21">
        <f t="shared" si="7"/>
        <v>65158.27000000002</v>
      </c>
      <c r="E22" s="22">
        <f t="shared" si="8"/>
        <v>0.08784216043310951</v>
      </c>
      <c r="F22" s="2">
        <v>2330</v>
      </c>
      <c r="G22" s="2" t="s">
        <v>46</v>
      </c>
      <c r="H22" s="2"/>
      <c r="I22" s="2"/>
      <c r="J22" s="2"/>
      <c r="K22" s="14" t="s">
        <v>47</v>
      </c>
      <c r="L22" s="146"/>
      <c r="M22" s="16"/>
      <c r="N22" s="175">
        <f>'[1]Trial Balance'!$D$292</f>
        <v>0</v>
      </c>
      <c r="O22" s="16">
        <f t="shared" si="0"/>
        <v>0</v>
      </c>
      <c r="P22" s="175">
        <f>'[1]Trial Balance'!$F$292</f>
        <v>0</v>
      </c>
      <c r="Q22" s="16">
        <f t="shared" si="1"/>
        <v>0</v>
      </c>
      <c r="R22" s="175">
        <f>'[1]Trial Balance'!$H$292</f>
        <v>0</v>
      </c>
      <c r="S22" s="16">
        <f t="shared" si="2"/>
        <v>0</v>
      </c>
      <c r="T22" s="175">
        <f>'[1]Trial Balance'!$J$292</f>
        <v>15202</v>
      </c>
      <c r="U22" s="16">
        <f t="shared" si="3"/>
        <v>15202</v>
      </c>
      <c r="V22" s="175">
        <f>'[1]Trial Balance'!$L$292</f>
        <v>31316.120000000003</v>
      </c>
      <c r="W22" s="67">
        <f t="shared" si="4"/>
        <v>16114.120000000003</v>
      </c>
    </row>
    <row r="23" spans="1:23" s="1" customFormat="1" ht="15.75" thickBot="1">
      <c r="A23" s="20" t="s">
        <v>30</v>
      </c>
      <c r="B23" s="23">
        <f>SUM(B18:B22)</f>
        <v>1884617.3399999999</v>
      </c>
      <c r="C23" s="23">
        <f>SUM(C18:C22)</f>
        <v>1855223.6099999999</v>
      </c>
      <c r="D23" s="23">
        <f t="shared" si="7"/>
        <v>-29393.72999999998</v>
      </c>
      <c r="E23" s="60">
        <f t="shared" si="8"/>
        <v>-0.015596656878897221</v>
      </c>
      <c r="F23" s="2">
        <v>2335</v>
      </c>
      <c r="G23" s="2" t="s">
        <v>48</v>
      </c>
      <c r="H23" s="2"/>
      <c r="I23" s="2"/>
      <c r="J23" s="2"/>
      <c r="K23" s="14" t="s">
        <v>49</v>
      </c>
      <c r="L23" s="146"/>
      <c r="M23" s="16"/>
      <c r="N23" s="175">
        <f>'[1]Trial Balance'!$D$293</f>
        <v>0</v>
      </c>
      <c r="O23" s="16">
        <f t="shared" si="0"/>
        <v>0</v>
      </c>
      <c r="P23" s="175">
        <f>'[1]Trial Balance'!$F$293</f>
        <v>300</v>
      </c>
      <c r="Q23" s="16">
        <f t="shared" si="1"/>
        <v>300</v>
      </c>
      <c r="R23" s="175">
        <f>'[1]Trial Balance'!$H$293</f>
        <v>0</v>
      </c>
      <c r="S23" s="16">
        <f t="shared" si="2"/>
        <v>-300</v>
      </c>
      <c r="T23" s="175">
        <f>'[1]Trial Balance'!$J$293</f>
        <v>0</v>
      </c>
      <c r="U23" s="16">
        <f t="shared" si="3"/>
        <v>0</v>
      </c>
      <c r="V23" s="175">
        <f>'[1]Trial Balance'!$L$293</f>
        <v>0</v>
      </c>
      <c r="W23" s="67">
        <f t="shared" si="4"/>
        <v>0</v>
      </c>
    </row>
    <row r="24" spans="1:23" s="1" customFormat="1" ht="15.75" customHeight="1" thickTop="1">
      <c r="A24" s="20" t="s">
        <v>50</v>
      </c>
      <c r="E24" s="25"/>
      <c r="F24" s="2">
        <v>2340</v>
      </c>
      <c r="G24" s="2" t="s">
        <v>51</v>
      </c>
      <c r="H24" s="2"/>
      <c r="I24" s="2"/>
      <c r="J24" s="2"/>
      <c r="K24" s="14" t="s">
        <v>52</v>
      </c>
      <c r="L24" s="146"/>
      <c r="M24" s="16"/>
      <c r="N24" s="175">
        <f>'[1]Trial Balance'!$D$294</f>
        <v>0</v>
      </c>
      <c r="O24" s="16">
        <f t="shared" si="0"/>
        <v>0</v>
      </c>
      <c r="P24" s="175">
        <f>'[1]Trial Balance'!$F$294</f>
        <v>0</v>
      </c>
      <c r="Q24" s="16">
        <f t="shared" si="1"/>
        <v>0</v>
      </c>
      <c r="R24" s="175">
        <f>'[1]Trial Balance'!$H$294</f>
        <v>0</v>
      </c>
      <c r="S24" s="16">
        <f t="shared" si="2"/>
        <v>0</v>
      </c>
      <c r="T24" s="175">
        <f>'[1]Trial Balance'!$J$294</f>
        <v>0</v>
      </c>
      <c r="U24" s="16">
        <f t="shared" si="3"/>
        <v>0</v>
      </c>
      <c r="V24" s="175">
        <f>'[1]Trial Balance'!$L$294</f>
        <v>77.25</v>
      </c>
      <c r="W24" s="67">
        <f t="shared" si="4"/>
        <v>77.25</v>
      </c>
    </row>
    <row r="25" spans="5:23" s="1" customFormat="1" ht="15">
      <c r="E25" s="25"/>
      <c r="F25" s="2">
        <v>2345</v>
      </c>
      <c r="G25" s="2" t="s">
        <v>53</v>
      </c>
      <c r="H25" s="2"/>
      <c r="I25" s="2"/>
      <c r="J25" s="2"/>
      <c r="K25" s="14" t="s">
        <v>54</v>
      </c>
      <c r="L25" s="146">
        <v>2216</v>
      </c>
      <c r="M25" s="16"/>
      <c r="N25" s="175">
        <f>'[1]Trial Balance'!$D$295</f>
        <v>607</v>
      </c>
      <c r="O25" s="16">
        <f t="shared" si="0"/>
        <v>-1609</v>
      </c>
      <c r="P25" s="175">
        <f>'[1]Trial Balance'!$F$295</f>
        <v>7921</v>
      </c>
      <c r="Q25" s="16">
        <f t="shared" si="1"/>
        <v>7314</v>
      </c>
      <c r="R25" s="175">
        <f>'[1]Trial Balance'!$H$295</f>
        <v>4423.56</v>
      </c>
      <c r="S25" s="16">
        <f t="shared" si="2"/>
        <v>-3497.4399999999996</v>
      </c>
      <c r="T25" s="175">
        <f>'[1]Trial Balance'!$J$295</f>
        <v>4556.266799999999</v>
      </c>
      <c r="U25" s="16">
        <f t="shared" si="3"/>
        <v>132.70679999999902</v>
      </c>
      <c r="V25" s="175">
        <f>'[1]Trial Balance'!$L$295</f>
        <v>4692.954804</v>
      </c>
      <c r="W25" s="67">
        <f t="shared" si="4"/>
        <v>136.68800400000055</v>
      </c>
    </row>
    <row r="26" spans="2:23" s="1" customFormat="1" ht="15">
      <c r="B26" s="19" t="s">
        <v>67</v>
      </c>
      <c r="C26" s="19" t="s">
        <v>173</v>
      </c>
      <c r="D26" s="19" t="s">
        <v>12</v>
      </c>
      <c r="E26" s="19" t="s">
        <v>13</v>
      </c>
      <c r="F26" s="2"/>
      <c r="G26" s="2"/>
      <c r="H26" s="2"/>
      <c r="I26" s="2"/>
      <c r="J26" s="2"/>
      <c r="K26" s="14" t="s">
        <v>56</v>
      </c>
      <c r="L26" s="146"/>
      <c r="M26" s="16"/>
      <c r="N26" s="175">
        <f>'[1]Trial Balance'!$D$296</f>
        <v>0</v>
      </c>
      <c r="O26" s="16">
        <f t="shared" si="0"/>
        <v>0</v>
      </c>
      <c r="P26" s="175">
        <f>'[1]Trial Balance'!$F$296</f>
        <v>0</v>
      </c>
      <c r="Q26" s="16">
        <f t="shared" si="1"/>
        <v>0</v>
      </c>
      <c r="R26" s="175">
        <f>'[1]Trial Balance'!$H$296</f>
        <v>0</v>
      </c>
      <c r="S26" s="16">
        <f t="shared" si="2"/>
        <v>0</v>
      </c>
      <c r="T26" s="175">
        <f>'[1]Trial Balance'!$J$296</f>
        <v>0</v>
      </c>
      <c r="U26" s="16">
        <f t="shared" si="3"/>
        <v>0</v>
      </c>
      <c r="V26" s="175">
        <f>'[1]Trial Balance'!$L$296</f>
        <v>0</v>
      </c>
      <c r="W26" s="67">
        <f t="shared" si="4"/>
        <v>0</v>
      </c>
    </row>
    <row r="27" spans="1:23" s="1" customFormat="1" ht="15">
      <c r="A27" s="20" t="s">
        <v>6</v>
      </c>
      <c r="B27" s="21">
        <f>C18</f>
        <v>505675</v>
      </c>
      <c r="C27" s="21">
        <f>R$29</f>
        <v>415820.95</v>
      </c>
      <c r="D27" s="21">
        <f aca="true" t="shared" si="9" ref="D27:D32">C27-B27</f>
        <v>-89854.04999999999</v>
      </c>
      <c r="E27" s="22">
        <f aca="true" t="shared" si="10" ref="E27:E32">D27/B27</f>
        <v>-0.17769130370297126</v>
      </c>
      <c r="F27" s="2"/>
      <c r="G27" s="2"/>
      <c r="H27" s="2"/>
      <c r="I27" s="2"/>
      <c r="J27" s="2"/>
      <c r="K27" s="26" t="s">
        <v>57</v>
      </c>
      <c r="L27" s="146"/>
      <c r="M27" s="16"/>
      <c r="N27" s="175">
        <f>'[1]Trial Balance'!$D$297</f>
        <v>0</v>
      </c>
      <c r="O27" s="16">
        <f t="shared" si="0"/>
        <v>0</v>
      </c>
      <c r="P27" s="175">
        <f>'[1]Trial Balance'!$F$297</f>
        <v>0</v>
      </c>
      <c r="Q27" s="16">
        <f t="shared" si="1"/>
        <v>0</v>
      </c>
      <c r="R27" s="175">
        <f>'[1]Trial Balance'!$H$297</f>
        <v>0</v>
      </c>
      <c r="S27" s="16">
        <f t="shared" si="2"/>
        <v>0</v>
      </c>
      <c r="T27" s="175">
        <f>'[1]Trial Balance'!$J$297</f>
        <v>0</v>
      </c>
      <c r="U27" s="16">
        <f t="shared" si="3"/>
        <v>0</v>
      </c>
      <c r="V27" s="175">
        <f>'[1]Trial Balance'!$L$297</f>
        <v>0</v>
      </c>
      <c r="W27" s="67">
        <f t="shared" si="4"/>
        <v>0</v>
      </c>
    </row>
    <row r="28" spans="1:23" s="1" customFormat="1" ht="15">
      <c r="A28" s="20" t="s">
        <v>18</v>
      </c>
      <c r="B28" s="21">
        <f>C19</f>
        <v>139615</v>
      </c>
      <c r="C28" s="21">
        <f>R$50</f>
        <v>225311.69</v>
      </c>
      <c r="D28" s="21">
        <f t="shared" si="9"/>
        <v>85696.69</v>
      </c>
      <c r="E28" s="22">
        <f t="shared" si="10"/>
        <v>0.6138071840418293</v>
      </c>
      <c r="F28" s="2">
        <v>2350</v>
      </c>
      <c r="G28" s="2" t="s">
        <v>58</v>
      </c>
      <c r="H28" s="2"/>
      <c r="I28" s="2"/>
      <c r="J28" s="2"/>
      <c r="K28" s="14" t="s">
        <v>59</v>
      </c>
      <c r="L28" s="146"/>
      <c r="M28" s="16"/>
      <c r="N28" s="175">
        <f>'[1]Trial Balance'!$D$298</f>
        <v>0</v>
      </c>
      <c r="O28" s="16">
        <f t="shared" si="0"/>
        <v>0</v>
      </c>
      <c r="P28" s="175">
        <f>'[1]Trial Balance'!$F$298</f>
        <v>0</v>
      </c>
      <c r="Q28" s="16">
        <f t="shared" si="1"/>
        <v>0</v>
      </c>
      <c r="R28" s="175">
        <f>'[1]Trial Balance'!$H$298</f>
        <v>0</v>
      </c>
      <c r="S28" s="16">
        <f t="shared" si="2"/>
        <v>0</v>
      </c>
      <c r="T28" s="175">
        <f>'[1]Trial Balance'!$J$298</f>
        <v>0</v>
      </c>
      <c r="U28" s="16">
        <f t="shared" si="3"/>
        <v>0</v>
      </c>
      <c r="V28" s="175">
        <f>'[1]Trial Balance'!$L$298</f>
        <v>0</v>
      </c>
      <c r="W28" s="67">
        <f t="shared" si="4"/>
        <v>0</v>
      </c>
    </row>
    <row r="29" spans="1:23" s="1" customFormat="1" ht="15">
      <c r="A29" s="20" t="s">
        <v>21</v>
      </c>
      <c r="B29" s="21">
        <f>C20</f>
        <v>407715</v>
      </c>
      <c r="C29" s="21">
        <f>R$61</f>
        <v>425479.32</v>
      </c>
      <c r="D29" s="21">
        <f t="shared" si="9"/>
        <v>17764.320000000007</v>
      </c>
      <c r="E29" s="22">
        <f t="shared" si="10"/>
        <v>0.04357043523049191</v>
      </c>
      <c r="F29" s="2"/>
      <c r="G29" s="2"/>
      <c r="H29" s="27"/>
      <c r="I29" s="2"/>
      <c r="J29" s="2"/>
      <c r="K29" s="28" t="s">
        <v>60</v>
      </c>
      <c r="L29" s="147">
        <f>SUM(L6:L28)</f>
        <v>620871</v>
      </c>
      <c r="M29" s="16"/>
      <c r="N29" s="30">
        <f>SUM(N6:N28)</f>
        <v>617177</v>
      </c>
      <c r="O29" s="16">
        <f t="shared" si="0"/>
        <v>-3694</v>
      </c>
      <c r="P29" s="30">
        <f>SUM(P6:P28)</f>
        <v>505675</v>
      </c>
      <c r="Q29" s="16">
        <f t="shared" si="1"/>
        <v>-111502</v>
      </c>
      <c r="R29" s="30">
        <f>SUM(R6:R28)</f>
        <v>415820.95</v>
      </c>
      <c r="S29" s="16">
        <f t="shared" si="2"/>
        <v>-89854.04999999999</v>
      </c>
      <c r="T29" s="30">
        <f>SUM(T6:T28)</f>
        <v>579608.7852</v>
      </c>
      <c r="U29" s="16">
        <f t="shared" si="3"/>
        <v>163787.83520000003</v>
      </c>
      <c r="V29" s="30">
        <f>SUM(V6:V28)</f>
        <v>879396.1671413335</v>
      </c>
      <c r="W29" s="67">
        <f t="shared" si="4"/>
        <v>299787.3819413334</v>
      </c>
    </row>
    <row r="30" spans="1:23" s="1" customFormat="1" ht="15">
      <c r="A30" s="20" t="s">
        <v>24</v>
      </c>
      <c r="B30" s="21">
        <f>C21</f>
        <v>-4705</v>
      </c>
      <c r="C30" s="21">
        <f>R$71</f>
        <v>13354.54</v>
      </c>
      <c r="D30" s="21">
        <f t="shared" si="9"/>
        <v>18059.54</v>
      </c>
      <c r="E30" s="22">
        <f t="shared" si="10"/>
        <v>-3.838371944739639</v>
      </c>
      <c r="F30" s="2"/>
      <c r="G30" s="2"/>
      <c r="H30" s="27"/>
      <c r="I30" s="2"/>
      <c r="J30" s="2"/>
      <c r="K30" s="313"/>
      <c r="L30" s="313"/>
      <c r="M30" s="313"/>
      <c r="N30" s="313"/>
      <c r="O30" s="313"/>
      <c r="P30" s="313"/>
      <c r="Q30" s="16"/>
      <c r="R30" s="13"/>
      <c r="S30" s="16">
        <f t="shared" si="2"/>
        <v>0</v>
      </c>
      <c r="T30" s="13"/>
      <c r="U30" s="16">
        <f t="shared" si="3"/>
        <v>0</v>
      </c>
      <c r="V30" s="13"/>
      <c r="W30" s="67">
        <f t="shared" si="4"/>
        <v>0</v>
      </c>
    </row>
    <row r="31" spans="1:23" s="1" customFormat="1" ht="15">
      <c r="A31" s="20" t="s">
        <v>27</v>
      </c>
      <c r="B31" s="21">
        <f>C22</f>
        <v>806923.61</v>
      </c>
      <c r="C31" s="21">
        <f>R$93</f>
        <v>1019723.7100000001</v>
      </c>
      <c r="D31" s="21">
        <f t="shared" si="9"/>
        <v>212800.1000000001</v>
      </c>
      <c r="E31" s="22">
        <f t="shared" si="10"/>
        <v>0.2637177762093243</v>
      </c>
      <c r="F31" s="2"/>
      <c r="G31" s="2"/>
      <c r="H31" s="2"/>
      <c r="I31" s="2"/>
      <c r="J31" s="2"/>
      <c r="K31" s="12" t="s">
        <v>18</v>
      </c>
      <c r="L31" s="58"/>
      <c r="M31" s="16"/>
      <c r="N31" s="16"/>
      <c r="O31" s="16"/>
      <c r="P31" s="16"/>
      <c r="Q31" s="16"/>
      <c r="R31" s="16"/>
      <c r="S31" s="16">
        <f t="shared" si="2"/>
        <v>0</v>
      </c>
      <c r="T31" s="16"/>
      <c r="U31" s="16">
        <f t="shared" si="3"/>
        <v>0</v>
      </c>
      <c r="V31" s="16"/>
      <c r="W31" s="67">
        <f t="shared" si="4"/>
        <v>0</v>
      </c>
    </row>
    <row r="32" spans="1:23" s="1" customFormat="1" ht="15.75" thickBot="1">
      <c r="A32" s="20" t="s">
        <v>30</v>
      </c>
      <c r="B32" s="23">
        <f>SUM(B27:B31)</f>
        <v>1855223.6099999999</v>
      </c>
      <c r="C32" s="23">
        <f>SUM(C27:C31)</f>
        <v>2099690.21</v>
      </c>
      <c r="D32" s="23">
        <f t="shared" si="9"/>
        <v>244466.6000000001</v>
      </c>
      <c r="E32" s="24">
        <f t="shared" si="10"/>
        <v>0.13177204013698388</v>
      </c>
      <c r="F32" s="2">
        <v>0</v>
      </c>
      <c r="G32" s="2" t="s">
        <v>61</v>
      </c>
      <c r="H32" s="2"/>
      <c r="I32" s="2"/>
      <c r="J32" s="2"/>
      <c r="K32" s="14" t="s">
        <v>62</v>
      </c>
      <c r="L32" s="195"/>
      <c r="M32" s="16"/>
      <c r="N32" s="175">
        <f>'[1]Trial Balance'!$D$300</f>
        <v>0</v>
      </c>
      <c r="O32" s="16">
        <f aca="true" t="shared" si="11" ref="O32:O50">N32-L32</f>
        <v>0</v>
      </c>
      <c r="P32" s="175">
        <f>'[1]Trial Balance'!$F$300</f>
        <v>0</v>
      </c>
      <c r="Q32" s="16">
        <f t="shared" si="1"/>
        <v>0</v>
      </c>
      <c r="R32" s="175">
        <f>'[1]Trial Balance'!$H$300</f>
        <v>0</v>
      </c>
      <c r="S32" s="16">
        <f t="shared" si="2"/>
        <v>0</v>
      </c>
      <c r="T32" s="175">
        <f>'[1]Trial Balance'!$J$300</f>
        <v>34875</v>
      </c>
      <c r="U32" s="16">
        <f t="shared" si="3"/>
        <v>34875</v>
      </c>
      <c r="V32" s="175">
        <f>'[1]Trial Balance'!$L$300</f>
        <v>52312.5</v>
      </c>
      <c r="W32" s="67">
        <f t="shared" si="4"/>
        <v>17437.5</v>
      </c>
    </row>
    <row r="33" spans="1:23" s="1" customFormat="1" ht="15.75" thickTop="1">
      <c r="A33" s="20" t="s">
        <v>50</v>
      </c>
      <c r="E33" s="25"/>
      <c r="F33" s="2">
        <v>2405</v>
      </c>
      <c r="G33" s="2" t="s">
        <v>63</v>
      </c>
      <c r="H33" s="2"/>
      <c r="I33" s="2"/>
      <c r="J33" s="2"/>
      <c r="K33" s="14" t="s">
        <v>64</v>
      </c>
      <c r="L33" s="195"/>
      <c r="M33" s="16"/>
      <c r="N33" s="175">
        <f>'[1]Trial Balance'!$D$301</f>
        <v>0</v>
      </c>
      <c r="O33" s="16">
        <f t="shared" si="11"/>
        <v>0</v>
      </c>
      <c r="P33" s="175">
        <f>'[1]Trial Balance'!$F$301</f>
        <v>0</v>
      </c>
      <c r="Q33" s="16">
        <f t="shared" si="1"/>
        <v>0</v>
      </c>
      <c r="R33" s="175">
        <f>'[1]Trial Balance'!$H$301</f>
        <v>0</v>
      </c>
      <c r="S33" s="16">
        <f t="shared" si="2"/>
        <v>0</v>
      </c>
      <c r="T33" s="175">
        <f>'[1]Trial Balance'!$J$301</f>
        <v>0</v>
      </c>
      <c r="U33" s="16">
        <f t="shared" si="3"/>
        <v>0</v>
      </c>
      <c r="V33" s="175">
        <f>'[1]Trial Balance'!$L$301</f>
        <v>0</v>
      </c>
      <c r="W33" s="67">
        <f t="shared" si="4"/>
        <v>0</v>
      </c>
    </row>
    <row r="34" spans="5:23" s="1" customFormat="1" ht="15">
      <c r="E34" s="25"/>
      <c r="F34" s="2">
        <v>2410</v>
      </c>
      <c r="G34" s="2" t="s">
        <v>65</v>
      </c>
      <c r="H34" s="2"/>
      <c r="I34" s="2"/>
      <c r="J34" s="2"/>
      <c r="K34" s="14" t="s">
        <v>66</v>
      </c>
      <c r="L34" s="195"/>
      <c r="M34" s="16"/>
      <c r="N34" s="175">
        <f>'[1]Trial Balance'!$D$302</f>
        <v>0</v>
      </c>
      <c r="O34" s="16">
        <f t="shared" si="11"/>
        <v>0</v>
      </c>
      <c r="P34" s="175">
        <f>'[1]Trial Balance'!$F$302</f>
        <v>0</v>
      </c>
      <c r="Q34" s="16">
        <f t="shared" si="1"/>
        <v>0</v>
      </c>
      <c r="R34" s="175">
        <f>'[1]Trial Balance'!$H$302</f>
        <v>0</v>
      </c>
      <c r="S34" s="16">
        <f t="shared" si="2"/>
        <v>0</v>
      </c>
      <c r="T34" s="175">
        <f>'[1]Trial Balance'!$J$302</f>
        <v>0</v>
      </c>
      <c r="U34" s="16">
        <f t="shared" si="3"/>
        <v>0</v>
      </c>
      <c r="V34" s="175">
        <f>'[1]Trial Balance'!$L$302</f>
        <v>0</v>
      </c>
      <c r="W34" s="67">
        <f t="shared" si="4"/>
        <v>0</v>
      </c>
    </row>
    <row r="35" spans="2:23" s="1" customFormat="1" ht="15">
      <c r="B35" s="19" t="s">
        <v>173</v>
      </c>
      <c r="C35" s="19" t="s">
        <v>174</v>
      </c>
      <c r="D35" s="19" t="s">
        <v>12</v>
      </c>
      <c r="E35" s="19" t="s">
        <v>13</v>
      </c>
      <c r="F35" s="2">
        <v>2415</v>
      </c>
      <c r="G35" s="2" t="s">
        <v>68</v>
      </c>
      <c r="H35" s="2"/>
      <c r="I35" s="2"/>
      <c r="J35" s="2"/>
      <c r="K35" s="14" t="s">
        <v>69</v>
      </c>
      <c r="L35" s="195"/>
      <c r="M35" s="16"/>
      <c r="N35" s="175">
        <f>'[1]Trial Balance'!$D$303</f>
        <v>0</v>
      </c>
      <c r="O35" s="16">
        <f t="shared" si="11"/>
        <v>0</v>
      </c>
      <c r="P35" s="175">
        <f>'[1]Trial Balance'!$F$303</f>
        <v>0</v>
      </c>
      <c r="Q35" s="16">
        <f t="shared" si="1"/>
        <v>0</v>
      </c>
      <c r="R35" s="175">
        <f>'[1]Trial Balance'!$H$303</f>
        <v>0</v>
      </c>
      <c r="S35" s="16">
        <f t="shared" si="2"/>
        <v>0</v>
      </c>
      <c r="T35" s="175">
        <f>'[1]Trial Balance'!J303</f>
        <v>0</v>
      </c>
      <c r="U35" s="16">
        <f t="shared" si="3"/>
        <v>0</v>
      </c>
      <c r="V35" s="175">
        <f>'[1]Trial Balance'!$L$303</f>
        <v>0</v>
      </c>
      <c r="W35" s="67">
        <f t="shared" si="4"/>
        <v>0</v>
      </c>
    </row>
    <row r="36" spans="1:23" s="1" customFormat="1" ht="15">
      <c r="A36" s="20" t="s">
        <v>6</v>
      </c>
      <c r="B36" s="21">
        <f>C27</f>
        <v>415820.95</v>
      </c>
      <c r="C36" s="21">
        <f>T$29</f>
        <v>579608.7852</v>
      </c>
      <c r="D36" s="21">
        <f aca="true" t="shared" si="12" ref="D36:D41">C36-B36</f>
        <v>163787.83520000003</v>
      </c>
      <c r="E36" s="22">
        <f aca="true" t="shared" si="13" ref="E36:E41">D36/B36</f>
        <v>0.39389029148242777</v>
      </c>
      <c r="F36" s="2">
        <v>2425</v>
      </c>
      <c r="G36" s="2" t="s">
        <v>70</v>
      </c>
      <c r="H36" s="2"/>
      <c r="I36" s="2"/>
      <c r="J36" s="2"/>
      <c r="K36" s="14" t="s">
        <v>71</v>
      </c>
      <c r="L36" s="195">
        <v>3124</v>
      </c>
      <c r="M36" s="16"/>
      <c r="N36" s="175">
        <f>'[1]Trial Balance'!$D$304</f>
        <v>3033</v>
      </c>
      <c r="O36" s="289">
        <f t="shared" si="11"/>
        <v>-91</v>
      </c>
      <c r="P36" s="175">
        <f>'[1]Trial Balance'!$F$304</f>
        <v>8375</v>
      </c>
      <c r="Q36" s="289">
        <f t="shared" si="1"/>
        <v>5342</v>
      </c>
      <c r="R36" s="175">
        <f>'[1]Trial Balance'!$H$304</f>
        <v>36678.38</v>
      </c>
      <c r="S36" s="289">
        <f t="shared" si="2"/>
        <v>28303.379999999997</v>
      </c>
      <c r="T36" s="175">
        <f>'[1]Trial Balance'!$J$304</f>
        <v>40569.7314</v>
      </c>
      <c r="U36" s="289">
        <f t="shared" si="3"/>
        <v>3891.3513999999996</v>
      </c>
      <c r="V36" s="175">
        <f>'[1]Trial Balance'!$L$304</f>
        <v>41786.823342</v>
      </c>
      <c r="W36" s="290">
        <f t="shared" si="4"/>
        <v>1217.0919420000064</v>
      </c>
    </row>
    <row r="37" spans="1:23" s="1" customFormat="1" ht="15">
      <c r="A37" s="20" t="s">
        <v>18</v>
      </c>
      <c r="B37" s="21">
        <f>C28</f>
        <v>225311.69</v>
      </c>
      <c r="C37" s="21">
        <f>T$50</f>
        <v>306218.8626</v>
      </c>
      <c r="D37" s="21">
        <f t="shared" si="12"/>
        <v>80907.17259999999</v>
      </c>
      <c r="E37" s="22">
        <f t="shared" si="13"/>
        <v>0.3590899904039599</v>
      </c>
      <c r="F37" s="2">
        <v>2435</v>
      </c>
      <c r="G37" s="2" t="s">
        <v>72</v>
      </c>
      <c r="H37" s="2"/>
      <c r="I37" s="2"/>
      <c r="J37" s="2"/>
      <c r="K37" s="14" t="s">
        <v>73</v>
      </c>
      <c r="L37" s="195"/>
      <c r="M37" s="16"/>
      <c r="N37" s="175">
        <f>'[1]Trial Balance'!$D$305</f>
        <v>0</v>
      </c>
      <c r="O37" s="16">
        <f t="shared" si="11"/>
        <v>0</v>
      </c>
      <c r="P37" s="175">
        <f>'[1]Trial Balance'!$F$305</f>
        <v>0</v>
      </c>
      <c r="Q37" s="16">
        <f t="shared" si="1"/>
        <v>0</v>
      </c>
      <c r="R37" s="175">
        <f>'[1]Trial Balance'!$H$305</f>
        <v>0</v>
      </c>
      <c r="S37" s="16">
        <f t="shared" si="2"/>
        <v>0</v>
      </c>
      <c r="T37" s="175">
        <f>'[1]Trial Balance'!$J$305</f>
        <v>0</v>
      </c>
      <c r="U37" s="16">
        <f t="shared" si="3"/>
        <v>0</v>
      </c>
      <c r="V37" s="175">
        <f>'[1]Trial Balance'!$L$305</f>
        <v>10000</v>
      </c>
      <c r="W37" s="67">
        <f t="shared" si="4"/>
        <v>10000</v>
      </c>
    </row>
    <row r="38" spans="1:23" s="1" customFormat="1" ht="15">
      <c r="A38" s="20" t="s">
        <v>21</v>
      </c>
      <c r="B38" s="21">
        <f>C29</f>
        <v>425479.32</v>
      </c>
      <c r="C38" s="21">
        <f>T$61</f>
        <v>501542.38413333334</v>
      </c>
      <c r="D38" s="21">
        <f t="shared" si="12"/>
        <v>76063.06413333333</v>
      </c>
      <c r="E38" s="22">
        <f t="shared" si="13"/>
        <v>0.17877029636442338</v>
      </c>
      <c r="F38" s="2">
        <v>0</v>
      </c>
      <c r="G38" s="2" t="s">
        <v>74</v>
      </c>
      <c r="H38" s="2"/>
      <c r="I38" s="2"/>
      <c r="J38" s="2"/>
      <c r="K38" s="14" t="s">
        <v>75</v>
      </c>
      <c r="L38" s="195"/>
      <c r="M38" s="16"/>
      <c r="N38" s="175">
        <f>'[1]Trial Balance'!D306</f>
        <v>0</v>
      </c>
      <c r="O38" s="16">
        <f t="shared" si="11"/>
        <v>0</v>
      </c>
      <c r="P38" s="175">
        <f>'[1]Trial Balance'!$F$306</f>
        <v>0</v>
      </c>
      <c r="Q38" s="16">
        <f t="shared" si="1"/>
        <v>0</v>
      </c>
      <c r="R38" s="175">
        <f>'[1]Trial Balance'!$H$306</f>
        <v>0</v>
      </c>
      <c r="S38" s="16">
        <f t="shared" si="2"/>
        <v>0</v>
      </c>
      <c r="T38" s="175">
        <f>'[1]Trial Balance'!$J$306</f>
        <v>0</v>
      </c>
      <c r="U38" s="16">
        <f t="shared" si="3"/>
        <v>0</v>
      </c>
      <c r="V38" s="175">
        <f>'[1]Trial Balance'!$L$306</f>
        <v>3000</v>
      </c>
      <c r="W38" s="67">
        <f t="shared" si="4"/>
        <v>3000</v>
      </c>
    </row>
    <row r="39" spans="1:25" s="1" customFormat="1" ht="15">
      <c r="A39" s="20" t="s">
        <v>24</v>
      </c>
      <c r="B39" s="21">
        <f>C30</f>
        <v>13354.54</v>
      </c>
      <c r="C39" s="21">
        <f>T$71</f>
        <v>13926.842733333335</v>
      </c>
      <c r="D39" s="21">
        <f t="shared" si="12"/>
        <v>572.3027333333339</v>
      </c>
      <c r="E39" s="22">
        <f t="shared" si="13"/>
        <v>0.0428545448464218</v>
      </c>
      <c r="F39" s="2">
        <v>2505</v>
      </c>
      <c r="G39" s="2" t="s">
        <v>76</v>
      </c>
      <c r="H39" s="2"/>
      <c r="I39" s="2"/>
      <c r="J39" s="2"/>
      <c r="K39" s="14" t="s">
        <v>77</v>
      </c>
      <c r="L39" s="195">
        <v>18016</v>
      </c>
      <c r="M39" s="16"/>
      <c r="N39" s="175">
        <f>'[1]Trial Balance'!$D$307</f>
        <v>24233</v>
      </c>
      <c r="O39" s="16">
        <f t="shared" si="11"/>
        <v>6217</v>
      </c>
      <c r="P39" s="175">
        <f>'[1]Trial Balance'!$F$307</f>
        <v>39912</v>
      </c>
      <c r="Q39" s="236">
        <f t="shared" si="1"/>
        <v>15679</v>
      </c>
      <c r="R39" s="175">
        <f>'[1]Trial Balance'!$H$307</f>
        <v>69204.25</v>
      </c>
      <c r="S39" s="16">
        <f t="shared" si="2"/>
        <v>29292.25</v>
      </c>
      <c r="T39" s="175">
        <f>'[1]Trial Balance'!$J$307</f>
        <v>44862.8075</v>
      </c>
      <c r="U39" s="16">
        <f t="shared" si="3"/>
        <v>-24341.442499999997</v>
      </c>
      <c r="V39" s="175">
        <f>'[1]Trial Balance'!$L$307</f>
        <v>45053.931725</v>
      </c>
      <c r="W39" s="67">
        <f t="shared" si="4"/>
        <v>191.12422499999957</v>
      </c>
      <c r="Y39" s="1" t="s">
        <v>484</v>
      </c>
    </row>
    <row r="40" spans="1:23" s="1" customFormat="1" ht="15">
      <c r="A40" s="20" t="s">
        <v>27</v>
      </c>
      <c r="B40" s="21">
        <f>C31</f>
        <v>1019723.7100000001</v>
      </c>
      <c r="C40" s="21">
        <f>T$93</f>
        <v>1047828.9739</v>
      </c>
      <c r="D40" s="21">
        <f t="shared" si="12"/>
        <v>28105.263899999904</v>
      </c>
      <c r="E40" s="22">
        <f t="shared" si="13"/>
        <v>0.02756164598742134</v>
      </c>
      <c r="F40" s="2">
        <v>2510</v>
      </c>
      <c r="G40" s="2" t="s">
        <v>78</v>
      </c>
      <c r="H40" s="2"/>
      <c r="I40" s="2"/>
      <c r="J40" s="2"/>
      <c r="K40" s="14" t="s">
        <v>79</v>
      </c>
      <c r="L40" s="195"/>
      <c r="M40" s="16"/>
      <c r="N40" s="175">
        <f>'[1]Trial Balance'!$D$308</f>
        <v>0</v>
      </c>
      <c r="O40" s="16">
        <f t="shared" si="11"/>
        <v>0</v>
      </c>
      <c r="P40" s="175">
        <f>'[1]Trial Balance'!$F$308</f>
        <v>0</v>
      </c>
      <c r="Q40" s="16">
        <f t="shared" si="1"/>
        <v>0</v>
      </c>
      <c r="R40" s="175">
        <f>'[1]Trial Balance'!$H$308</f>
        <v>0</v>
      </c>
      <c r="S40" s="16">
        <f t="shared" si="2"/>
        <v>0</v>
      </c>
      <c r="T40" s="175">
        <f>'[1]Trial Balance'!$J$308</f>
        <v>0</v>
      </c>
      <c r="U40" s="16">
        <f t="shared" si="3"/>
        <v>0</v>
      </c>
      <c r="V40" s="175">
        <f>'[1]Trial Balance'!$L$308</f>
        <v>0</v>
      </c>
      <c r="W40" s="67">
        <f t="shared" si="4"/>
        <v>0</v>
      </c>
    </row>
    <row r="41" spans="1:23" s="1" customFormat="1" ht="15.75" thickBot="1">
      <c r="A41" s="20" t="s">
        <v>30</v>
      </c>
      <c r="B41" s="23">
        <f>SUM(B36:B40)</f>
        <v>2099690.21</v>
      </c>
      <c r="C41" s="23">
        <f>SUM(C36:C40)</f>
        <v>2449125.8485666667</v>
      </c>
      <c r="D41" s="23">
        <f t="shared" si="12"/>
        <v>349435.63856666675</v>
      </c>
      <c r="E41" s="24">
        <f t="shared" si="13"/>
        <v>0.1664224736117938</v>
      </c>
      <c r="F41" s="2">
        <v>2515</v>
      </c>
      <c r="G41" s="2" t="s">
        <v>80</v>
      </c>
      <c r="H41" s="2"/>
      <c r="I41" s="2"/>
      <c r="J41" s="2"/>
      <c r="K41" s="14" t="s">
        <v>81</v>
      </c>
      <c r="L41" s="195"/>
      <c r="M41" s="16"/>
      <c r="N41" s="175">
        <f>'[1]Trial Balance'!$D$309</f>
        <v>0</v>
      </c>
      <c r="O41" s="16">
        <f t="shared" si="11"/>
        <v>0</v>
      </c>
      <c r="P41" s="175">
        <f>'[1]Trial Balance'!$F$309</f>
        <v>0</v>
      </c>
      <c r="Q41" s="16">
        <f t="shared" si="1"/>
        <v>0</v>
      </c>
      <c r="R41" s="175">
        <f>'[1]Trial Balance'!$H$309</f>
        <v>0</v>
      </c>
      <c r="S41" s="16">
        <f t="shared" si="2"/>
        <v>0</v>
      </c>
      <c r="T41" s="175">
        <f>'[1]Trial Balance'!$J$309</f>
        <v>0</v>
      </c>
      <c r="U41" s="16">
        <f t="shared" si="3"/>
        <v>0</v>
      </c>
      <c r="V41" s="175">
        <f>'[1]Trial Balance'!$L$309</f>
        <v>0</v>
      </c>
      <c r="W41" s="67">
        <f t="shared" si="4"/>
        <v>0</v>
      </c>
    </row>
    <row r="42" spans="1:23" s="1" customFormat="1" ht="15.75" thickTop="1">
      <c r="A42" s="20" t="s">
        <v>50</v>
      </c>
      <c r="E42" s="25"/>
      <c r="F42" s="2">
        <v>2520</v>
      </c>
      <c r="G42" s="2" t="s">
        <v>82</v>
      </c>
      <c r="H42" s="2"/>
      <c r="I42" s="2"/>
      <c r="J42" s="2"/>
      <c r="K42" s="14" t="s">
        <v>83</v>
      </c>
      <c r="L42" s="195">
        <v>214</v>
      </c>
      <c r="M42" s="16"/>
      <c r="N42" s="175">
        <f>'[1]Trial Balance'!$D$310</f>
        <v>1197</v>
      </c>
      <c r="O42" s="289">
        <f t="shared" si="11"/>
        <v>983</v>
      </c>
      <c r="P42" s="175">
        <f>'[1]Trial Balance'!$F$310</f>
        <v>9015</v>
      </c>
      <c r="Q42" s="289">
        <f t="shared" si="1"/>
        <v>7818</v>
      </c>
      <c r="R42" s="175">
        <f>'[1]Trial Balance'!$H$310</f>
        <v>8699.33</v>
      </c>
      <c r="S42" s="16">
        <f t="shared" si="2"/>
        <v>-315.6700000000001</v>
      </c>
      <c r="T42" s="175">
        <f>'[1]Trial Balance'!$J$310</f>
        <v>8960.309899999998</v>
      </c>
      <c r="U42" s="289">
        <f t="shared" si="3"/>
        <v>260.97989999999845</v>
      </c>
      <c r="V42" s="175">
        <f>'[1]Trial Balance'!$L$310</f>
        <v>9229.119197</v>
      </c>
      <c r="W42" s="290">
        <f t="shared" si="4"/>
        <v>268.8092970000016</v>
      </c>
    </row>
    <row r="43" spans="1:23" s="1" customFormat="1" ht="15">
      <c r="A43" s="2"/>
      <c r="B43" s="2"/>
      <c r="C43" s="2"/>
      <c r="D43" s="2"/>
      <c r="E43" s="35"/>
      <c r="F43" s="2">
        <v>2525</v>
      </c>
      <c r="G43" s="2" t="s">
        <v>84</v>
      </c>
      <c r="H43" s="2"/>
      <c r="I43" s="2"/>
      <c r="J43" s="2"/>
      <c r="K43" s="14" t="s">
        <v>85</v>
      </c>
      <c r="L43" s="195">
        <v>65522</v>
      </c>
      <c r="M43" s="16"/>
      <c r="N43" s="175">
        <f>'[1]Trial Balance'!$D$311</f>
        <v>35904</v>
      </c>
      <c r="O43" s="289">
        <f t="shared" si="11"/>
        <v>-29618</v>
      </c>
      <c r="P43" s="175">
        <f>'[1]Trial Balance'!$F$311</f>
        <v>42096</v>
      </c>
      <c r="Q43" s="289">
        <f t="shared" si="1"/>
        <v>6192</v>
      </c>
      <c r="R43" s="175">
        <f>'[1]Trial Balance'!$H$311</f>
        <v>30881.41</v>
      </c>
      <c r="S43" s="16">
        <f t="shared" si="2"/>
        <v>-11214.59</v>
      </c>
      <c r="T43" s="175">
        <f>'[1]Trial Balance'!$J$311</f>
        <v>35674.4174</v>
      </c>
      <c r="U43" s="289">
        <f t="shared" si="3"/>
        <v>4793.007399999999</v>
      </c>
      <c r="V43" s="175">
        <f>'[1]Trial Balance'!$L$311</f>
        <v>36138.89685</v>
      </c>
      <c r="W43" s="290">
        <f t="shared" si="4"/>
        <v>464.4794499999989</v>
      </c>
    </row>
    <row r="44" spans="2:23" s="1" customFormat="1" ht="15">
      <c r="B44" s="19" t="s">
        <v>174</v>
      </c>
      <c r="C44" s="19" t="s">
        <v>175</v>
      </c>
      <c r="D44" s="19" t="s">
        <v>12</v>
      </c>
      <c r="E44" s="19" t="s">
        <v>13</v>
      </c>
      <c r="F44" s="2"/>
      <c r="G44" s="2"/>
      <c r="H44" s="2"/>
      <c r="I44" s="2"/>
      <c r="J44" s="2"/>
      <c r="K44" s="14" t="s">
        <v>86</v>
      </c>
      <c r="L44" s="195"/>
      <c r="M44" s="16"/>
      <c r="N44" s="175">
        <f>'[1]Trial Balance'!$D$312</f>
        <v>0</v>
      </c>
      <c r="O44" s="16">
        <f t="shared" si="11"/>
        <v>0</v>
      </c>
      <c r="P44" s="175">
        <f>'[1]Trial Balance'!$F$312</f>
        <v>0</v>
      </c>
      <c r="Q44" s="16">
        <f t="shared" si="1"/>
        <v>0</v>
      </c>
      <c r="R44" s="175">
        <f>'[1]Trial Balance'!$H$312</f>
        <v>0</v>
      </c>
      <c r="S44" s="16">
        <f t="shared" si="2"/>
        <v>0</v>
      </c>
      <c r="T44" s="175">
        <f>'[1]Trial Balance'!$J$312</f>
        <v>0</v>
      </c>
      <c r="U44" s="16">
        <f t="shared" si="3"/>
        <v>0</v>
      </c>
      <c r="V44" s="175">
        <f>'[1]Trial Balance'!$L$312</f>
        <v>0</v>
      </c>
      <c r="W44" s="67">
        <f t="shared" si="4"/>
        <v>0</v>
      </c>
    </row>
    <row r="45" spans="1:23" s="1" customFormat="1" ht="15">
      <c r="A45" s="20" t="s">
        <v>6</v>
      </c>
      <c r="B45" s="21">
        <f>C36</f>
        <v>579608.7852</v>
      </c>
      <c r="C45" s="21">
        <f>V$29</f>
        <v>879396.1671413335</v>
      </c>
      <c r="D45" s="21">
        <f aca="true" t="shared" si="14" ref="D45:D50">C45-B45</f>
        <v>299787.3819413334</v>
      </c>
      <c r="E45" s="22">
        <f aca="true" t="shared" si="15" ref="E45:E50">D45/B45</f>
        <v>0.5172236680951767</v>
      </c>
      <c r="F45" s="2"/>
      <c r="G45" s="2"/>
      <c r="H45" s="2"/>
      <c r="I45" s="2"/>
      <c r="J45" s="2"/>
      <c r="K45" s="14" t="s">
        <v>87</v>
      </c>
      <c r="L45" s="195"/>
      <c r="M45" s="16"/>
      <c r="N45" s="175">
        <f>'[1]Trial Balance'!$D$313</f>
        <v>0</v>
      </c>
      <c r="O45" s="16">
        <f t="shared" si="11"/>
        <v>0</v>
      </c>
      <c r="P45" s="175">
        <f>'[1]Trial Balance'!$F$313</f>
        <v>0</v>
      </c>
      <c r="Q45" s="16">
        <f t="shared" si="1"/>
        <v>0</v>
      </c>
      <c r="R45" s="175">
        <f>'[1]Trial Balance'!$H$313</f>
        <v>0</v>
      </c>
      <c r="S45" s="16">
        <f t="shared" si="2"/>
        <v>0</v>
      </c>
      <c r="T45" s="175">
        <f>'[1]Trial Balance'!$J$313</f>
        <v>0</v>
      </c>
      <c r="U45" s="16">
        <f t="shared" si="3"/>
        <v>0</v>
      </c>
      <c r="V45" s="175">
        <f>'[1]Trial Balance'!$L$313</f>
        <v>0</v>
      </c>
      <c r="W45" s="67">
        <f t="shared" si="4"/>
        <v>0</v>
      </c>
    </row>
    <row r="46" spans="1:23" s="1" customFormat="1" ht="15">
      <c r="A46" s="20" t="s">
        <v>18</v>
      </c>
      <c r="B46" s="21">
        <f>C37</f>
        <v>306218.8626</v>
      </c>
      <c r="C46" s="21">
        <f>V$50</f>
        <v>391785.52180999995</v>
      </c>
      <c r="D46" s="21">
        <f t="shared" si="14"/>
        <v>85566.65920999995</v>
      </c>
      <c r="E46" s="22">
        <f t="shared" si="15"/>
        <v>0.27942974669647264</v>
      </c>
      <c r="F46" s="2"/>
      <c r="G46" s="2"/>
      <c r="H46" s="2"/>
      <c r="I46" s="2"/>
      <c r="J46" s="2"/>
      <c r="K46" s="14" t="s">
        <v>88</v>
      </c>
      <c r="L46" s="195"/>
      <c r="M46" s="16"/>
      <c r="N46" s="175">
        <f>'[1]Trial Balance'!$D$314</f>
        <v>0</v>
      </c>
      <c r="O46" s="16">
        <f t="shared" si="11"/>
        <v>0</v>
      </c>
      <c r="P46" s="175">
        <f>'[1]Trial Balance'!$F$314</f>
        <v>0</v>
      </c>
      <c r="Q46" s="16">
        <f t="shared" si="1"/>
        <v>0</v>
      </c>
      <c r="R46" s="175">
        <f>'[1]Trial Balance'!$H$314</f>
        <v>0</v>
      </c>
      <c r="S46" s="16">
        <f t="shared" si="2"/>
        <v>0</v>
      </c>
      <c r="T46" s="175">
        <f>'[1]Trial Balance'!$J$314</f>
        <v>0</v>
      </c>
      <c r="U46" s="16">
        <f t="shared" si="3"/>
        <v>0</v>
      </c>
      <c r="V46" s="175">
        <f>'[1]Trial Balance'!$L$314</f>
        <v>0</v>
      </c>
      <c r="W46" s="67">
        <f t="shared" si="4"/>
        <v>0</v>
      </c>
    </row>
    <row r="47" spans="1:25" s="1" customFormat="1" ht="15">
      <c r="A47" s="20" t="s">
        <v>21</v>
      </c>
      <c r="B47" s="21">
        <f>C38</f>
        <v>501542.38413333334</v>
      </c>
      <c r="C47" s="21">
        <f>V$61</f>
        <v>500298.1487953334</v>
      </c>
      <c r="D47" s="21">
        <f t="shared" si="14"/>
        <v>-1244.2353379999404</v>
      </c>
      <c r="E47" s="22">
        <f t="shared" si="15"/>
        <v>-0.0024808179275814996</v>
      </c>
      <c r="F47" s="2">
        <v>2530</v>
      </c>
      <c r="G47" s="2" t="s">
        <v>89</v>
      </c>
      <c r="H47" s="2"/>
      <c r="I47" s="2"/>
      <c r="J47" s="2"/>
      <c r="K47" s="14" t="s">
        <v>90</v>
      </c>
      <c r="L47" s="195">
        <v>17231</v>
      </c>
      <c r="M47" s="16"/>
      <c r="N47" s="175">
        <f>'[1]Trial Balance'!$D$315</f>
        <v>12970</v>
      </c>
      <c r="O47" s="16">
        <f t="shared" si="11"/>
        <v>-4261</v>
      </c>
      <c r="P47" s="175">
        <f>'[1]Trial Balance'!$F$315</f>
        <v>40217</v>
      </c>
      <c r="Q47" s="240">
        <f t="shared" si="1"/>
        <v>27247</v>
      </c>
      <c r="R47" s="175">
        <f>'[1]Trial Balance'!$H$315</f>
        <v>79848.32</v>
      </c>
      <c r="S47" s="240">
        <f t="shared" si="2"/>
        <v>39631.32000000001</v>
      </c>
      <c r="T47" s="175">
        <f>'[1]Trial Balance'!$J$315</f>
        <v>141276.5964</v>
      </c>
      <c r="U47" s="240">
        <f t="shared" si="3"/>
        <v>61428.2764</v>
      </c>
      <c r="V47" s="175">
        <f>'[1]Trial Balance'!$L$315</f>
        <v>194264.250696</v>
      </c>
      <c r="W47" s="250">
        <f t="shared" si="4"/>
        <v>52987.65429599999</v>
      </c>
      <c r="Y47" s="1" t="s">
        <v>485</v>
      </c>
    </row>
    <row r="48" spans="1:23" s="1" customFormat="1" ht="15">
      <c r="A48" s="20" t="s">
        <v>24</v>
      </c>
      <c r="B48" s="21">
        <f>C39</f>
        <v>13926.842733333335</v>
      </c>
      <c r="C48" s="21">
        <f>V$71</f>
        <v>14344.648015333336</v>
      </c>
      <c r="D48" s="21">
        <f t="shared" si="14"/>
        <v>417.80528200000117</v>
      </c>
      <c r="E48" s="22">
        <f t="shared" si="15"/>
        <v>0.030000000000000082</v>
      </c>
      <c r="F48" s="2"/>
      <c r="G48" s="2"/>
      <c r="H48" s="2"/>
      <c r="I48" s="2"/>
      <c r="J48" s="2"/>
      <c r="K48" s="14" t="s">
        <v>91</v>
      </c>
      <c r="L48" s="195">
        <v>0</v>
      </c>
      <c r="M48" s="16"/>
      <c r="N48" s="175">
        <f>'[1]Trial Balance'!$D$316</f>
        <v>0</v>
      </c>
      <c r="O48" s="16">
        <f t="shared" si="11"/>
        <v>0</v>
      </c>
      <c r="P48" s="175">
        <f>'[1]Trial Balance'!$F$316</f>
        <v>0</v>
      </c>
      <c r="Q48" s="16">
        <f t="shared" si="1"/>
        <v>0</v>
      </c>
      <c r="R48" s="175">
        <f>'[1]Trial Balance'!$H$316</f>
        <v>0</v>
      </c>
      <c r="S48" s="16">
        <f t="shared" si="2"/>
        <v>0</v>
      </c>
      <c r="T48" s="175">
        <f>'[1]Trial Balance'!$J$316</f>
        <v>0</v>
      </c>
      <c r="U48" s="16">
        <f t="shared" si="3"/>
        <v>0</v>
      </c>
      <c r="V48" s="175">
        <f>'[1]Trial Balance'!$L$316</f>
        <v>0</v>
      </c>
      <c r="W48" s="67">
        <f t="shared" si="4"/>
        <v>0</v>
      </c>
    </row>
    <row r="49" spans="1:23" ht="20.25" customHeight="1">
      <c r="A49" s="20" t="s">
        <v>27</v>
      </c>
      <c r="B49" s="21">
        <f>C40</f>
        <v>1047828.9739</v>
      </c>
      <c r="C49" s="21">
        <f>V$93</f>
        <v>1281489.1994170004</v>
      </c>
      <c r="D49" s="21">
        <f t="shared" si="14"/>
        <v>233660.22551700042</v>
      </c>
      <c r="E49" s="22">
        <f t="shared" si="15"/>
        <v>0.22299462158153674</v>
      </c>
      <c r="K49" s="14" t="s">
        <v>92</v>
      </c>
      <c r="L49" s="195"/>
      <c r="M49" s="16"/>
      <c r="N49" s="175">
        <f>'[1]Trial Balance'!$D$317</f>
        <v>0</v>
      </c>
      <c r="O49" s="16">
        <f t="shared" si="11"/>
        <v>0</v>
      </c>
      <c r="P49" s="175">
        <f>'[1]Trial Balance'!$F$317</f>
        <v>0</v>
      </c>
      <c r="Q49" s="16">
        <f t="shared" si="1"/>
        <v>0</v>
      </c>
      <c r="R49" s="175">
        <f>'[1]Trial Balance'!$H$317</f>
        <v>0</v>
      </c>
      <c r="S49" s="16">
        <f t="shared" si="2"/>
        <v>0</v>
      </c>
      <c r="T49" s="175">
        <f>'[1]Trial Balance'!$J$317</f>
        <v>0</v>
      </c>
      <c r="U49" s="16">
        <f t="shared" si="3"/>
        <v>0</v>
      </c>
      <c r="V49" s="175">
        <f>'[1]Trial Balance'!$L$317</f>
        <v>0</v>
      </c>
      <c r="W49" s="67">
        <f t="shared" si="4"/>
        <v>0</v>
      </c>
    </row>
    <row r="50" spans="1:124" s="33" customFormat="1" ht="20.25" customHeight="1" thickBot="1">
      <c r="A50" s="20" t="s">
        <v>30</v>
      </c>
      <c r="B50" s="23">
        <f>SUM(B45:B49)</f>
        <v>2449125.8485666667</v>
      </c>
      <c r="C50" s="23">
        <f>SUM(C45:C49)</f>
        <v>3067313.6851790007</v>
      </c>
      <c r="D50" s="23">
        <f t="shared" si="14"/>
        <v>618187.836612334</v>
      </c>
      <c r="E50" s="24">
        <f t="shared" si="15"/>
        <v>0.2524116255496319</v>
      </c>
      <c r="I50" s="2"/>
      <c r="J50" s="2"/>
      <c r="K50" s="28" t="s">
        <v>60</v>
      </c>
      <c r="L50" s="147">
        <f>SUM(L32:L49)</f>
        <v>104107</v>
      </c>
      <c r="M50" s="16"/>
      <c r="N50" s="30">
        <f>SUM(N32:N49)</f>
        <v>77337</v>
      </c>
      <c r="O50" s="16">
        <f t="shared" si="11"/>
        <v>-26770</v>
      </c>
      <c r="P50" s="30">
        <f>SUM(P32:P49)</f>
        <v>139615</v>
      </c>
      <c r="Q50" s="16">
        <f t="shared" si="1"/>
        <v>62278</v>
      </c>
      <c r="R50" s="30">
        <f>SUM(R32:R49)</f>
        <v>225311.69</v>
      </c>
      <c r="S50" s="16">
        <f t="shared" si="2"/>
        <v>85696.69</v>
      </c>
      <c r="T50" s="30">
        <f>SUM(T32:T49)</f>
        <v>306218.8626</v>
      </c>
      <c r="U50" s="16">
        <f t="shared" si="3"/>
        <v>80907.17259999999</v>
      </c>
      <c r="V50" s="30">
        <f>SUM(V32:V49)</f>
        <v>391785.52180999995</v>
      </c>
      <c r="W50" s="67">
        <f t="shared" si="4"/>
        <v>85566.65920999995</v>
      </c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</row>
    <row r="51" spans="1:23" ht="20.25" customHeight="1" thickTop="1">
      <c r="A51" s="20"/>
      <c r="K51" s="313"/>
      <c r="L51" s="313"/>
      <c r="M51" s="313"/>
      <c r="N51" s="313"/>
      <c r="O51" s="313"/>
      <c r="P51" s="313"/>
      <c r="Q51" s="16">
        <f t="shared" si="1"/>
        <v>0</v>
      </c>
      <c r="S51" s="16">
        <f t="shared" si="2"/>
        <v>0</v>
      </c>
      <c r="U51" s="16">
        <f t="shared" si="3"/>
        <v>0</v>
      </c>
      <c r="W51" s="67">
        <f t="shared" si="4"/>
        <v>0</v>
      </c>
    </row>
    <row r="52" spans="11:23" ht="20.25" customHeight="1">
      <c r="K52" s="12" t="s">
        <v>93</v>
      </c>
      <c r="L52" s="58"/>
      <c r="M52" s="16"/>
      <c r="N52" s="16"/>
      <c r="O52" s="16"/>
      <c r="P52" s="16"/>
      <c r="Q52" s="16">
        <f t="shared" si="1"/>
        <v>0</v>
      </c>
      <c r="R52" s="16"/>
      <c r="S52" s="16">
        <f t="shared" si="2"/>
        <v>0</v>
      </c>
      <c r="T52" s="16"/>
      <c r="U52" s="16">
        <f t="shared" si="3"/>
        <v>0</v>
      </c>
      <c r="V52" s="16"/>
      <c r="W52" s="67">
        <f t="shared" si="4"/>
        <v>0</v>
      </c>
    </row>
    <row r="53" spans="6:23" ht="20.25" customHeight="1">
      <c r="F53" s="2">
        <v>2550</v>
      </c>
      <c r="G53" s="2" t="s">
        <v>94</v>
      </c>
      <c r="K53" s="14" t="s">
        <v>95</v>
      </c>
      <c r="L53" s="195"/>
      <c r="M53" s="16"/>
      <c r="N53" s="175">
        <f>'[1]Trial Balance'!$D$323</f>
        <v>0</v>
      </c>
      <c r="O53" s="16">
        <f aca="true" t="shared" si="16" ref="O53:O61">N53-L53</f>
        <v>0</v>
      </c>
      <c r="P53" s="175">
        <f>'[1]Trial Balance'!$F$323</f>
        <v>0</v>
      </c>
      <c r="Q53" s="16">
        <f t="shared" si="1"/>
        <v>0</v>
      </c>
      <c r="R53" s="175">
        <f>'[1]Trial Balance'!$H$323</f>
        <v>0</v>
      </c>
      <c r="S53" s="16">
        <f t="shared" si="2"/>
        <v>0</v>
      </c>
      <c r="T53" s="175">
        <f>'[1]Trial Balance'!$J$323</f>
        <v>0</v>
      </c>
      <c r="U53" s="16">
        <f t="shared" si="3"/>
        <v>0</v>
      </c>
      <c r="V53" s="175">
        <f>'[1]Trial Balance'!$L$323</f>
        <v>0</v>
      </c>
      <c r="W53" s="67">
        <f t="shared" si="4"/>
        <v>0</v>
      </c>
    </row>
    <row r="54" spans="1:23" ht="20.25" customHeight="1">
      <c r="A54" s="36" t="s">
        <v>183</v>
      </c>
      <c r="F54" s="2">
        <v>0</v>
      </c>
      <c r="G54" s="2" t="s">
        <v>96</v>
      </c>
      <c r="K54" s="14" t="s">
        <v>97</v>
      </c>
      <c r="L54" s="195">
        <v>65533</v>
      </c>
      <c r="M54" s="16"/>
      <c r="N54" s="175">
        <f>'[1]Trial Balance'!$D$324</f>
        <v>64970</v>
      </c>
      <c r="O54" s="16">
        <f t="shared" si="16"/>
        <v>-563</v>
      </c>
      <c r="P54" s="175">
        <f>'[1]Trial Balance'!$F$324</f>
        <v>63778</v>
      </c>
      <c r="Q54" s="236">
        <f t="shared" si="1"/>
        <v>-1192</v>
      </c>
      <c r="R54" s="175">
        <f>'[1]Trial Balance'!$H$324</f>
        <v>62889.54</v>
      </c>
      <c r="S54" s="236">
        <f t="shared" si="2"/>
        <v>-888.4599999999991</v>
      </c>
      <c r="T54" s="175">
        <f>'[1]Trial Balance'!$J$324</f>
        <v>134191.21</v>
      </c>
      <c r="U54" s="236">
        <f t="shared" si="3"/>
        <v>71301.66999999998</v>
      </c>
      <c r="V54" s="175">
        <f>'[1]Trial Balance'!$L$324</f>
        <v>17191.9512</v>
      </c>
      <c r="W54" s="247">
        <f t="shared" si="4"/>
        <v>-116999.2588</v>
      </c>
    </row>
    <row r="55" spans="1:23" ht="20.25" customHeight="1">
      <c r="A55" s="12" t="s">
        <v>110</v>
      </c>
      <c r="B55" s="255" t="s">
        <v>111</v>
      </c>
      <c r="F55" s="2">
        <v>3005</v>
      </c>
      <c r="G55" s="2" t="s">
        <v>98</v>
      </c>
      <c r="K55" s="14" t="s">
        <v>99</v>
      </c>
      <c r="L55" s="195">
        <v>122846</v>
      </c>
      <c r="M55" s="16"/>
      <c r="N55" s="175">
        <f>'[1]Trial Balance'!$D$325</f>
        <v>122411</v>
      </c>
      <c r="O55" s="16">
        <f t="shared" si="16"/>
        <v>-435</v>
      </c>
      <c r="P55" s="175">
        <f>'[1]Trial Balance'!$F$325</f>
        <v>129841</v>
      </c>
      <c r="Q55" s="16">
        <f t="shared" si="1"/>
        <v>7430</v>
      </c>
      <c r="R55" s="175">
        <f>'[1]Trial Balance'!$H$325</f>
        <v>126867.12</v>
      </c>
      <c r="S55" s="16">
        <f t="shared" si="2"/>
        <v>-2973.8800000000047</v>
      </c>
      <c r="T55" s="175">
        <f>'[1]Trial Balance'!$J$325</f>
        <v>130575.2836</v>
      </c>
      <c r="U55" s="16">
        <f t="shared" si="3"/>
        <v>3708.1636</v>
      </c>
      <c r="V55" s="175">
        <f>'[1]Trial Balance'!$L$325</f>
        <v>131000</v>
      </c>
      <c r="W55" s="67">
        <f t="shared" si="4"/>
        <v>424.7164000000048</v>
      </c>
    </row>
    <row r="56" spans="1:23" ht="20.25" customHeight="1">
      <c r="A56" s="34" t="s">
        <v>178</v>
      </c>
      <c r="B56" s="22">
        <f>(C50/B41)-1</f>
        <v>0.4608410662537692</v>
      </c>
      <c r="C56" s="1"/>
      <c r="D56" s="1"/>
      <c r="E56" s="1"/>
      <c r="F56" s="2">
        <v>3008</v>
      </c>
      <c r="G56" s="2" t="s">
        <v>100</v>
      </c>
      <c r="K56" s="14" t="s">
        <v>101</v>
      </c>
      <c r="L56" s="195">
        <v>97303</v>
      </c>
      <c r="M56" s="16"/>
      <c r="N56" s="175">
        <f>'[1]Trial Balance'!$D$326</f>
        <v>97641</v>
      </c>
      <c r="O56" s="16">
        <f t="shared" si="16"/>
        <v>338</v>
      </c>
      <c r="P56" s="175">
        <f>'[1]Trial Balance'!$F$326</f>
        <v>92675</v>
      </c>
      <c r="Q56" s="240">
        <f t="shared" si="1"/>
        <v>-4966</v>
      </c>
      <c r="R56" s="175">
        <f>'[1]Trial Balance'!$H$326</f>
        <v>103730.38</v>
      </c>
      <c r="S56" s="240">
        <f t="shared" si="2"/>
        <v>11055.380000000005</v>
      </c>
      <c r="T56" s="175">
        <f>'[1]Trial Balance'!$J$326</f>
        <v>106842.2914</v>
      </c>
      <c r="U56" s="240">
        <f t="shared" si="3"/>
        <v>3111.9113999999972</v>
      </c>
      <c r="V56" s="175">
        <f>'[1]Trial Balance'!$L$326</f>
        <v>130277.17214200002</v>
      </c>
      <c r="W56" s="250">
        <f t="shared" si="4"/>
        <v>23434.880742000023</v>
      </c>
    </row>
    <row r="57" spans="1:23" ht="20.25" customHeight="1">
      <c r="A57" s="34" t="s">
        <v>179</v>
      </c>
      <c r="B57" s="22">
        <f>(C50/B14)-1</f>
        <v>0.46381808190195795</v>
      </c>
      <c r="C57" s="1"/>
      <c r="D57" s="1"/>
      <c r="E57" s="1"/>
      <c r="F57" s="2">
        <v>3010</v>
      </c>
      <c r="G57" s="2" t="s">
        <v>102</v>
      </c>
      <c r="K57" s="14" t="s">
        <v>103</v>
      </c>
      <c r="L57" s="195">
        <v>-17</v>
      </c>
      <c r="M57" s="16"/>
      <c r="N57" s="175">
        <f>'[1]Trial Balance'!$D$327</f>
        <v>5</v>
      </c>
      <c r="O57" s="16">
        <f t="shared" si="16"/>
        <v>22</v>
      </c>
      <c r="P57" s="175">
        <f>'[1]Trial Balance'!$F$327</f>
        <v>128</v>
      </c>
      <c r="Q57" s="16">
        <f t="shared" si="1"/>
        <v>123</v>
      </c>
      <c r="R57" s="175">
        <f>'[1]Trial Balance'!$H$327</f>
        <v>-16.85</v>
      </c>
      <c r="S57" s="16">
        <f t="shared" si="2"/>
        <v>-144.85</v>
      </c>
      <c r="T57" s="175">
        <f>'[1]Trial Balance'!$J$327</f>
        <v>0</v>
      </c>
      <c r="U57" s="16">
        <f t="shared" si="3"/>
        <v>16.85</v>
      </c>
      <c r="V57" s="175">
        <f>'[1]Trial Balance'!$L$327</f>
        <v>0</v>
      </c>
      <c r="W57" s="67">
        <f t="shared" si="4"/>
        <v>0</v>
      </c>
    </row>
    <row r="58" spans="1:23" ht="21" customHeight="1">
      <c r="A58" s="34"/>
      <c r="B58" s="22"/>
      <c r="C58" s="1"/>
      <c r="D58" s="1"/>
      <c r="E58" s="1"/>
      <c r="F58" s="2">
        <v>3020</v>
      </c>
      <c r="G58" s="2" t="s">
        <v>104</v>
      </c>
      <c r="K58" s="14" t="s">
        <v>105</v>
      </c>
      <c r="L58" s="195">
        <v>516</v>
      </c>
      <c r="M58" s="16"/>
      <c r="N58" s="175">
        <f>'[1]Trial Balance'!$D$328</f>
        <v>4440</v>
      </c>
      <c r="O58" s="16">
        <f t="shared" si="16"/>
        <v>3924</v>
      </c>
      <c r="P58" s="175">
        <f>'[1]Trial Balance'!$F$328</f>
        <v>8925</v>
      </c>
      <c r="Q58" s="16">
        <f t="shared" si="1"/>
        <v>4485</v>
      </c>
      <c r="R58" s="175">
        <f>'[1]Trial Balance'!$H$328</f>
        <v>4067.17</v>
      </c>
      <c r="S58" s="16">
        <f t="shared" si="2"/>
        <v>-4857.83</v>
      </c>
      <c r="T58" s="175">
        <f>'[1]Trial Balance'!$J$328</f>
        <v>4050.32</v>
      </c>
      <c r="U58" s="16">
        <f t="shared" si="3"/>
        <v>-16.84999999999991</v>
      </c>
      <c r="V58" s="175">
        <f>'[1]Trial Balance'!$L$328</f>
        <v>4171.8296</v>
      </c>
      <c r="W58" s="67">
        <f t="shared" si="4"/>
        <v>121.50959999999986</v>
      </c>
    </row>
    <row r="59" spans="1:25" ht="47.25" customHeight="1">
      <c r="A59" s="34"/>
      <c r="B59" s="37" t="s">
        <v>118</v>
      </c>
      <c r="C59" s="1"/>
      <c r="D59" s="1"/>
      <c r="E59" s="1"/>
      <c r="F59" s="2">
        <v>3022</v>
      </c>
      <c r="G59" s="2" t="s">
        <v>106</v>
      </c>
      <c r="K59" s="14" t="s">
        <v>107</v>
      </c>
      <c r="L59" s="195">
        <v>21344</v>
      </c>
      <c r="M59" s="16"/>
      <c r="N59" s="175">
        <f>'[1]Trial Balance'!$D$329</f>
        <v>29693</v>
      </c>
      <c r="O59" s="16">
        <f t="shared" si="16"/>
        <v>8349</v>
      </c>
      <c r="P59" s="175">
        <f>'[1]Trial Balance'!$F$329</f>
        <v>13290</v>
      </c>
      <c r="Q59" s="16">
        <f t="shared" si="1"/>
        <v>-16403</v>
      </c>
      <c r="R59" s="175">
        <f>'[1]Trial Balance'!$H$329</f>
        <v>22681.1</v>
      </c>
      <c r="S59" s="16">
        <f t="shared" si="2"/>
        <v>9391.099999999999</v>
      </c>
      <c r="T59" s="175">
        <f>'[1]Trial Balance'!$J$329</f>
        <v>21888.063333333335</v>
      </c>
      <c r="U59" s="16">
        <f t="shared" si="3"/>
        <v>-793.0366666666632</v>
      </c>
      <c r="V59" s="175">
        <f>'[1]Trial Balance'!$L$329</f>
        <v>22544.705233333338</v>
      </c>
      <c r="W59" s="67">
        <f t="shared" si="4"/>
        <v>656.6419000000024</v>
      </c>
      <c r="Y59" s="1" t="s">
        <v>486</v>
      </c>
    </row>
    <row r="60" spans="1:23" ht="20.25" customHeight="1">
      <c r="A60" s="38" t="s">
        <v>125</v>
      </c>
      <c r="B60" s="39">
        <f>E23</f>
        <v>-0.015596656878897221</v>
      </c>
      <c r="C60" s="1"/>
      <c r="D60" s="40"/>
      <c r="E60" s="1"/>
      <c r="F60" s="2">
        <v>3026</v>
      </c>
      <c r="G60" s="2" t="s">
        <v>108</v>
      </c>
      <c r="K60" s="14" t="s">
        <v>109</v>
      </c>
      <c r="L60" s="195">
        <v>121319</v>
      </c>
      <c r="M60" s="16"/>
      <c r="N60" s="175">
        <f>'[1]Trial Balance'!$D$330</f>
        <v>121125</v>
      </c>
      <c r="O60" s="16">
        <f t="shared" si="16"/>
        <v>-194</v>
      </c>
      <c r="P60" s="175">
        <f>'[1]Trial Balance'!$F$330</f>
        <v>99078</v>
      </c>
      <c r="Q60" s="16">
        <f t="shared" si="1"/>
        <v>-22047</v>
      </c>
      <c r="R60" s="175">
        <f>'[1]Trial Balance'!$H$330</f>
        <v>105260.86</v>
      </c>
      <c r="S60" s="16">
        <f t="shared" si="2"/>
        <v>6182.860000000001</v>
      </c>
      <c r="T60" s="175">
        <f>'[1]Trial Balance'!$J$330</f>
        <v>103995.2158</v>
      </c>
      <c r="U60" s="16">
        <f t="shared" si="3"/>
        <v>-1265.6441999999952</v>
      </c>
      <c r="V60" s="175">
        <f>'[1]Trial Balance'!$L$330</f>
        <v>195112.49062</v>
      </c>
      <c r="W60" s="67">
        <f t="shared" si="4"/>
        <v>91117.27481999999</v>
      </c>
    </row>
    <row r="61" spans="1:23" ht="20.25" customHeight="1">
      <c r="A61" s="38" t="s">
        <v>181</v>
      </c>
      <c r="B61" s="39">
        <f>E32</f>
        <v>0.13177204013698388</v>
      </c>
      <c r="C61" s="1"/>
      <c r="D61" s="1"/>
      <c r="E61" s="1"/>
      <c r="K61" s="28" t="s">
        <v>60</v>
      </c>
      <c r="L61" s="147">
        <f>SUM(L53:L60)</f>
        <v>428844</v>
      </c>
      <c r="M61" s="16"/>
      <c r="N61" s="30">
        <f>SUM(N53:N60)</f>
        <v>440285</v>
      </c>
      <c r="O61" s="16">
        <f t="shared" si="16"/>
        <v>11441</v>
      </c>
      <c r="P61" s="30">
        <f>SUM(P53:P60)</f>
        <v>407715</v>
      </c>
      <c r="Q61" s="16">
        <f t="shared" si="1"/>
        <v>-32570</v>
      </c>
      <c r="R61" s="30">
        <f>SUM(R53:R60)</f>
        <v>425479.32</v>
      </c>
      <c r="S61" s="16">
        <f t="shared" si="2"/>
        <v>17764.320000000007</v>
      </c>
      <c r="T61" s="30">
        <f>SUM(T53:T60)</f>
        <v>501542.38413333334</v>
      </c>
      <c r="U61" s="16">
        <f t="shared" si="3"/>
        <v>76063.06413333333</v>
      </c>
      <c r="V61" s="30">
        <f>SUM(V53:V60)</f>
        <v>500298.1487953334</v>
      </c>
      <c r="W61" s="67">
        <f t="shared" si="4"/>
        <v>-1244.2353379999404</v>
      </c>
    </row>
    <row r="62" spans="1:23" ht="20.25" customHeight="1" thickBot="1">
      <c r="A62" s="256" t="s">
        <v>182</v>
      </c>
      <c r="B62" s="42">
        <f>(B60+B61)/2</f>
        <v>0.05808769162904333</v>
      </c>
      <c r="C62" s="39"/>
      <c r="D62" s="1"/>
      <c r="E62" s="1"/>
      <c r="K62" s="313"/>
      <c r="L62" s="313"/>
      <c r="M62" s="313"/>
      <c r="N62" s="313"/>
      <c r="O62" s="313"/>
      <c r="P62" s="313"/>
      <c r="Q62" s="16">
        <f t="shared" si="1"/>
        <v>0</v>
      </c>
      <c r="S62" s="16">
        <f t="shared" si="2"/>
        <v>0</v>
      </c>
      <c r="U62" s="16">
        <f t="shared" si="3"/>
        <v>0</v>
      </c>
      <c r="W62" s="67">
        <f t="shared" si="4"/>
        <v>0</v>
      </c>
    </row>
    <row r="63" spans="1:23" ht="22.5" customHeight="1" thickTop="1">
      <c r="A63" s="1"/>
      <c r="B63" s="1"/>
      <c r="C63" s="1"/>
      <c r="D63" s="1"/>
      <c r="E63" s="1"/>
      <c r="K63" s="12" t="s">
        <v>24</v>
      </c>
      <c r="L63" s="58"/>
      <c r="M63" s="16"/>
      <c r="N63" s="16"/>
      <c r="O63" s="16"/>
      <c r="P63" s="16"/>
      <c r="Q63" s="16">
        <f t="shared" si="1"/>
        <v>0</v>
      </c>
      <c r="R63" s="16"/>
      <c r="S63" s="16">
        <f t="shared" si="2"/>
        <v>0</v>
      </c>
      <c r="T63" s="16"/>
      <c r="U63" s="16">
        <f t="shared" si="3"/>
        <v>0</v>
      </c>
      <c r="V63" s="16"/>
      <c r="W63" s="67">
        <f t="shared" si="4"/>
        <v>0</v>
      </c>
    </row>
    <row r="64" spans="1:23" ht="30">
      <c r="A64" s="1"/>
      <c r="B64" s="37" t="s">
        <v>128</v>
      </c>
      <c r="C64" s="1"/>
      <c r="D64" s="1"/>
      <c r="E64" s="1"/>
      <c r="F64" s="2">
        <v>3030</v>
      </c>
      <c r="G64" s="2" t="s">
        <v>112</v>
      </c>
      <c r="K64" s="14" t="s">
        <v>113</v>
      </c>
      <c r="L64" s="195"/>
      <c r="M64" s="16"/>
      <c r="N64" s="175">
        <f>'[1]Trial Balance'!$D$332</f>
        <v>0</v>
      </c>
      <c r="O64" s="16">
        <f aca="true" t="shared" si="17" ref="O64:O71">N64-L64</f>
        <v>0</v>
      </c>
      <c r="P64" s="175">
        <f>'[1]Trial Balance'!$F$332</f>
        <v>0</v>
      </c>
      <c r="Q64" s="16">
        <f t="shared" si="1"/>
        <v>0</v>
      </c>
      <c r="R64" s="175">
        <f>'[1]Trial Balance'!$H$332</f>
        <v>0</v>
      </c>
      <c r="S64" s="16">
        <f t="shared" si="2"/>
        <v>0</v>
      </c>
      <c r="T64" s="175">
        <f>'[1]Trial Balance'!$J$332</f>
        <v>0</v>
      </c>
      <c r="U64" s="16">
        <f t="shared" si="3"/>
        <v>0</v>
      </c>
      <c r="V64" s="175">
        <f>'[1]Trial Balance'!$L$332</f>
        <v>0</v>
      </c>
      <c r="W64" s="67">
        <f t="shared" si="4"/>
        <v>0</v>
      </c>
    </row>
    <row r="65" spans="1:23" s="1" customFormat="1" ht="15">
      <c r="A65" s="38" t="s">
        <v>180</v>
      </c>
      <c r="B65" s="43">
        <f>SQRT(B50/B23)-1</f>
        <v>0.139971410260759</v>
      </c>
      <c r="F65" s="2">
        <v>3035</v>
      </c>
      <c r="G65" s="2" t="s">
        <v>114</v>
      </c>
      <c r="H65" s="2"/>
      <c r="I65" s="2"/>
      <c r="J65" s="2"/>
      <c r="K65" s="14" t="s">
        <v>115</v>
      </c>
      <c r="L65" s="195">
        <v>19767</v>
      </c>
      <c r="M65" s="16"/>
      <c r="N65" s="175">
        <f>'[1]Trial Balance'!$D$333</f>
        <v>8053</v>
      </c>
      <c r="O65" s="16">
        <f t="shared" si="17"/>
        <v>-11714</v>
      </c>
      <c r="P65" s="175">
        <f>'[1]Trial Balance'!$F$333</f>
        <v>-4705</v>
      </c>
      <c r="Q65" s="16">
        <f t="shared" si="1"/>
        <v>-12758</v>
      </c>
      <c r="R65" s="175">
        <f>'[1]Trial Balance'!$H$333</f>
        <v>13354.54</v>
      </c>
      <c r="S65" s="16">
        <f t="shared" si="2"/>
        <v>18059.54</v>
      </c>
      <c r="T65" s="175">
        <f>'[1]Trial Balance'!$J$333</f>
        <v>13926.842733333335</v>
      </c>
      <c r="U65" s="16">
        <f t="shared" si="3"/>
        <v>572.3027333333339</v>
      </c>
      <c r="V65" s="175">
        <f>'[1]Trial Balance'!$L$333</f>
        <v>14344.648015333336</v>
      </c>
      <c r="W65" s="67">
        <f t="shared" si="4"/>
        <v>417.80528200000117</v>
      </c>
    </row>
    <row r="66" spans="1:23" s="1" customFormat="1" ht="15">
      <c r="A66" s="38"/>
      <c r="B66" s="43"/>
      <c r="D66" s="44"/>
      <c r="E66" s="44"/>
      <c r="F66" s="2">
        <v>3040</v>
      </c>
      <c r="G66" s="2" t="s">
        <v>116</v>
      </c>
      <c r="H66" s="2"/>
      <c r="I66" s="2"/>
      <c r="J66" s="2"/>
      <c r="K66" s="14" t="s">
        <v>117</v>
      </c>
      <c r="L66" s="195">
        <v>0</v>
      </c>
      <c r="M66" s="16"/>
      <c r="N66" s="175">
        <f>'[1]Trial Balance'!$D$334</f>
        <v>0</v>
      </c>
      <c r="O66" s="16">
        <f t="shared" si="17"/>
        <v>0</v>
      </c>
      <c r="P66" s="175">
        <f>'[1]Trial Balance'!$F$334</f>
        <v>0</v>
      </c>
      <c r="Q66" s="16">
        <f t="shared" si="1"/>
        <v>0</v>
      </c>
      <c r="R66" s="175">
        <f>'[1]Trial Balance'!$H$334</f>
        <v>0</v>
      </c>
      <c r="S66" s="16">
        <f t="shared" si="2"/>
        <v>0</v>
      </c>
      <c r="T66" s="175">
        <f>'[1]Trial Balance'!$J$334</f>
        <v>0</v>
      </c>
      <c r="U66" s="16">
        <f t="shared" si="3"/>
        <v>0</v>
      </c>
      <c r="V66" s="175">
        <f>'[1]Trial Balance'!$L$334</f>
        <v>0</v>
      </c>
      <c r="W66" s="67">
        <f t="shared" si="4"/>
        <v>0</v>
      </c>
    </row>
    <row r="67" spans="1:23" s="1" customFormat="1" ht="15">
      <c r="A67" s="38"/>
      <c r="B67" s="43"/>
      <c r="F67" s="2">
        <v>3045</v>
      </c>
      <c r="G67" s="2" t="s">
        <v>119</v>
      </c>
      <c r="H67" s="2"/>
      <c r="I67" s="2"/>
      <c r="J67" s="2"/>
      <c r="K67" s="14" t="s">
        <v>120</v>
      </c>
      <c r="L67" s="195"/>
      <c r="M67" s="16"/>
      <c r="N67" s="175">
        <f>'[1]Trial Balance'!$D$335</f>
        <v>0</v>
      </c>
      <c r="O67" s="16">
        <f t="shared" si="17"/>
        <v>0</v>
      </c>
      <c r="P67" s="175">
        <f>'[1]Trial Balance'!$F$335</f>
        <v>0</v>
      </c>
      <c r="Q67" s="16">
        <f t="shared" si="1"/>
        <v>0</v>
      </c>
      <c r="R67" s="175">
        <f>'[1]Trial Balance'!$H$335</f>
        <v>0</v>
      </c>
      <c r="S67" s="16">
        <f t="shared" si="2"/>
        <v>0</v>
      </c>
      <c r="T67" s="175">
        <f>'[1]Trial Balance'!$J$335</f>
        <v>0</v>
      </c>
      <c r="U67" s="16">
        <f t="shared" si="3"/>
        <v>0</v>
      </c>
      <c r="V67" s="175">
        <f>'[1]Trial Balance'!$L$335</f>
        <v>0</v>
      </c>
      <c r="W67" s="67">
        <f t="shared" si="4"/>
        <v>0</v>
      </c>
    </row>
    <row r="68" spans="6:23" s="1" customFormat="1" ht="15">
      <c r="F68" s="2">
        <v>3046</v>
      </c>
      <c r="G68" s="2" t="s">
        <v>121</v>
      </c>
      <c r="H68" s="2"/>
      <c r="I68" s="2"/>
      <c r="J68" s="2"/>
      <c r="K68" s="14" t="s">
        <v>122</v>
      </c>
      <c r="L68" s="195"/>
      <c r="M68" s="16"/>
      <c r="N68" s="175">
        <f>'[1]Trial Balance'!$D$336</f>
        <v>0</v>
      </c>
      <c r="O68" s="16">
        <f t="shared" si="17"/>
        <v>0</v>
      </c>
      <c r="P68" s="175">
        <f>'[1]Trial Balance'!$F$336</f>
        <v>0</v>
      </c>
      <c r="Q68" s="16">
        <f t="shared" si="1"/>
        <v>0</v>
      </c>
      <c r="R68" s="175">
        <f>'[1]Trial Balance'!$H$336</f>
        <v>0</v>
      </c>
      <c r="S68" s="16">
        <f t="shared" si="2"/>
        <v>0</v>
      </c>
      <c r="T68" s="175">
        <f>'[1]Trial Balance'!$J$336</f>
        <v>0</v>
      </c>
      <c r="U68" s="16">
        <f t="shared" si="3"/>
        <v>0</v>
      </c>
      <c r="V68" s="175">
        <f>'[1]Trial Balance'!$L$336</f>
        <v>0</v>
      </c>
      <c r="W68" s="67">
        <f t="shared" si="4"/>
        <v>0</v>
      </c>
    </row>
    <row r="69" spans="6:23" s="1" customFormat="1" ht="15">
      <c r="F69" s="2">
        <v>3047</v>
      </c>
      <c r="G69" s="2" t="s">
        <v>123</v>
      </c>
      <c r="H69" s="2"/>
      <c r="I69" s="2"/>
      <c r="J69" s="2"/>
      <c r="K69" s="14" t="s">
        <v>124</v>
      </c>
      <c r="L69" s="195"/>
      <c r="M69" s="16"/>
      <c r="N69" s="175">
        <f>'[1]Trial Balance'!$D$337</f>
        <v>0</v>
      </c>
      <c r="O69" s="16">
        <f t="shared" si="17"/>
        <v>0</v>
      </c>
      <c r="P69" s="175">
        <f>'[1]Trial Balance'!$F$337</f>
        <v>0</v>
      </c>
      <c r="Q69" s="16">
        <f t="shared" si="1"/>
        <v>0</v>
      </c>
      <c r="R69" s="175">
        <f>'[1]Trial Balance'!$H$337</f>
        <v>0</v>
      </c>
      <c r="S69" s="16">
        <f t="shared" si="2"/>
        <v>0</v>
      </c>
      <c r="T69" s="175">
        <f>'[1]Trial Balance'!$J$337</f>
        <v>0</v>
      </c>
      <c r="U69" s="16">
        <f t="shared" si="3"/>
        <v>0</v>
      </c>
      <c r="V69" s="175">
        <f>'[1]Trial Balance'!$L$337</f>
        <v>0</v>
      </c>
      <c r="W69" s="67">
        <f t="shared" si="4"/>
        <v>0</v>
      </c>
    </row>
    <row r="70" spans="6:23" s="1" customFormat="1" ht="15">
      <c r="F70" s="2">
        <v>3048</v>
      </c>
      <c r="G70" s="2" t="s">
        <v>126</v>
      </c>
      <c r="H70" s="2"/>
      <c r="I70" s="2"/>
      <c r="J70" s="2"/>
      <c r="K70" s="14" t="s">
        <v>127</v>
      </c>
      <c r="L70" s="195"/>
      <c r="M70" s="16"/>
      <c r="N70" s="175">
        <f>'[1]Trial Balance'!$D$338</f>
        <v>0</v>
      </c>
      <c r="O70" s="16">
        <f t="shared" si="17"/>
        <v>0</v>
      </c>
      <c r="P70" s="175">
        <f>'[1]Trial Balance'!$F$338</f>
        <v>0</v>
      </c>
      <c r="Q70" s="16">
        <f t="shared" si="1"/>
        <v>0</v>
      </c>
      <c r="R70" s="175">
        <f>'[1]Trial Balance'!$H$338</f>
        <v>0</v>
      </c>
      <c r="S70" s="16">
        <f t="shared" si="2"/>
        <v>0</v>
      </c>
      <c r="T70" s="175">
        <f>'[1]Trial Balance'!$J$338</f>
        <v>0</v>
      </c>
      <c r="U70" s="16">
        <f t="shared" si="3"/>
        <v>0</v>
      </c>
      <c r="V70" s="175">
        <f>'[1]Trial Balance'!$L$338</f>
        <v>0</v>
      </c>
      <c r="W70" s="67">
        <f t="shared" si="4"/>
        <v>0</v>
      </c>
    </row>
    <row r="71" spans="6:23" s="1" customFormat="1" ht="15">
      <c r="F71" s="2"/>
      <c r="G71" s="2"/>
      <c r="H71" s="2"/>
      <c r="I71" s="2"/>
      <c r="J71" s="2"/>
      <c r="K71" s="28" t="s">
        <v>60</v>
      </c>
      <c r="L71" s="147">
        <f>SUM(L64:L70)</f>
        <v>19767</v>
      </c>
      <c r="M71" s="16"/>
      <c r="N71" s="30">
        <f>SUM(N64:N70)</f>
        <v>8053</v>
      </c>
      <c r="O71" s="16">
        <f t="shared" si="17"/>
        <v>-11714</v>
      </c>
      <c r="P71" s="30">
        <f>SUM(P64:P70)</f>
        <v>-4705</v>
      </c>
      <c r="Q71" s="16">
        <f aca="true" t="shared" si="18" ref="Q71:Q93">P71-N71</f>
        <v>-12758</v>
      </c>
      <c r="R71" s="30">
        <f>SUM(R64:R70)</f>
        <v>13354.54</v>
      </c>
      <c r="S71" s="16">
        <f aca="true" t="shared" si="19" ref="S71:S95">R71-P71</f>
        <v>18059.54</v>
      </c>
      <c r="T71" s="30">
        <f>SUM(T64:T70)</f>
        <v>13926.842733333335</v>
      </c>
      <c r="U71" s="16">
        <f aca="true" t="shared" si="20" ref="U71:U95">T71-R71</f>
        <v>572.3027333333339</v>
      </c>
      <c r="V71" s="30">
        <f>SUM(V64:V70)</f>
        <v>14344.648015333336</v>
      </c>
      <c r="W71" s="67">
        <f aca="true" t="shared" si="21" ref="W71:W95">V71-T71</f>
        <v>417.80528200000117</v>
      </c>
    </row>
    <row r="72" spans="6:23" s="1" customFormat="1" ht="15">
      <c r="F72" s="2"/>
      <c r="G72" s="2"/>
      <c r="H72" s="2"/>
      <c r="I72" s="2"/>
      <c r="J72" s="2"/>
      <c r="K72" s="313"/>
      <c r="L72" s="313"/>
      <c r="M72" s="313"/>
      <c r="N72" s="313"/>
      <c r="O72" s="313"/>
      <c r="P72" s="313"/>
      <c r="Q72" s="16">
        <f t="shared" si="18"/>
        <v>0</v>
      </c>
      <c r="R72" s="13"/>
      <c r="S72" s="16">
        <f t="shared" si="19"/>
        <v>0</v>
      </c>
      <c r="T72" s="13"/>
      <c r="U72" s="16">
        <f t="shared" si="20"/>
        <v>0</v>
      </c>
      <c r="V72" s="13"/>
      <c r="W72" s="67">
        <f t="shared" si="21"/>
        <v>0</v>
      </c>
    </row>
    <row r="73" spans="6:23" s="1" customFormat="1" ht="15">
      <c r="F73" s="2"/>
      <c r="G73" s="2"/>
      <c r="H73" s="2"/>
      <c r="I73" s="2"/>
      <c r="J73" s="2"/>
      <c r="K73" s="12" t="s">
        <v>129</v>
      </c>
      <c r="L73" s="58"/>
      <c r="M73" s="16"/>
      <c r="N73" s="16"/>
      <c r="O73" s="16"/>
      <c r="P73" s="16"/>
      <c r="Q73" s="16">
        <f t="shared" si="18"/>
        <v>0</v>
      </c>
      <c r="R73" s="16"/>
      <c r="S73" s="16">
        <f t="shared" si="19"/>
        <v>0</v>
      </c>
      <c r="T73" s="16"/>
      <c r="U73" s="16">
        <f t="shared" si="20"/>
        <v>0</v>
      </c>
      <c r="V73" s="16"/>
      <c r="W73" s="67">
        <f t="shared" si="21"/>
        <v>0</v>
      </c>
    </row>
    <row r="74" spans="6:23" s="1" customFormat="1" ht="15">
      <c r="F74" s="2">
        <v>3049</v>
      </c>
      <c r="G74" s="2" t="s">
        <v>130</v>
      </c>
      <c r="H74" s="2"/>
      <c r="I74" s="2"/>
      <c r="J74" s="2"/>
      <c r="K74" s="14" t="s">
        <v>131</v>
      </c>
      <c r="L74" s="195">
        <v>17657</v>
      </c>
      <c r="M74" s="16"/>
      <c r="N74" s="175">
        <f>'[1]Trial Balance'!$D$343</f>
        <v>16612.16</v>
      </c>
      <c r="O74" s="16">
        <f aca="true" t="shared" si="22" ref="O74:O95">N74-L74</f>
        <v>-1044.8400000000001</v>
      </c>
      <c r="P74" s="175">
        <f>'[1]Trial Balance'!$F$343</f>
        <v>33309.87</v>
      </c>
      <c r="Q74" s="240">
        <f t="shared" si="18"/>
        <v>16697.710000000003</v>
      </c>
      <c r="R74" s="175">
        <f>'[1]Trial Balance'!$H$343</f>
        <v>46510</v>
      </c>
      <c r="S74" s="240">
        <f t="shared" si="19"/>
        <v>13200.129999999997</v>
      </c>
      <c r="T74" s="175">
        <f>'[1]Trial Balance'!$J$343</f>
        <v>47905.6502</v>
      </c>
      <c r="U74" s="240">
        <f t="shared" si="20"/>
        <v>1395.6501999999964</v>
      </c>
      <c r="V74" s="175">
        <f>'[1]Trial Balance'!$L$343</f>
        <v>49342.819705999995</v>
      </c>
      <c r="W74" s="250">
        <f t="shared" si="21"/>
        <v>1437.1695059999984</v>
      </c>
    </row>
    <row r="75" spans="6:23" s="1" customFormat="1" ht="15">
      <c r="F75" s="2">
        <v>3055</v>
      </c>
      <c r="G75" s="2" t="s">
        <v>132</v>
      </c>
      <c r="H75" s="2"/>
      <c r="I75" s="2"/>
      <c r="J75" s="2"/>
      <c r="K75" s="14" t="s">
        <v>133</v>
      </c>
      <c r="L75" s="195">
        <v>312318</v>
      </c>
      <c r="M75" s="16"/>
      <c r="N75" s="175">
        <f>'[1]Trial Balance'!$D$344</f>
        <v>336516.18</v>
      </c>
      <c r="O75" s="16">
        <f t="shared" si="22"/>
        <v>24198.179999999993</v>
      </c>
      <c r="P75" s="175">
        <f>'[1]Trial Balance'!$F$344</f>
        <v>365366.74</v>
      </c>
      <c r="Q75" s="240">
        <f t="shared" si="18"/>
        <v>28850.559999999998</v>
      </c>
      <c r="R75" s="175">
        <f>'[1]Trial Balance'!$H$344</f>
        <v>426686</v>
      </c>
      <c r="S75" s="240">
        <f t="shared" si="19"/>
        <v>61319.26000000001</v>
      </c>
      <c r="T75" s="175">
        <f>'[1]Trial Balance'!$J$344</f>
        <v>449700.3004</v>
      </c>
      <c r="U75" s="240">
        <f t="shared" si="20"/>
        <v>23014.300400000007</v>
      </c>
      <c r="V75" s="175">
        <f>'[1]Trial Balance'!$L$344</f>
        <v>494916.309412</v>
      </c>
      <c r="W75" s="250">
        <f t="shared" si="21"/>
        <v>45216.009011999995</v>
      </c>
    </row>
    <row r="76" spans="6:23" s="1" customFormat="1" ht="15">
      <c r="F76" s="2">
        <v>3065</v>
      </c>
      <c r="G76" s="2" t="s">
        <v>134</v>
      </c>
      <c r="H76" s="2"/>
      <c r="I76" s="2"/>
      <c r="J76" s="2"/>
      <c r="K76" s="14" t="s">
        <v>135</v>
      </c>
      <c r="L76" s="195">
        <v>148698</v>
      </c>
      <c r="M76" s="16"/>
      <c r="N76" s="175">
        <f>'[1]Trial Balance'!$D$345</f>
        <v>86694</v>
      </c>
      <c r="O76" s="16">
        <f t="shared" si="22"/>
        <v>-62004</v>
      </c>
      <c r="P76" s="175">
        <f>'[1]Trial Balance'!$F$345</f>
        <v>77739</v>
      </c>
      <c r="Q76" s="240">
        <f t="shared" si="18"/>
        <v>-8955</v>
      </c>
      <c r="R76" s="175">
        <f>'[1]Trial Balance'!$H$345</f>
        <v>91247.28</v>
      </c>
      <c r="S76" s="240">
        <f t="shared" si="19"/>
        <v>13508.279999999999</v>
      </c>
      <c r="T76" s="175">
        <f>'[1]Trial Balance'!$J$345</f>
        <v>93984.69840000001</v>
      </c>
      <c r="U76" s="240">
        <f t="shared" si="20"/>
        <v>2737.4184000000096</v>
      </c>
      <c r="V76" s="175">
        <f>'[1]Trial Balance'!$L$345</f>
        <v>143854.239352</v>
      </c>
      <c r="W76" s="250">
        <f t="shared" si="21"/>
        <v>49869.540951999996</v>
      </c>
    </row>
    <row r="77" spans="6:23" s="1" customFormat="1" ht="15">
      <c r="F77" s="2">
        <v>0</v>
      </c>
      <c r="G77" s="2" t="s">
        <v>136</v>
      </c>
      <c r="H77" s="2"/>
      <c r="I77" s="2"/>
      <c r="J77" s="2"/>
      <c r="K77" s="14" t="s">
        <v>137</v>
      </c>
      <c r="L77" s="195">
        <v>93931</v>
      </c>
      <c r="M77" s="16"/>
      <c r="N77" s="175">
        <f>'[1]Trial Balance'!$D$346</f>
        <v>77736</v>
      </c>
      <c r="O77" s="16">
        <f t="shared" si="22"/>
        <v>-16195</v>
      </c>
      <c r="P77" s="175">
        <f>'[1]Trial Balance'!$F$346</f>
        <v>95090</v>
      </c>
      <c r="Q77" s="16">
        <f t="shared" si="18"/>
        <v>17354</v>
      </c>
      <c r="R77" s="175">
        <f>'[1]Trial Balance'!$H$346</f>
        <v>99807.9</v>
      </c>
      <c r="S77" s="16">
        <f t="shared" si="19"/>
        <v>4717.899999999994</v>
      </c>
      <c r="T77" s="175">
        <f>'[1]Trial Balance'!$J$346</f>
        <v>102802.137</v>
      </c>
      <c r="U77" s="16">
        <f t="shared" si="20"/>
        <v>2994.2370000000083</v>
      </c>
      <c r="V77" s="175">
        <f>'[1]Trial Balance'!$L$346</f>
        <v>105886.20111000001</v>
      </c>
      <c r="W77" s="67">
        <f t="shared" si="21"/>
        <v>3084.0641100000066</v>
      </c>
    </row>
    <row r="78" spans="6:23" s="1" customFormat="1" ht="15">
      <c r="F78" s="2"/>
      <c r="G78" s="2"/>
      <c r="H78" s="2"/>
      <c r="I78" s="2"/>
      <c r="J78" s="2"/>
      <c r="K78" s="14" t="s">
        <v>138</v>
      </c>
      <c r="L78" s="195"/>
      <c r="M78" s="16"/>
      <c r="N78" s="175">
        <f>'[1]Trial Balance'!$D$347</f>
        <v>0</v>
      </c>
      <c r="O78" s="16">
        <f t="shared" si="22"/>
        <v>0</v>
      </c>
      <c r="P78" s="175">
        <f>'[1]Trial Balance'!$F$347</f>
        <v>0</v>
      </c>
      <c r="Q78" s="16">
        <f t="shared" si="18"/>
        <v>0</v>
      </c>
      <c r="R78" s="175">
        <f>'[1]Trial Balance'!$H$347</f>
        <v>0</v>
      </c>
      <c r="S78" s="16">
        <f t="shared" si="19"/>
        <v>0</v>
      </c>
      <c r="T78" s="175">
        <f>'[1]Trial Balance'!$J$347</f>
        <v>0</v>
      </c>
      <c r="U78" s="16">
        <f t="shared" si="20"/>
        <v>0</v>
      </c>
      <c r="V78" s="175">
        <f>'[1]Trial Balance'!$L$347</f>
        <v>0</v>
      </c>
      <c r="W78" s="67">
        <f t="shared" si="21"/>
        <v>0</v>
      </c>
    </row>
    <row r="79" spans="6:23" s="1" customFormat="1" ht="15">
      <c r="F79" s="2">
        <v>4006</v>
      </c>
      <c r="G79" s="2" t="s">
        <v>139</v>
      </c>
      <c r="H79" s="2"/>
      <c r="I79" s="2"/>
      <c r="J79" s="2"/>
      <c r="K79" s="14" t="s">
        <v>140</v>
      </c>
      <c r="L79" s="195">
        <v>138624</v>
      </c>
      <c r="M79" s="16"/>
      <c r="N79" s="175">
        <f>'[1]Trial Balance'!$D$348</f>
        <v>7309</v>
      </c>
      <c r="O79" s="16">
        <f t="shared" si="22"/>
        <v>-131315</v>
      </c>
      <c r="P79" s="175">
        <f>'[1]Trial Balance'!$F$348</f>
        <v>62428</v>
      </c>
      <c r="Q79" s="240">
        <f t="shared" si="18"/>
        <v>55119</v>
      </c>
      <c r="R79" s="175">
        <f>'[1]Trial Balance'!$H$348</f>
        <v>70227.74</v>
      </c>
      <c r="S79" s="240">
        <f t="shared" si="19"/>
        <v>7799.740000000005</v>
      </c>
      <c r="T79" s="175">
        <f>'[1]Trial Balance'!$J$348</f>
        <v>101364.19489999999</v>
      </c>
      <c r="U79" s="240">
        <f t="shared" si="20"/>
        <v>31136.454899999982</v>
      </c>
      <c r="V79" s="175">
        <f>'[1]Trial Balance'!$L$348</f>
        <v>155405.477047</v>
      </c>
      <c r="W79" s="250">
        <f t="shared" si="21"/>
        <v>54041.282147000005</v>
      </c>
    </row>
    <row r="80" spans="6:23" s="1" customFormat="1" ht="15">
      <c r="F80" s="2">
        <v>4010</v>
      </c>
      <c r="G80" s="2" t="s">
        <v>141</v>
      </c>
      <c r="H80" s="2"/>
      <c r="I80" s="2"/>
      <c r="J80" s="2"/>
      <c r="K80" s="14" t="s">
        <v>142</v>
      </c>
      <c r="L80" s="195">
        <v>19915</v>
      </c>
      <c r="M80" s="16"/>
      <c r="N80" s="175">
        <f>'[1]Trial Balance'!$D$349</f>
        <v>20347</v>
      </c>
      <c r="O80" s="16">
        <f t="shared" si="22"/>
        <v>432</v>
      </c>
      <c r="P80" s="175">
        <f>'[1]Trial Balance'!$F$349</f>
        <v>24675</v>
      </c>
      <c r="Q80" s="16">
        <f t="shared" si="18"/>
        <v>4328</v>
      </c>
      <c r="R80" s="175">
        <f>'[1]Trial Balance'!$H$349</f>
        <v>27066.44</v>
      </c>
      <c r="S80" s="16">
        <f t="shared" si="19"/>
        <v>2391.4399999999987</v>
      </c>
      <c r="T80" s="175">
        <f>'[1]Trial Balance'!$J$349</f>
        <v>27878.4332</v>
      </c>
      <c r="U80" s="16">
        <f t="shared" si="20"/>
        <v>811.9932000000008</v>
      </c>
      <c r="V80" s="175">
        <f>'[1]Trial Balance'!$L$349</f>
        <v>28714.786196</v>
      </c>
      <c r="W80" s="67">
        <f t="shared" si="21"/>
        <v>836.3529960000014</v>
      </c>
    </row>
    <row r="81" spans="6:23" s="1" customFormat="1" ht="15">
      <c r="F81" s="2">
        <v>4015</v>
      </c>
      <c r="G81" s="2" t="s">
        <v>143</v>
      </c>
      <c r="H81" s="2"/>
      <c r="I81" s="2"/>
      <c r="J81" s="2"/>
      <c r="K81" s="14" t="s">
        <v>144</v>
      </c>
      <c r="L81" s="195">
        <v>39556</v>
      </c>
      <c r="M81" s="16"/>
      <c r="N81" s="175">
        <f>'[1]Trial Balance'!$D$350</f>
        <v>48141</v>
      </c>
      <c r="O81" s="16">
        <f t="shared" si="22"/>
        <v>8585</v>
      </c>
      <c r="P81" s="175">
        <f>'[1]Trial Balance'!$F$350</f>
        <v>48045</v>
      </c>
      <c r="Q81" s="16">
        <f t="shared" si="18"/>
        <v>-96</v>
      </c>
      <c r="R81" s="175">
        <f>'[1]Trial Balance'!$H$350</f>
        <v>58794.32</v>
      </c>
      <c r="S81" s="16">
        <f t="shared" si="19"/>
        <v>10749.32</v>
      </c>
      <c r="T81" s="175">
        <f>'[1]Trial Balance'!$J$350</f>
        <v>60558.149600000004</v>
      </c>
      <c r="U81" s="16">
        <f t="shared" si="20"/>
        <v>1763.8296000000046</v>
      </c>
      <c r="V81" s="175">
        <f>'[1]Trial Balance'!$L$350</f>
        <v>62374.894088</v>
      </c>
      <c r="W81" s="67">
        <f t="shared" si="21"/>
        <v>1816.7444879999966</v>
      </c>
    </row>
    <row r="82" spans="6:23" s="1" customFormat="1" ht="15">
      <c r="F82" s="2">
        <v>4020</v>
      </c>
      <c r="G82" s="2" t="s">
        <v>145</v>
      </c>
      <c r="H82" s="2"/>
      <c r="I82" s="2"/>
      <c r="J82" s="2"/>
      <c r="K82" s="14" t="s">
        <v>146</v>
      </c>
      <c r="L82" s="195"/>
      <c r="M82" s="16"/>
      <c r="N82" s="175">
        <f>'[1]Trial Balance'!$D$351</f>
        <v>0</v>
      </c>
      <c r="O82" s="16">
        <f t="shared" si="22"/>
        <v>0</v>
      </c>
      <c r="P82" s="175">
        <f>'[1]Trial Balance'!$F$351</f>
        <v>0</v>
      </c>
      <c r="Q82" s="16">
        <f t="shared" si="18"/>
        <v>0</v>
      </c>
      <c r="R82" s="175">
        <f>'[1]Trial Balance'!$H$351</f>
        <v>0</v>
      </c>
      <c r="S82" s="16">
        <f t="shared" si="19"/>
        <v>0</v>
      </c>
      <c r="T82" s="175">
        <f>'[1]Trial Balance'!$J$351</f>
        <v>0</v>
      </c>
      <c r="U82" s="16">
        <f t="shared" si="20"/>
        <v>0</v>
      </c>
      <c r="V82" s="175">
        <f>'[1]Trial Balance'!$L$351</f>
        <v>0</v>
      </c>
      <c r="W82" s="67">
        <f t="shared" si="21"/>
        <v>0</v>
      </c>
    </row>
    <row r="83" spans="6:23" s="1" customFormat="1" ht="15">
      <c r="F83" s="2"/>
      <c r="G83" s="2"/>
      <c r="H83" s="2"/>
      <c r="I83" s="2"/>
      <c r="J83" s="2"/>
      <c r="K83" s="14" t="s">
        <v>147</v>
      </c>
      <c r="L83" s="195"/>
      <c r="M83" s="16"/>
      <c r="N83" s="175">
        <f>'[1]Trial Balance'!$D$352</f>
        <v>0</v>
      </c>
      <c r="O83" s="16">
        <f t="shared" si="22"/>
        <v>0</v>
      </c>
      <c r="P83" s="175">
        <f>'[1]Trial Balance'!$F$352</f>
        <v>0</v>
      </c>
      <c r="Q83" s="16">
        <f t="shared" si="18"/>
        <v>0</v>
      </c>
      <c r="R83" s="175">
        <f>'[1]Trial Balance'!$H$352</f>
        <v>0</v>
      </c>
      <c r="S83" s="16">
        <f t="shared" si="19"/>
        <v>0</v>
      </c>
      <c r="T83" s="175">
        <f>'[1]Trial Balance'!$J$352</f>
        <v>0</v>
      </c>
      <c r="U83" s="16">
        <f t="shared" si="20"/>
        <v>0</v>
      </c>
      <c r="V83" s="175">
        <f>'[1]Trial Balance'!$L$352</f>
        <v>0</v>
      </c>
      <c r="W83" s="67">
        <f t="shared" si="21"/>
        <v>0</v>
      </c>
    </row>
    <row r="84" spans="6:23" s="1" customFormat="1" ht="15">
      <c r="F84" s="2">
        <v>4025</v>
      </c>
      <c r="G84" s="2" t="s">
        <v>148</v>
      </c>
      <c r="H84" s="2"/>
      <c r="I84" s="2"/>
      <c r="J84" s="2"/>
      <c r="K84" s="14" t="s">
        <v>149</v>
      </c>
      <c r="L84" s="195">
        <v>82531</v>
      </c>
      <c r="M84" s="16"/>
      <c r="N84" s="175">
        <f>'[1]Trial Balance'!$D$353</f>
        <v>85631</v>
      </c>
      <c r="O84" s="16">
        <f t="shared" si="22"/>
        <v>3100</v>
      </c>
      <c r="P84" s="175">
        <f>'[1]Trial Balance'!$F$353</f>
        <v>33127</v>
      </c>
      <c r="Q84" s="236">
        <f t="shared" si="18"/>
        <v>-52504</v>
      </c>
      <c r="R84" s="175">
        <f>'[1]Trial Balance'!$H$353</f>
        <v>58782.48</v>
      </c>
      <c r="S84" s="236">
        <f t="shared" si="19"/>
        <v>25655.480000000003</v>
      </c>
      <c r="T84" s="175">
        <f>'[1]Trial Balance'!$J$353</f>
        <v>85545.9544</v>
      </c>
      <c r="U84" s="236">
        <f t="shared" si="20"/>
        <v>26763.4744</v>
      </c>
      <c r="V84" s="175">
        <f>'[1]Trial Balance'!$L$353</f>
        <v>103562.33303200001</v>
      </c>
      <c r="W84" s="247">
        <f t="shared" si="21"/>
        <v>18016.378632000007</v>
      </c>
    </row>
    <row r="85" spans="6:23" s="1" customFormat="1" ht="15">
      <c r="F85" s="2">
        <v>4030</v>
      </c>
      <c r="G85" s="2" t="s">
        <v>150</v>
      </c>
      <c r="H85" s="2"/>
      <c r="I85" s="2"/>
      <c r="J85" s="2"/>
      <c r="K85" s="14" t="s">
        <v>151</v>
      </c>
      <c r="L85" s="195">
        <v>5025</v>
      </c>
      <c r="M85" s="16"/>
      <c r="N85" s="175">
        <f>'[1]Trial Balance'!$D$354</f>
        <v>2050</v>
      </c>
      <c r="O85" s="16">
        <f t="shared" si="22"/>
        <v>-2975</v>
      </c>
      <c r="P85" s="175">
        <f>'[1]Trial Balance'!$F$354</f>
        <v>3486</v>
      </c>
      <c r="Q85" s="16">
        <f t="shared" si="18"/>
        <v>1436</v>
      </c>
      <c r="R85" s="175">
        <f>'[1]Trial Balance'!$H$354</f>
        <v>2212.81</v>
      </c>
      <c r="S85" s="16">
        <f t="shared" si="19"/>
        <v>-1273.19</v>
      </c>
      <c r="T85" s="175">
        <f>'[1]Trial Balance'!$J$354</f>
        <v>2582.903333333333</v>
      </c>
      <c r="U85" s="16">
        <f t="shared" si="20"/>
        <v>370.09333333333325</v>
      </c>
      <c r="V85" s="175">
        <f>'[1]Trial Balance'!$L$354</f>
        <v>4660.390433333334</v>
      </c>
      <c r="W85" s="67">
        <f t="shared" si="21"/>
        <v>2077.4871000000007</v>
      </c>
    </row>
    <row r="86" spans="6:23" s="1" customFormat="1" ht="15">
      <c r="F86" s="2">
        <v>4035</v>
      </c>
      <c r="G86" s="2" t="s">
        <v>152</v>
      </c>
      <c r="H86" s="2"/>
      <c r="I86" s="2"/>
      <c r="J86" s="2"/>
      <c r="K86" s="14" t="s">
        <v>153</v>
      </c>
      <c r="L86" s="195">
        <v>3524</v>
      </c>
      <c r="M86" s="16"/>
      <c r="N86" s="175">
        <f>'[1]Trial Balance'!$D$355</f>
        <v>2450</v>
      </c>
      <c r="O86" s="16">
        <f t="shared" si="22"/>
        <v>-1074</v>
      </c>
      <c r="P86" s="175">
        <f>'[1]Trial Balance'!$F$355</f>
        <v>40</v>
      </c>
      <c r="Q86" s="16">
        <f t="shared" si="18"/>
        <v>-2410</v>
      </c>
      <c r="R86" s="175">
        <f>'[1]Trial Balance'!$H$355</f>
        <v>0</v>
      </c>
      <c r="S86" s="16">
        <f t="shared" si="19"/>
        <v>-40</v>
      </c>
      <c r="T86" s="175">
        <f>'[1]Trial Balance'!$J$355</f>
        <v>830.4133333333333</v>
      </c>
      <c r="U86" s="16">
        <f t="shared" si="20"/>
        <v>830.4133333333333</v>
      </c>
      <c r="V86" s="175">
        <f>'[1]Trial Balance'!$L$355</f>
        <v>855.3257333333333</v>
      </c>
      <c r="W86" s="67">
        <f t="shared" si="21"/>
        <v>24.912400000000048</v>
      </c>
    </row>
    <row r="87" spans="6:23" s="1" customFormat="1" ht="15">
      <c r="F87" s="2">
        <v>4040</v>
      </c>
      <c r="G87" s="2" t="s">
        <v>154</v>
      </c>
      <c r="H87" s="2"/>
      <c r="I87" s="2"/>
      <c r="J87" s="2"/>
      <c r="K87" s="14" t="s">
        <v>155</v>
      </c>
      <c r="L87" s="195"/>
      <c r="M87" s="16"/>
      <c r="N87" s="175">
        <f>'[1]Trial Balance'!$D$356</f>
        <v>0</v>
      </c>
      <c r="O87" s="16">
        <f t="shared" si="22"/>
        <v>0</v>
      </c>
      <c r="P87" s="175">
        <f>'[1]Trial Balance'!$F$356</f>
        <v>0</v>
      </c>
      <c r="Q87" s="16">
        <f t="shared" si="18"/>
        <v>0</v>
      </c>
      <c r="R87" s="175">
        <f>'[1]Trial Balance'!$H$356</f>
        <v>0</v>
      </c>
      <c r="S87" s="16">
        <f t="shared" si="19"/>
        <v>0</v>
      </c>
      <c r="T87" s="175">
        <f>'[1]Trial Balance'!$J$356</f>
        <v>0</v>
      </c>
      <c r="U87" s="16">
        <f t="shared" si="20"/>
        <v>0</v>
      </c>
      <c r="V87" s="175">
        <f>'[1]Trial Balance'!$L$356</f>
        <v>0</v>
      </c>
      <c r="W87" s="67">
        <f t="shared" si="21"/>
        <v>0</v>
      </c>
    </row>
    <row r="88" spans="6:23" s="1" customFormat="1" ht="15">
      <c r="F88" s="2">
        <v>4045</v>
      </c>
      <c r="G88" s="2" t="s">
        <v>156</v>
      </c>
      <c r="H88" s="2"/>
      <c r="I88" s="2"/>
      <c r="J88" s="2"/>
      <c r="K88" s="14" t="s">
        <v>157</v>
      </c>
      <c r="L88" s="195">
        <v>32464</v>
      </c>
      <c r="M88" s="16"/>
      <c r="N88" s="175">
        <f>'[1]Trial Balance'!$D$357</f>
        <v>28575</v>
      </c>
      <c r="O88" s="289">
        <f t="shared" si="22"/>
        <v>-3889</v>
      </c>
      <c r="P88" s="175">
        <f>'[1]Trial Balance'!$F$357</f>
        <v>44930</v>
      </c>
      <c r="Q88" s="289">
        <f t="shared" si="18"/>
        <v>16355</v>
      </c>
      <c r="R88" s="175">
        <f>'[1]Trial Balance'!$H$357</f>
        <v>32397.86</v>
      </c>
      <c r="S88" s="240">
        <f t="shared" si="19"/>
        <v>-12532.14</v>
      </c>
      <c r="T88" s="175">
        <f>'[1]Trial Balance'!$J$357</f>
        <v>33369.7958</v>
      </c>
      <c r="U88" s="289">
        <f t="shared" si="20"/>
        <v>971.9357999999993</v>
      </c>
      <c r="V88" s="175">
        <f>'[1]Trial Balance'!$L$357</f>
        <v>84370.889674</v>
      </c>
      <c r="W88" s="290">
        <f t="shared" si="21"/>
        <v>51001.093874000006</v>
      </c>
    </row>
    <row r="89" spans="6:23" s="1" customFormat="1" ht="15">
      <c r="F89" s="2"/>
      <c r="G89" s="2"/>
      <c r="H89" s="2"/>
      <c r="I89" s="2"/>
      <c r="J89" s="2"/>
      <c r="K89" s="14" t="s">
        <v>158</v>
      </c>
      <c r="L89" s="195">
        <v>27588</v>
      </c>
      <c r="M89" s="16"/>
      <c r="N89" s="175">
        <f>'[1]Trial Balance'!$D$358</f>
        <v>29704</v>
      </c>
      <c r="O89" s="16">
        <f t="shared" si="22"/>
        <v>2116</v>
      </c>
      <c r="P89" s="175">
        <f>'[1]Trial Balance'!$F$358</f>
        <v>40600</v>
      </c>
      <c r="Q89" s="16">
        <f t="shared" si="18"/>
        <v>10896</v>
      </c>
      <c r="R89" s="175">
        <f>'[1]Trial Balance'!$H$358</f>
        <v>53616.02</v>
      </c>
      <c r="S89" s="16">
        <f t="shared" si="19"/>
        <v>13016.019999999997</v>
      </c>
      <c r="T89" s="175">
        <f>'[1]Trial Balance'!$J$358</f>
        <v>41306.34333333333</v>
      </c>
      <c r="U89" s="16">
        <f t="shared" si="20"/>
        <v>-12309.676666666666</v>
      </c>
      <c r="V89" s="175">
        <f>'[1]Trial Balance'!$L$358</f>
        <v>47545.53363333333</v>
      </c>
      <c r="W89" s="67">
        <f t="shared" si="21"/>
        <v>6239.190300000002</v>
      </c>
    </row>
    <row r="90" spans="6:23" s="1" customFormat="1" ht="15">
      <c r="F90" s="2"/>
      <c r="G90" s="2"/>
      <c r="H90" s="2"/>
      <c r="I90" s="2"/>
      <c r="J90" s="2"/>
      <c r="K90" s="14" t="s">
        <v>342</v>
      </c>
      <c r="L90" s="195"/>
      <c r="M90" s="16"/>
      <c r="N90" s="175">
        <f>'[1]Trial Balance'!$D$359</f>
        <v>0</v>
      </c>
      <c r="O90" s="16">
        <f t="shared" si="22"/>
        <v>0</v>
      </c>
      <c r="P90" s="175">
        <f>'[1]Trial Balance'!$F$359</f>
        <v>0</v>
      </c>
      <c r="Q90" s="16">
        <f t="shared" si="18"/>
        <v>0</v>
      </c>
      <c r="R90" s="175">
        <f>'[1]Trial Balance'!$H$359</f>
        <v>106153</v>
      </c>
      <c r="S90" s="16">
        <f t="shared" si="19"/>
        <v>106153</v>
      </c>
      <c r="T90" s="175">
        <f>'[1]Trial Balance'!$J$359</f>
        <v>0</v>
      </c>
      <c r="U90" s="16">
        <f t="shared" si="20"/>
        <v>-106153</v>
      </c>
      <c r="V90" s="175">
        <f>'[1]Trial Balance'!$L$359</f>
        <v>0</v>
      </c>
      <c r="W90" s="67">
        <f t="shared" si="21"/>
        <v>0</v>
      </c>
    </row>
    <row r="91" spans="6:23" s="1" customFormat="1" ht="15">
      <c r="F91" s="2"/>
      <c r="G91" s="2"/>
      <c r="H91" s="2"/>
      <c r="I91" s="2"/>
      <c r="J91" s="2"/>
      <c r="K91" s="14" t="s">
        <v>159</v>
      </c>
      <c r="L91" s="195"/>
      <c r="M91" s="16"/>
      <c r="N91" s="175">
        <f>'[1]Trial Balance'!$D$360</f>
        <v>0</v>
      </c>
      <c r="O91" s="16">
        <f t="shared" si="22"/>
        <v>0</v>
      </c>
      <c r="P91" s="175">
        <f>'[1]Trial Balance'!$F$360</f>
        <v>0</v>
      </c>
      <c r="Q91" s="16">
        <f t="shared" si="18"/>
        <v>0</v>
      </c>
      <c r="R91" s="175">
        <f>'[1]Trial Balance'!$H$360</f>
        <v>0</v>
      </c>
      <c r="S91" s="16">
        <f t="shared" si="19"/>
        <v>0</v>
      </c>
      <c r="T91" s="175">
        <f>'[1]Trial Balance'!$J$360</f>
        <v>0</v>
      </c>
      <c r="U91" s="16">
        <f t="shared" si="20"/>
        <v>0</v>
      </c>
      <c r="V91" s="175">
        <f>'[1]Trial Balance'!$L$360</f>
        <v>0</v>
      </c>
      <c r="W91" s="67">
        <f t="shared" si="21"/>
        <v>0</v>
      </c>
    </row>
    <row r="92" spans="6:23" s="1" customFormat="1" ht="15">
      <c r="F92" s="2"/>
      <c r="G92" s="2"/>
      <c r="H92" s="2"/>
      <c r="I92" s="2"/>
      <c r="J92" s="2"/>
      <c r="K92" s="14" t="s">
        <v>343</v>
      </c>
      <c r="L92" s="195"/>
      <c r="M92" s="16"/>
      <c r="N92" s="175">
        <f>'[1]Trial Balance'!$D$360</f>
        <v>0</v>
      </c>
      <c r="O92" s="16">
        <f t="shared" si="22"/>
        <v>0</v>
      </c>
      <c r="P92" s="175">
        <f>'[1]Trial Balance'!$F$361</f>
        <v>-21913</v>
      </c>
      <c r="Q92" s="16">
        <f t="shared" si="18"/>
        <v>-21913</v>
      </c>
      <c r="R92" s="175">
        <f>'[1]Trial Balance'!$H$361</f>
        <v>-53778.14</v>
      </c>
      <c r="S92" s="16">
        <f t="shared" si="19"/>
        <v>-31865.14</v>
      </c>
      <c r="T92" s="175">
        <f>'[1]Trial Balance'!$J$361</f>
        <v>0</v>
      </c>
      <c r="U92" s="16">
        <f t="shared" si="20"/>
        <v>53778.14</v>
      </c>
      <c r="V92" s="175">
        <f>'[1]Trial Balance'!$L$361</f>
        <v>0</v>
      </c>
      <c r="W92" s="67">
        <f t="shared" si="21"/>
        <v>0</v>
      </c>
    </row>
    <row r="93" spans="6:23" s="1" customFormat="1" ht="15">
      <c r="F93" s="2"/>
      <c r="G93" s="2"/>
      <c r="H93" s="45"/>
      <c r="I93" s="2"/>
      <c r="J93" s="2"/>
      <c r="K93" s="28" t="s">
        <v>60</v>
      </c>
      <c r="L93" s="147">
        <f>SUM(L74:L91)</f>
        <v>921831</v>
      </c>
      <c r="M93" s="16"/>
      <c r="N93" s="30">
        <f>SUM(N74:N92)</f>
        <v>741765.34</v>
      </c>
      <c r="O93" s="16">
        <f t="shared" si="22"/>
        <v>-180065.66000000003</v>
      </c>
      <c r="P93" s="30">
        <f>SUM(P74:P92)</f>
        <v>806923.61</v>
      </c>
      <c r="Q93" s="16">
        <f t="shared" si="18"/>
        <v>65158.27000000002</v>
      </c>
      <c r="R93" s="30">
        <f>SUM(R74:R92)</f>
        <v>1019723.7100000001</v>
      </c>
      <c r="S93" s="16">
        <f t="shared" si="19"/>
        <v>212800.1000000001</v>
      </c>
      <c r="T93" s="30">
        <f>SUM(T74:T92)</f>
        <v>1047828.9739</v>
      </c>
      <c r="U93" s="16">
        <f t="shared" si="20"/>
        <v>28105.263899999904</v>
      </c>
      <c r="V93" s="30">
        <f>SUM(V74:V92)</f>
        <v>1281489.1994170004</v>
      </c>
      <c r="W93" s="67">
        <f t="shared" si="21"/>
        <v>233660.22551700042</v>
      </c>
    </row>
    <row r="94" spans="6:23" s="1" customFormat="1" ht="15">
      <c r="F94" s="2"/>
      <c r="G94" s="2"/>
      <c r="H94" s="45"/>
      <c r="I94" s="2"/>
      <c r="J94" s="2"/>
      <c r="K94" s="313"/>
      <c r="L94" s="313"/>
      <c r="M94" s="313"/>
      <c r="N94" s="313"/>
      <c r="O94" s="313"/>
      <c r="P94" s="313"/>
      <c r="Q94" s="16"/>
      <c r="R94" s="13"/>
      <c r="S94" s="16"/>
      <c r="T94" s="13"/>
      <c r="U94" s="16"/>
      <c r="V94" s="13"/>
      <c r="W94" s="67"/>
    </row>
    <row r="95" spans="6:23" s="1" customFormat="1" ht="15">
      <c r="F95" s="2"/>
      <c r="G95" s="2"/>
      <c r="H95" s="2"/>
      <c r="I95" s="2"/>
      <c r="J95" s="2"/>
      <c r="K95" s="12" t="s">
        <v>160</v>
      </c>
      <c r="L95" s="196">
        <f>L29+L50+L61+L71+L93</f>
        <v>2095420</v>
      </c>
      <c r="M95" s="194"/>
      <c r="N95" s="30">
        <f>N29+N50+N61+N71+N93</f>
        <v>1884617.3399999999</v>
      </c>
      <c r="O95" s="16">
        <f t="shared" si="22"/>
        <v>-210802.66000000015</v>
      </c>
      <c r="P95" s="30">
        <f>P29+P50+P61+P71+P93</f>
        <v>1855223.6099999999</v>
      </c>
      <c r="Q95" s="30">
        <f>Q29+Q50+Q61+Q71+Q93</f>
        <v>-29393.72999999998</v>
      </c>
      <c r="R95" s="30">
        <f>R29+R50+R61+R71+R93</f>
        <v>2099690.21</v>
      </c>
      <c r="S95" s="16">
        <f t="shared" si="19"/>
        <v>244466.6000000001</v>
      </c>
      <c r="T95" s="30">
        <f>T29+T50+T61+T71+T93</f>
        <v>2449125.8485666667</v>
      </c>
      <c r="U95" s="16">
        <f t="shared" si="20"/>
        <v>349435.63856666675</v>
      </c>
      <c r="V95" s="30">
        <f>V29+V50+V61+V71+V93</f>
        <v>3067313.6851790007</v>
      </c>
      <c r="W95" s="67">
        <f t="shared" si="21"/>
        <v>618187.836612334</v>
      </c>
    </row>
    <row r="96" spans="6:23" s="1" customFormat="1" ht="15">
      <c r="F96" s="2"/>
      <c r="G96" s="2"/>
      <c r="H96" s="2"/>
      <c r="I96" s="2"/>
      <c r="J96" s="2"/>
      <c r="K96" s="12"/>
      <c r="L96" s="56"/>
      <c r="M96" s="47"/>
      <c r="N96" s="50"/>
      <c r="O96" s="47"/>
      <c r="P96" s="50"/>
      <c r="Q96" s="16"/>
      <c r="R96" s="50"/>
      <c r="S96" s="16"/>
      <c r="T96" s="50"/>
      <c r="U96" s="50"/>
      <c r="V96" s="50"/>
      <c r="W96" s="34"/>
    </row>
    <row r="97" spans="6:23" s="1" customFormat="1" ht="15">
      <c r="F97" s="2"/>
      <c r="G97" s="2"/>
      <c r="H97" s="45"/>
      <c r="I97" s="2"/>
      <c r="J97" s="2"/>
      <c r="K97" s="12" t="s">
        <v>161</v>
      </c>
      <c r="L97" s="57"/>
      <c r="M97" s="16"/>
      <c r="N97" s="52"/>
      <c r="O97" s="16"/>
      <c r="P97" s="52"/>
      <c r="Q97" s="16"/>
      <c r="R97" s="52"/>
      <c r="S97" s="16"/>
      <c r="T97" s="52"/>
      <c r="U97" s="52"/>
      <c r="V97" s="52"/>
      <c r="W97" s="34"/>
    </row>
    <row r="98" spans="6:23" s="1" customFormat="1" ht="15">
      <c r="F98" s="2">
        <v>4064</v>
      </c>
      <c r="G98" s="2" t="s">
        <v>162</v>
      </c>
      <c r="H98" s="2"/>
      <c r="I98" s="2"/>
      <c r="J98" s="2"/>
      <c r="K98" s="14" t="s">
        <v>163</v>
      </c>
      <c r="L98" s="195">
        <v>55209</v>
      </c>
      <c r="M98" s="16"/>
      <c r="N98" s="175">
        <f>'[1]Trial Balance'!$D$383</f>
        <v>42890</v>
      </c>
      <c r="O98" s="16"/>
      <c r="P98" s="175">
        <f>'[1]Trial Balance'!$F$383</f>
        <v>53482</v>
      </c>
      <c r="Q98" s="16"/>
      <c r="R98" s="175">
        <f>'[1]Trial Balance'!$H$383</f>
        <v>46698.2</v>
      </c>
      <c r="S98" s="16"/>
      <c r="T98" s="175">
        <f>'[1]Trial Balance'!$J$383</f>
        <v>48099.146</v>
      </c>
      <c r="U98" s="194"/>
      <c r="V98" s="175">
        <f>'[1]Trial Balance'!$L$383</f>
        <v>49542.12038</v>
      </c>
      <c r="W98" s="34"/>
    </row>
    <row r="99" spans="6:23" s="1" customFormat="1" ht="15">
      <c r="F99" s="2"/>
      <c r="G99" s="2"/>
      <c r="H99" s="2"/>
      <c r="I99" s="2"/>
      <c r="J99" s="2"/>
      <c r="K99" s="28" t="s">
        <v>60</v>
      </c>
      <c r="L99" s="147">
        <f>SUM(L98)</f>
        <v>55209</v>
      </c>
      <c r="M99" s="16"/>
      <c r="N99" s="30">
        <f>SUM(N98)</f>
        <v>42890</v>
      </c>
      <c r="O99" s="16"/>
      <c r="P99" s="30">
        <f>SUM(P98)</f>
        <v>53482</v>
      </c>
      <c r="Q99" s="16"/>
      <c r="R99" s="30">
        <f>SUM(R98)</f>
        <v>46698.2</v>
      </c>
      <c r="S99" s="16"/>
      <c r="T99" s="30">
        <f>SUM(T98)</f>
        <v>48099.146</v>
      </c>
      <c r="U99" s="194"/>
      <c r="V99" s="30">
        <f>SUM(V98)</f>
        <v>49542.12038</v>
      </c>
      <c r="W99" s="34"/>
    </row>
    <row r="100" spans="6:23" s="1" customFormat="1" ht="15">
      <c r="F100" s="2"/>
      <c r="G100" s="2"/>
      <c r="H100" s="2"/>
      <c r="I100" s="2"/>
      <c r="J100" s="2"/>
      <c r="K100" s="313"/>
      <c r="L100" s="313"/>
      <c r="M100" s="313"/>
      <c r="N100" s="313"/>
      <c r="O100" s="313"/>
      <c r="P100" s="313"/>
      <c r="Q100" s="16"/>
      <c r="R100" s="13"/>
      <c r="S100" s="16"/>
      <c r="T100" s="13"/>
      <c r="U100" s="13"/>
      <c r="V100" s="13"/>
      <c r="W100" s="34"/>
    </row>
    <row r="101" spans="1:23" s="1" customFormat="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2" t="s">
        <v>164</v>
      </c>
      <c r="L101" s="5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34"/>
    </row>
    <row r="102" spans="1:23" s="1" customFormat="1" ht="15">
      <c r="A102" s="2"/>
      <c r="B102" s="2"/>
      <c r="C102" s="2"/>
      <c r="D102" s="2"/>
      <c r="E102" s="2"/>
      <c r="F102" s="2">
        <v>4050</v>
      </c>
      <c r="G102" s="2" t="s">
        <v>165</v>
      </c>
      <c r="H102" s="2"/>
      <c r="I102" s="2"/>
      <c r="J102" s="2"/>
      <c r="K102" s="14" t="s">
        <v>166</v>
      </c>
      <c r="L102" s="195"/>
      <c r="M102" s="52"/>
      <c r="N102" s="175">
        <f>'[1]Trial Balance'!$D$363</f>
        <v>838633</v>
      </c>
      <c r="O102" s="52"/>
      <c r="P102" s="175">
        <f>'[1]Trial Balance'!$F$363</f>
        <v>893443</v>
      </c>
      <c r="Q102" s="16"/>
      <c r="R102" s="175">
        <f>'[1]Trial Balance'!$H$363</f>
        <v>894072.6499999998</v>
      </c>
      <c r="S102" s="16"/>
      <c r="T102" s="175">
        <f>'[1]Trial Balance'!$J$363</f>
        <v>1119962.206666667</v>
      </c>
      <c r="U102" s="194"/>
      <c r="V102" s="175">
        <f>'[1]Trial Balance'!$L$363</f>
        <v>773769.1891872174</v>
      </c>
      <c r="W102" s="34"/>
    </row>
    <row r="103" spans="1:23" s="1" customFormat="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8" t="s">
        <v>60</v>
      </c>
      <c r="L103" s="147">
        <f>SUM(L102)</f>
        <v>0</v>
      </c>
      <c r="M103" s="16"/>
      <c r="N103" s="30">
        <f>SUM(N102)</f>
        <v>838633</v>
      </c>
      <c r="O103" s="52"/>
      <c r="P103" s="30">
        <f>SUM(P102)</f>
        <v>893443</v>
      </c>
      <c r="Q103" s="16"/>
      <c r="R103" s="30">
        <f>SUM(R102)</f>
        <v>894072.6499999998</v>
      </c>
      <c r="S103" s="16"/>
      <c r="T103" s="30">
        <f>SUM(T102)</f>
        <v>1119962.206666667</v>
      </c>
      <c r="U103" s="194"/>
      <c r="V103" s="30">
        <f>SUM(V102)</f>
        <v>773769.1891872174</v>
      </c>
      <c r="W103" s="34"/>
    </row>
    <row r="104" spans="1:23" s="1" customFormat="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54"/>
      <c r="L104" s="59"/>
      <c r="M104" s="13"/>
      <c r="N104" s="13"/>
      <c r="O104" s="13"/>
      <c r="P104" s="13"/>
      <c r="Q104" s="16"/>
      <c r="R104" s="13"/>
      <c r="S104" s="16"/>
      <c r="T104" s="13"/>
      <c r="U104" s="13"/>
      <c r="V104" s="13"/>
      <c r="W104" s="34"/>
    </row>
    <row r="105" spans="1:23" s="1" customFormat="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2" t="s">
        <v>167</v>
      </c>
      <c r="L105" s="146">
        <f>L95+L103</f>
        <v>2095420</v>
      </c>
      <c r="M105" s="52"/>
      <c r="N105" s="54">
        <f>N95+N103</f>
        <v>2723250.34</v>
      </c>
      <c r="O105" s="52"/>
      <c r="P105" s="54">
        <f>P95+P99+P103</f>
        <v>2802148.61</v>
      </c>
      <c r="Q105" s="16"/>
      <c r="R105" s="54">
        <f>R95+R103</f>
        <v>2993762.86</v>
      </c>
      <c r="S105" s="16"/>
      <c r="T105" s="54">
        <f>T95+T99+T103</f>
        <v>3617187.201233334</v>
      </c>
      <c r="U105" s="194"/>
      <c r="V105" s="54">
        <f>V95+V99+V103</f>
        <v>3890624.9947462184</v>
      </c>
      <c r="W105" s="34"/>
    </row>
    <row r="106" spans="1:23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2" t="s">
        <v>168</v>
      </c>
      <c r="L106" s="146">
        <f>L105*0.01</f>
        <v>20954.2</v>
      </c>
      <c r="M106" s="52"/>
      <c r="N106" s="54">
        <f>N105*0.01</f>
        <v>27232.503399999998</v>
      </c>
      <c r="O106" s="52"/>
      <c r="P106" s="54">
        <f>P105*0.01</f>
        <v>28021.4861</v>
      </c>
      <c r="Q106" s="16"/>
      <c r="R106" s="54">
        <f>R105*0.01</f>
        <v>29937.6286</v>
      </c>
      <c r="S106" s="16"/>
      <c r="T106" s="54">
        <f>T105*0.01</f>
        <v>36171.87201233334</v>
      </c>
      <c r="U106" s="194"/>
      <c r="V106" s="54">
        <f>V105*0.01</f>
        <v>38906.24994746219</v>
      </c>
      <c r="W106" s="34"/>
    </row>
    <row r="107" spans="1:23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2" t="s">
        <v>169</v>
      </c>
      <c r="L107" s="59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34"/>
    </row>
    <row r="108" spans="1:23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59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34"/>
    </row>
    <row r="109" spans="1:23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59"/>
      <c r="M109" s="13"/>
      <c r="N109" s="176">
        <v>1490542.3399999999</v>
      </c>
      <c r="O109" s="13"/>
      <c r="P109" s="176">
        <v>1591788.0700000003</v>
      </c>
      <c r="Q109" s="13"/>
      <c r="R109" s="176">
        <v>1629805.59</v>
      </c>
      <c r="S109" s="13"/>
      <c r="T109" s="176">
        <v>1774856.7736153847</v>
      </c>
      <c r="U109" s="13"/>
      <c r="V109" s="176">
        <v>2184942.1622392307</v>
      </c>
      <c r="W109" s="34"/>
    </row>
    <row r="110" spans="14:124" ht="15">
      <c r="N110" s="176">
        <f>N105-N109</f>
        <v>1232708</v>
      </c>
      <c r="P110" s="176">
        <f>P105-P109</f>
        <v>1210360.5399999996</v>
      </c>
      <c r="R110" s="176">
        <f>R105-R109</f>
        <v>1363957.2699999998</v>
      </c>
      <c r="T110" s="176">
        <f>T105-T109</f>
        <v>1842330.4276179492</v>
      </c>
      <c r="V110" s="176">
        <f>V105-V109</f>
        <v>1705682.8325069877</v>
      </c>
      <c r="W110" s="3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</row>
  </sheetData>
  <sheetProtection/>
  <mergeCells count="9">
    <mergeCell ref="K94:P94"/>
    <mergeCell ref="K100:P100"/>
    <mergeCell ref="K1:P1"/>
    <mergeCell ref="K2:T2"/>
    <mergeCell ref="A5:E5"/>
    <mergeCell ref="K30:P30"/>
    <mergeCell ref="K51:P51"/>
    <mergeCell ref="K62:P62"/>
    <mergeCell ref="K72:P72"/>
  </mergeCells>
  <printOptions/>
  <pageMargins left="1.7" right="0.7" top="0" bottom="0" header="0.3" footer="0.3"/>
  <pageSetup fitToHeight="0" fitToWidth="1"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7"/>
  <sheetViews>
    <sheetView zoomScalePageLayoutView="0" workbookViewId="0" topLeftCell="B1">
      <selection activeCell="H18" activeCellId="6" sqref="H7 H8 H10 H13 H16 H17 H18"/>
    </sheetView>
  </sheetViews>
  <sheetFormatPr defaultColWidth="22.421875" defaultRowHeight="15"/>
  <cols>
    <col min="1" max="1" width="39.57421875" style="230" customWidth="1"/>
    <col min="2" max="2" width="4.421875" style="101" customWidth="1"/>
    <col min="3" max="3" width="43.421875" style="220" bestFit="1" customWidth="1"/>
    <col min="4" max="4" width="15.28125" style="0" bestFit="1" customWidth="1"/>
    <col min="5" max="8" width="14.28125" style="0" bestFit="1" customWidth="1"/>
    <col min="9" max="9" width="63.421875" style="0" bestFit="1" customWidth="1"/>
  </cols>
  <sheetData>
    <row r="2" ht="6" customHeight="1"/>
    <row r="3" spans="2:8" ht="30">
      <c r="B3" s="222"/>
      <c r="C3" s="161"/>
      <c r="D3" s="191" t="s">
        <v>505</v>
      </c>
      <c r="E3" s="257" t="s">
        <v>4</v>
      </c>
      <c r="F3" s="257" t="s">
        <v>458</v>
      </c>
      <c r="G3" s="257" t="s">
        <v>170</v>
      </c>
      <c r="H3" s="257" t="s">
        <v>245</v>
      </c>
    </row>
    <row r="4" spans="2:8" ht="15">
      <c r="B4" s="297"/>
      <c r="C4" s="226" t="s">
        <v>465</v>
      </c>
      <c r="D4" s="161"/>
      <c r="E4" s="161"/>
      <c r="F4" s="161"/>
      <c r="G4" s="161"/>
      <c r="H4" s="161"/>
    </row>
    <row r="5" spans="2:8" ht="15">
      <c r="B5" s="137"/>
      <c r="C5" s="138" t="s">
        <v>457</v>
      </c>
      <c r="D5" s="269">
        <v>1942957</v>
      </c>
      <c r="E5" s="269">
        <f>'App 2-E with Cost Drivers (2)'!N95</f>
        <v>1884617.3399999999</v>
      </c>
      <c r="F5" s="269">
        <f>'App 2-E with Cost Drivers (2)'!P95</f>
        <v>1855223.6099999999</v>
      </c>
      <c r="G5" s="269">
        <f>'App 2-E with Cost Drivers (2)'!R95</f>
        <v>2099690.21</v>
      </c>
      <c r="H5" s="269">
        <f>'App 2-E with Cost Drivers (2)'!T95</f>
        <v>2449125.8485666667</v>
      </c>
    </row>
    <row r="6" spans="2:9" ht="15">
      <c r="B6" s="297"/>
      <c r="C6" s="226" t="s">
        <v>466</v>
      </c>
      <c r="D6" s="161"/>
      <c r="E6" s="223"/>
      <c r="F6" s="223"/>
      <c r="G6" s="223"/>
      <c r="H6" s="223"/>
      <c r="I6" s="291" t="s">
        <v>490</v>
      </c>
    </row>
    <row r="7" spans="1:9" s="140" customFormat="1" ht="15">
      <c r="A7" s="140">
        <v>5630</v>
      </c>
      <c r="B7" s="172" t="s">
        <v>516</v>
      </c>
      <c r="C7" s="14" t="s">
        <v>497</v>
      </c>
      <c r="D7" s="248">
        <f>'App 2-E with Cost Drivers (2)'!O79</f>
        <v>-131315</v>
      </c>
      <c r="E7" s="248">
        <f>'App 2-E with Cost Drivers (2)'!Q79</f>
        <v>55119</v>
      </c>
      <c r="F7" s="248">
        <f>'App 2-E with Cost Drivers (2)'!S79</f>
        <v>7799.740000000005</v>
      </c>
      <c r="G7" s="248">
        <f>'App 2-E with Cost Drivers (2)'!U79</f>
        <v>31136.454899999982</v>
      </c>
      <c r="H7" s="248">
        <f>'App 2-E with Cost Drivers (2)'!W79</f>
        <v>54041.282147000005</v>
      </c>
      <c r="I7" s="140" t="s">
        <v>498</v>
      </c>
    </row>
    <row r="8" spans="1:9" s="140" customFormat="1" ht="15">
      <c r="A8" s="235" t="s">
        <v>489</v>
      </c>
      <c r="B8" s="172" t="s">
        <v>517</v>
      </c>
      <c r="C8" s="14" t="s">
        <v>512</v>
      </c>
      <c r="D8" s="248">
        <f>'App 2-E with Cost Drivers (2)'!O74+'App 2-E with Cost Drivers (2)'!O75+'App 2-E with Cost Drivers (2)'!O76</f>
        <v>-38850.66</v>
      </c>
      <c r="E8" s="248">
        <f>'App 2-E with Cost Drivers (2)'!Q74+'App 2-E with Cost Drivers (2)'!Q75+'App 2-E with Cost Drivers (2)'!Q76</f>
        <v>36593.270000000004</v>
      </c>
      <c r="F8" s="248">
        <f>'App 2-E with Cost Drivers (2)'!S74+'App 2-E with Cost Drivers (2)'!S75+'App 2-E with Cost Drivers (2)'!S76</f>
        <v>88027.67000000001</v>
      </c>
      <c r="G8" s="248">
        <f>'App 2-E with Cost Drivers (2)'!U74+'App 2-E with Cost Drivers (2)'!U75+'App 2-E with Cost Drivers (2)'!U76</f>
        <v>27147.369000000013</v>
      </c>
      <c r="H8" s="248">
        <f>'App 2-E with Cost Drivers (2)'!W74+'App 2-E with Cost Drivers (2)'!W75+'App 2-E with Cost Drivers (2)'!W76</f>
        <v>96522.71946999998</v>
      </c>
      <c r="I8" s="140" t="s">
        <v>491</v>
      </c>
    </row>
    <row r="9" spans="1:9" s="140" customFormat="1" ht="15">
      <c r="A9" s="140">
        <v>5135</v>
      </c>
      <c r="B9" s="172" t="s">
        <v>518</v>
      </c>
      <c r="C9" s="14" t="s">
        <v>467</v>
      </c>
      <c r="D9" s="249">
        <f>'App 2-E with Cost Drivers (2)'!O39</f>
        <v>6217</v>
      </c>
      <c r="E9" s="249">
        <f>'App 2-E with Cost Drivers (2)'!Q39</f>
        <v>15679</v>
      </c>
      <c r="F9" s="249">
        <f>'App 2-E with Cost Drivers (2)'!S39</f>
        <v>29292.25</v>
      </c>
      <c r="G9" s="249">
        <f>'App 2-E with Cost Drivers (2)'!U39</f>
        <v>-24341.442499999997</v>
      </c>
      <c r="H9" s="249">
        <f>'App 2-E with Cost Drivers (2)'!W39</f>
        <v>191.12422499999957</v>
      </c>
      <c r="I9" s="140" t="s">
        <v>494</v>
      </c>
    </row>
    <row r="10" spans="1:9" s="140" customFormat="1" ht="15">
      <c r="A10" s="140">
        <v>5175</v>
      </c>
      <c r="B10" s="172" t="s">
        <v>519</v>
      </c>
      <c r="C10" s="14" t="s">
        <v>487</v>
      </c>
      <c r="D10" s="249">
        <f>'App 2-E with Cost Drivers (2)'!O47</f>
        <v>-4261</v>
      </c>
      <c r="E10" s="249">
        <f>'App 2-E with Cost Drivers (2)'!Q47</f>
        <v>27247</v>
      </c>
      <c r="F10" s="249">
        <f>'App 2-E with Cost Drivers (2)'!S47</f>
        <v>39631.32000000001</v>
      </c>
      <c r="G10" s="249">
        <f>'App 2-E with Cost Drivers (2)'!U47</f>
        <v>61428.2764</v>
      </c>
      <c r="H10" s="249">
        <f>'App 2-E with Cost Drivers (2)'!W47</f>
        <v>52987.65429599999</v>
      </c>
      <c r="I10" s="140" t="s">
        <v>496</v>
      </c>
    </row>
    <row r="11" spans="1:9" s="140" customFormat="1" ht="15">
      <c r="A11" s="140">
        <v>5310</v>
      </c>
      <c r="B11" s="172" t="s">
        <v>520</v>
      </c>
      <c r="C11" s="14" t="s">
        <v>495</v>
      </c>
      <c r="D11" s="249">
        <f>'App 2-E with Cost Drivers (2)'!O54</f>
        <v>-563</v>
      </c>
      <c r="E11" s="249">
        <f>'App 2-E with Cost Drivers (2)'!Q54</f>
        <v>-1192</v>
      </c>
      <c r="F11" s="249">
        <f>'App 2-E with Cost Drivers (2)'!S54</f>
        <v>-888.4599999999991</v>
      </c>
      <c r="G11" s="249">
        <f>'App 2-E with Cost Drivers (2)'!U54</f>
        <v>71301.66999999998</v>
      </c>
      <c r="H11" s="248">
        <f>'App 2-E with Cost Drivers (2)'!W54</f>
        <v>-116999.2588</v>
      </c>
      <c r="I11" s="140" t="s">
        <v>500</v>
      </c>
    </row>
    <row r="12" spans="1:8" s="140" customFormat="1" ht="15">
      <c r="A12" s="140">
        <v>5655</v>
      </c>
      <c r="B12" s="172" t="s">
        <v>521</v>
      </c>
      <c r="C12" s="14" t="s">
        <v>468</v>
      </c>
      <c r="D12" s="248">
        <f>'Table 7'!O2+'Table 7'!O4+'Table 7'!O8+'Table 7'!O11+'Table 7'!O12</f>
        <v>1137.1032982935653</v>
      </c>
      <c r="E12" s="248">
        <f>'Table 7'!P2+'Table 7'!P4+'Table 7'!P8+'Table 7'!P11+'Table 7'!P12</f>
        <v>-5174.6</v>
      </c>
      <c r="F12" s="248">
        <f>'Table 7'!Q2+'Table 7'!Q4+'Table 7'!Q8+'Table 7'!Q11+'Table 7'!Q12</f>
        <v>11807.89</v>
      </c>
      <c r="G12" s="248">
        <f>'Table 7'!R2+'Table 7'!R4+'Table 7'!R8+'Table 7'!R11+'Table 7'!R12</f>
        <v>9844.170000000002</v>
      </c>
      <c r="H12" s="248">
        <f>'Table 7'!S2+'Table 7'!S4+'Table 7'!S8+'Table 7'!S11+'Table 7'!S12</f>
        <v>3401.7098000000033</v>
      </c>
    </row>
    <row r="13" spans="1:9" s="140" customFormat="1" ht="15">
      <c r="A13" s="235" t="s">
        <v>440</v>
      </c>
      <c r="B13" s="172" t="s">
        <v>522</v>
      </c>
      <c r="C13" s="14" t="s">
        <v>475</v>
      </c>
      <c r="D13" s="258">
        <f>'Table 7'!O7</f>
        <v>542.4792000986527</v>
      </c>
      <c r="E13" s="258">
        <f>'Table 7'!P7</f>
        <v>-14429.59</v>
      </c>
      <c r="F13" s="258">
        <f>'Table 7'!Q7</f>
        <v>14925</v>
      </c>
      <c r="G13" s="258">
        <f>'Table 7'!R7</f>
        <v>16078.279999999999</v>
      </c>
      <c r="H13" s="258">
        <f>'Table 7'!S7</f>
        <v>4379.098400000003</v>
      </c>
      <c r="I13" s="140" t="s">
        <v>492</v>
      </c>
    </row>
    <row r="14" spans="1:9" s="140" customFormat="1" ht="15">
      <c r="A14" s="140">
        <v>5655</v>
      </c>
      <c r="B14" s="172" t="s">
        <v>523</v>
      </c>
      <c r="C14" s="14" t="s">
        <v>476</v>
      </c>
      <c r="D14" s="248">
        <f>'Table 7'!O6</f>
        <v>1544.3675016077832</v>
      </c>
      <c r="E14" s="248">
        <f>'Table 7'!P6</f>
        <v>-33701.530000000006</v>
      </c>
      <c r="F14" s="248">
        <f>'Table 7'!Q6</f>
        <v>-972.3500000000004</v>
      </c>
      <c r="G14" s="248">
        <f>'Table 7'!R6</f>
        <v>1414.7200000000003</v>
      </c>
      <c r="H14" s="248">
        <f>'Table 7'!S6</f>
        <v>10234.599999999999</v>
      </c>
      <c r="I14" s="140" t="s">
        <v>492</v>
      </c>
    </row>
    <row r="15" spans="1:8" s="140" customFormat="1" ht="15">
      <c r="A15" s="140">
        <v>5020</v>
      </c>
      <c r="B15" s="172" t="s">
        <v>524</v>
      </c>
      <c r="C15" s="14" t="s">
        <v>499</v>
      </c>
      <c r="D15" s="249">
        <f>'App 2-E with Cost Drivers (2)'!O13</f>
        <v>-37699</v>
      </c>
      <c r="E15" s="249">
        <f>'App 2-E with Cost Drivers (2)'!Q13</f>
        <v>-69790</v>
      </c>
      <c r="F15" s="249">
        <f>'App 2-E with Cost Drivers (2)'!S13</f>
        <v>7463.220000000001</v>
      </c>
      <c r="G15" s="249">
        <f>'App 2-E with Cost Drivers (2)'!U13</f>
        <v>18047.790000000008</v>
      </c>
      <c r="H15" s="249">
        <f>'App 2-E with Cost Drivers (2)'!W13</f>
        <v>131095.40030000004</v>
      </c>
    </row>
    <row r="16" spans="1:9" s="140" customFormat="1" ht="15">
      <c r="A16" s="235" t="s">
        <v>488</v>
      </c>
      <c r="B16" s="172" t="s">
        <v>525</v>
      </c>
      <c r="C16" s="14" t="s">
        <v>501</v>
      </c>
      <c r="D16" s="249">
        <f>'App 2-E with Cost Drivers (2)'!O12+'App 2-E with Cost Drivers (2)'!O88+'App 2-E with Cost Drivers (2)'!O43+'App 2-E with Cost Drivers (2)'!O42+'App 2-E with Cost Drivers (2)'!O36</f>
        <v>-11058</v>
      </c>
      <c r="E16" s="249">
        <f>'App 2-E with Cost Drivers (2)'!Q12+'App 2-E with Cost Drivers (2)'!Q88+'App 2-E with Cost Drivers (2)'!Q43+'App 2-E with Cost Drivers (2)'!Q42+'App 2-E with Cost Drivers (2)'!Q36</f>
        <v>-5687</v>
      </c>
      <c r="F16" s="249">
        <f>'App 2-E with Cost Drivers (2)'!S12+'App 2-E with Cost Drivers (2)'!S88+'App 2-E with Cost Drivers (2)'!S43+'App 2-E with Cost Drivers (2)'!S42+'App 2-E with Cost Drivers (2)'!S36</f>
        <v>-13298.21</v>
      </c>
      <c r="G16" s="249">
        <f>'App 2-E with Cost Drivers (2)'!U12+'App 2-E with Cost Drivers (2)'!U88+'App 2-E with Cost Drivers (2)'!U43+'App 2-E with Cost Drivers (2)'!U42+'App 2-E with Cost Drivers (2)'!U36</f>
        <v>35408.174499999994</v>
      </c>
      <c r="H16" s="249">
        <f>'App 2-E with Cost Drivers (2)'!W12+'App 2-E with Cost Drivers (2)'!W88+'App 2-E with Cost Drivers (2)'!W43+'App 2-E with Cost Drivers (2)'!W42+'App 2-E with Cost Drivers (2)'!W36</f>
        <v>58641.047896333344</v>
      </c>
      <c r="I16" s="140" t="s">
        <v>493</v>
      </c>
    </row>
    <row r="17" spans="1:8" s="140" customFormat="1" ht="15">
      <c r="A17" s="140">
        <v>5320</v>
      </c>
      <c r="B17" s="172" t="s">
        <v>526</v>
      </c>
      <c r="C17" s="14" t="s">
        <v>502</v>
      </c>
      <c r="D17" s="249">
        <f>'App 2-E with Cost Drivers (2)'!O56</f>
        <v>338</v>
      </c>
      <c r="E17" s="249">
        <f>'App 2-E with Cost Drivers (2)'!Q56</f>
        <v>-4966</v>
      </c>
      <c r="F17" s="249">
        <f>'App 2-E with Cost Drivers (2)'!S56</f>
        <v>11055.380000000005</v>
      </c>
      <c r="G17" s="249">
        <f>'App 2-E with Cost Drivers (2)'!U56</f>
        <v>3111.9113999999972</v>
      </c>
      <c r="H17" s="249">
        <f>'App 2-E with Cost Drivers (2)'!W56</f>
        <v>23434.880742000023</v>
      </c>
    </row>
    <row r="18" spans="1:8" s="140" customFormat="1" ht="15">
      <c r="A18" s="140">
        <v>5340</v>
      </c>
      <c r="B18" s="172" t="s">
        <v>527</v>
      </c>
      <c r="C18" s="14" t="s">
        <v>529</v>
      </c>
      <c r="D18" s="249">
        <f>'App 2-E with Cost Drivers (2)'!O60</f>
        <v>-194</v>
      </c>
      <c r="E18" s="249">
        <f>'App 2-E with Cost Drivers (2)'!Q60</f>
        <v>-22047</v>
      </c>
      <c r="F18" s="249">
        <f>'App 2-E with Cost Drivers (2)'!S60</f>
        <v>6182.860000000001</v>
      </c>
      <c r="G18" s="249">
        <f>'App 2-E with Cost Drivers (2)'!U60</f>
        <v>-1265.6441999999952</v>
      </c>
      <c r="H18" s="249">
        <f>'App 2-E with Cost Drivers (2)'!W60</f>
        <v>91117.27481999999</v>
      </c>
    </row>
    <row r="19" spans="1:8" s="140" customFormat="1" ht="15">
      <c r="A19" s="140">
        <v>5335</v>
      </c>
      <c r="B19" s="172" t="s">
        <v>528</v>
      </c>
      <c r="C19" s="14" t="s">
        <v>514</v>
      </c>
      <c r="D19" s="249">
        <f>'App 2-E with Cost Drivers (2)'!O59</f>
        <v>8349</v>
      </c>
      <c r="E19" s="249">
        <f>'App 2-E with Cost Drivers (2)'!Q59</f>
        <v>-16403</v>
      </c>
      <c r="F19" s="249">
        <f>'App 2-E with Cost Drivers (2)'!S59</f>
        <v>9391.099999999999</v>
      </c>
      <c r="G19" s="249">
        <f>'App 2-E with Cost Drivers (2)'!U59</f>
        <v>-793.0366666666632</v>
      </c>
      <c r="H19" s="249">
        <f>'App 2-E with Cost Drivers (2)'!W59</f>
        <v>656.6419000000024</v>
      </c>
    </row>
    <row r="20" spans="2:8" s="140" customFormat="1" ht="15">
      <c r="B20" s="304"/>
      <c r="C20" s="305" t="s">
        <v>503</v>
      </c>
      <c r="D20" s="310">
        <f>SUM(D5:D19)</f>
        <v>1737144.2900000003</v>
      </c>
      <c r="E20" s="310">
        <f>SUM(E5:E19)</f>
        <v>1845864.8899999997</v>
      </c>
      <c r="F20" s="310">
        <f>SUM(F5:F19)</f>
        <v>2065641.0199999998</v>
      </c>
      <c r="G20" s="310">
        <f>SUM(G5:G19)</f>
        <v>2348208.9028333332</v>
      </c>
      <c r="H20" s="310">
        <f>SUM(H5:H19)</f>
        <v>2858830.023763</v>
      </c>
    </row>
    <row r="21" spans="2:9" s="140" customFormat="1" ht="15.75" customHeight="1">
      <c r="B21" s="301" t="s">
        <v>541</v>
      </c>
      <c r="C21" s="287" t="s">
        <v>504</v>
      </c>
      <c r="D21" s="288">
        <f>D26</f>
        <v>147473.04999999958</v>
      </c>
      <c r="E21" s="288">
        <f>E26</f>
        <v>9358.720000000205</v>
      </c>
      <c r="F21" s="288">
        <f>F26</f>
        <v>34049.19000000018</v>
      </c>
      <c r="G21" s="288">
        <f>G26</f>
        <v>100916.94573333347</v>
      </c>
      <c r="H21" s="288">
        <f>H26</f>
        <v>208483.6614160007</v>
      </c>
      <c r="I21" s="252">
        <f>SUM(D21:H21)</f>
        <v>500281.5671493341</v>
      </c>
    </row>
    <row r="22" spans="2:9" s="140" customFormat="1" ht="15.75" customHeight="1">
      <c r="B22" s="298"/>
      <c r="C22" s="287" t="s">
        <v>530</v>
      </c>
      <c r="D22" s="306">
        <f>D21/D23</f>
        <v>0.07825092493312175</v>
      </c>
      <c r="E22" s="306">
        <f>E21/E23</f>
        <v>0.005044523985979353</v>
      </c>
      <c r="F22" s="306">
        <f>F21/F23</f>
        <v>0.01621629221198311</v>
      </c>
      <c r="G22" s="306">
        <f>G21/G23</f>
        <v>0.041205291999345146</v>
      </c>
      <c r="H22" s="306">
        <f>H21/H23</f>
        <v>0.06796946214642996</v>
      </c>
      <c r="I22" s="302"/>
    </row>
    <row r="23" spans="1:9" s="140" customFormat="1" ht="15">
      <c r="A23" s="230"/>
      <c r="B23" s="304"/>
      <c r="C23" s="305" t="s">
        <v>459</v>
      </c>
      <c r="D23" s="309">
        <f>'App 2-E with Cost Drivers (2)'!N95</f>
        <v>1884617.3399999999</v>
      </c>
      <c r="E23" s="309">
        <f>'App 2-E with Cost Drivers (2)'!P95</f>
        <v>1855223.6099999999</v>
      </c>
      <c r="F23" s="309">
        <f>'App 2-E with Cost Drivers (2)'!R95</f>
        <v>2099690.21</v>
      </c>
      <c r="G23" s="309">
        <f>'App 2-E with Cost Drivers (2)'!T95</f>
        <v>2449125.8485666667</v>
      </c>
      <c r="H23" s="309">
        <f>'App 2-E with Cost Drivers (2)'!V95</f>
        <v>3067313.6851790007</v>
      </c>
      <c r="I23" s="252"/>
    </row>
    <row r="24" spans="2:8" ht="15">
      <c r="B24" s="297"/>
      <c r="C24" s="285" t="s">
        <v>198</v>
      </c>
      <c r="D24" s="286">
        <v>0.024</v>
      </c>
      <c r="E24" s="286">
        <v>0.0031</v>
      </c>
      <c r="F24" s="286">
        <v>0.018</v>
      </c>
      <c r="G24" s="286">
        <v>0.03</v>
      </c>
      <c r="H24" s="286">
        <v>0.03</v>
      </c>
    </row>
    <row r="25" spans="1:8" ht="15">
      <c r="A25" s="282"/>
      <c r="B25" s="301" t="s">
        <v>515</v>
      </c>
      <c r="C25" s="287" t="s">
        <v>511</v>
      </c>
      <c r="D25" s="311">
        <f>D5*D30</f>
        <v>46630.968</v>
      </c>
      <c r="E25" s="311">
        <f>E5*E30</f>
        <v>5842.313753999999</v>
      </c>
      <c r="F25" s="311">
        <f>F5*F30</f>
        <v>33394.024979999995</v>
      </c>
      <c r="G25" s="311">
        <f>G5*G30</f>
        <v>62990.7063</v>
      </c>
      <c r="H25" s="311">
        <f>H5*H30</f>
        <v>73473.775457</v>
      </c>
    </row>
    <row r="26" spans="1:8" s="282" customFormat="1" ht="15">
      <c r="A26" s="230"/>
      <c r="B26" s="101"/>
      <c r="C26" s="220"/>
      <c r="D26" s="251">
        <f>D23-D20</f>
        <v>147473.04999999958</v>
      </c>
      <c r="E26" s="251">
        <f>E23-E20</f>
        <v>9358.720000000205</v>
      </c>
      <c r="F26" s="251">
        <f>F23-F20</f>
        <v>34049.19000000018</v>
      </c>
      <c r="G26" s="251">
        <f>G23-G20</f>
        <v>100916.94573333347</v>
      </c>
      <c r="H26" s="251">
        <f>H23-H20</f>
        <v>208483.6614160007</v>
      </c>
    </row>
    <row r="27" spans="4:8" ht="15">
      <c r="D27" s="303">
        <f>D26/D23</f>
        <v>0.07825092493312175</v>
      </c>
      <c r="E27" s="303">
        <f>E26/E23</f>
        <v>0.005044523985979353</v>
      </c>
      <c r="F27" s="303">
        <f>F26/F23</f>
        <v>0.01621629221198311</v>
      </c>
      <c r="G27" s="303">
        <f>G26/G23</f>
        <v>0.041205291999345146</v>
      </c>
      <c r="H27" s="303">
        <f>H26/H23</f>
        <v>0.06796946214642996</v>
      </c>
    </row>
    <row r="28" spans="2:8" s="284" customFormat="1" ht="15">
      <c r="B28" s="101"/>
      <c r="D28" s="105"/>
      <c r="E28" s="105"/>
      <c r="F28" s="105"/>
      <c r="G28" s="127"/>
      <c r="H28" s="105"/>
    </row>
    <row r="29" spans="3:10" ht="15">
      <c r="C29" s="299" t="s">
        <v>510</v>
      </c>
      <c r="D29" s="300">
        <f>D5*0.03</f>
        <v>58288.71</v>
      </c>
      <c r="E29" s="300">
        <f>E5*0.03</f>
        <v>56538.52019999999</v>
      </c>
      <c r="F29" s="300">
        <f>F5*0.03</f>
        <v>55656.70829999999</v>
      </c>
      <c r="G29" s="300">
        <f>G5*0.03</f>
        <v>62990.7063</v>
      </c>
      <c r="H29" s="300">
        <f>H5*0.03</f>
        <v>73473.775457</v>
      </c>
      <c r="I29" s="140"/>
      <c r="J29" s="140"/>
    </row>
    <row r="30" spans="3:10" ht="15">
      <c r="C30" s="292"/>
      <c r="D30" s="293">
        <v>0.024</v>
      </c>
      <c r="E30" s="293">
        <v>0.0031</v>
      </c>
      <c r="F30" s="293">
        <v>0.018</v>
      </c>
      <c r="G30" s="293">
        <v>0.03</v>
      </c>
      <c r="H30" s="293">
        <v>0.03</v>
      </c>
      <c r="I30" s="296"/>
      <c r="J30" s="140"/>
    </row>
    <row r="31" spans="3:8" ht="15">
      <c r="C31" s="294" t="s">
        <v>198</v>
      </c>
      <c r="D31" s="295">
        <f>D5*D30</f>
        <v>46630.968</v>
      </c>
      <c r="E31" s="295">
        <f>E5*E30</f>
        <v>5842.313753999999</v>
      </c>
      <c r="F31" s="295">
        <f>F5*F30</f>
        <v>33394.024979999995</v>
      </c>
      <c r="G31" s="295">
        <f>G5*G30</f>
        <v>62990.7063</v>
      </c>
      <c r="H31" s="295">
        <f>H5*H30</f>
        <v>73473.775457</v>
      </c>
    </row>
    <row r="32" spans="1:8" s="229" customFormat="1" ht="15">
      <c r="A32" s="230"/>
      <c r="B32" s="101"/>
      <c r="C32" s="220"/>
      <c r="D32" s="283"/>
      <c r="E32" s="283"/>
      <c r="F32" s="283"/>
      <c r="G32" s="283"/>
      <c r="H32" s="283"/>
    </row>
    <row r="33" spans="4:8" ht="15">
      <c r="D33" s="154"/>
      <c r="E33" s="154"/>
      <c r="F33" s="154"/>
      <c r="G33" s="154"/>
      <c r="H33" s="154"/>
    </row>
    <row r="34" spans="4:8" ht="15">
      <c r="D34" s="154"/>
      <c r="E34" s="154"/>
      <c r="F34" s="154"/>
      <c r="G34" s="154"/>
      <c r="H34" s="154"/>
    </row>
    <row r="35" spans="4:10" ht="15">
      <c r="D35" s="154"/>
      <c r="H35" s="229"/>
      <c r="I35">
        <v>5320</v>
      </c>
      <c r="J35" t="s">
        <v>513</v>
      </c>
    </row>
    <row r="36" spans="1:9" s="229" customFormat="1" ht="15">
      <c r="A36" s="230"/>
      <c r="B36" s="101"/>
      <c r="C36" s="220"/>
      <c r="D36" s="154"/>
      <c r="E36"/>
      <c r="F36"/>
      <c r="G36"/>
      <c r="H36"/>
      <c r="I36" s="229">
        <v>5315</v>
      </c>
    </row>
    <row r="37" spans="4:7" ht="15">
      <c r="D37" s="154"/>
      <c r="F37" t="s">
        <v>542</v>
      </c>
      <c r="G37" s="312">
        <f>H23-F23</f>
        <v>967623.4751790008</v>
      </c>
    </row>
    <row r="38" ht="15">
      <c r="D38" s="154"/>
    </row>
    <row r="39" ht="15">
      <c r="D39" s="154"/>
    </row>
    <row r="40" ht="15">
      <c r="D40" s="154"/>
    </row>
    <row r="41" ht="15">
      <c r="D41" s="154"/>
    </row>
    <row r="42" ht="15">
      <c r="D42" s="154"/>
    </row>
    <row r="43" ht="15">
      <c r="D43" s="154"/>
    </row>
    <row r="44" ht="15">
      <c r="D44" s="154"/>
    </row>
    <row r="45" ht="15">
      <c r="D45" s="154"/>
    </row>
    <row r="46" ht="15">
      <c r="D46" s="154"/>
    </row>
    <row r="47" ht="15">
      <c r="D47" s="154"/>
    </row>
    <row r="48" ht="15">
      <c r="D48" s="154"/>
    </row>
    <row r="64" ht="15">
      <c r="H64" s="104"/>
    </row>
    <row r="65" ht="15">
      <c r="H65" s="104"/>
    </row>
    <row r="66" ht="15">
      <c r="H66" s="104"/>
    </row>
    <row r="67" ht="15">
      <c r="H67" s="10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M110"/>
  <sheetViews>
    <sheetView zoomScalePageLayoutView="0" workbookViewId="0" topLeftCell="A58">
      <selection activeCell="A79" sqref="A79"/>
    </sheetView>
  </sheetViews>
  <sheetFormatPr defaultColWidth="8.140625" defaultRowHeight="15"/>
  <cols>
    <col min="1" max="1" width="74.57421875" style="2" bestFit="1" customWidth="1"/>
    <col min="2" max="2" width="11.140625" style="6" hidden="1" customWidth="1"/>
    <col min="3" max="3" width="2.28125" style="7" customWidth="1"/>
    <col min="4" max="4" width="2.8515625" style="3" hidden="1" customWidth="1"/>
    <col min="5" max="5" width="10.421875" style="3" hidden="1" customWidth="1"/>
    <col min="6" max="6" width="1.28515625" style="3" hidden="1" customWidth="1"/>
    <col min="7" max="7" width="10.421875" style="3" hidden="1" customWidth="1"/>
    <col min="8" max="8" width="2.8515625" style="3" hidden="1" customWidth="1"/>
    <col min="9" max="9" width="10.421875" style="3" hidden="1" customWidth="1"/>
    <col min="10" max="10" width="2.8515625" style="3" hidden="1" customWidth="1"/>
    <col min="11" max="12" width="10.421875" style="3" hidden="1" customWidth="1"/>
    <col min="13" max="13" width="10.421875" style="13" customWidth="1"/>
    <col min="14" max="14" width="2.421875" style="13" customWidth="1"/>
    <col min="15" max="15" width="11.421875" style="13" customWidth="1"/>
    <col min="16" max="16" width="2.00390625" style="1" customWidth="1"/>
    <col min="17" max="17" width="10.421875" style="1" customWidth="1"/>
    <col min="18" max="18" width="1.57421875" style="1" customWidth="1"/>
    <col min="19" max="19" width="10.7109375" style="1" customWidth="1"/>
    <col min="20" max="20" width="4.421875" style="1" customWidth="1"/>
    <col min="21" max="21" width="10.57421875" style="34" customWidth="1"/>
    <col min="22" max="22" width="2.28125" style="34" customWidth="1"/>
    <col min="23" max="23" width="10.28125" style="34" customWidth="1"/>
    <col min="24" max="24" width="2.140625" style="1" customWidth="1"/>
    <col min="25" max="25" width="10.7109375" style="1" customWidth="1"/>
    <col min="26" max="26" width="1.8515625" style="1" customWidth="1"/>
    <col min="27" max="27" width="11.57421875" style="1" customWidth="1"/>
    <col min="28" max="117" width="8.140625" style="1" customWidth="1"/>
    <col min="118" max="16384" width="8.140625" style="2" customWidth="1"/>
  </cols>
  <sheetData>
    <row r="1" spans="1:27" s="1" customFormat="1" ht="15">
      <c r="A1" s="317" t="s">
        <v>185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</row>
    <row r="2" spans="1:23" s="1" customFormat="1" ht="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5"/>
      <c r="M2" s="28"/>
      <c r="N2" s="28"/>
      <c r="O2" s="34"/>
      <c r="U2" s="34"/>
      <c r="V2" s="34"/>
      <c r="W2" s="34"/>
    </row>
    <row r="3" spans="1:23" s="1" customFormat="1" ht="15">
      <c r="A3" s="2"/>
      <c r="B3" s="6"/>
      <c r="C3" s="61"/>
      <c r="D3" s="3"/>
      <c r="E3" s="3"/>
      <c r="F3" s="3"/>
      <c r="G3" s="3"/>
      <c r="H3" s="3"/>
      <c r="I3" s="3"/>
      <c r="J3" s="3"/>
      <c r="K3" s="3"/>
      <c r="L3" s="3"/>
      <c r="M3" s="13"/>
      <c r="N3" s="13"/>
      <c r="O3" s="13"/>
      <c r="U3" s="34"/>
      <c r="V3" s="34"/>
      <c r="W3" s="34"/>
    </row>
    <row r="4" spans="1:29" s="1" customFormat="1" ht="60">
      <c r="A4" s="8" t="s">
        <v>1</v>
      </c>
      <c r="B4" s="9" t="s">
        <v>2</v>
      </c>
      <c r="D4" s="11"/>
      <c r="E4" s="10" t="s">
        <v>186</v>
      </c>
      <c r="F4" s="11"/>
      <c r="G4" s="10" t="s">
        <v>3</v>
      </c>
      <c r="H4" s="11"/>
      <c r="J4" s="3"/>
      <c r="K4" s="10" t="s">
        <v>187</v>
      </c>
      <c r="L4" s="62"/>
      <c r="M4" s="8" t="s">
        <v>55</v>
      </c>
      <c r="N4" s="34"/>
      <c r="O4" s="8" t="s">
        <v>189</v>
      </c>
      <c r="Q4" s="8" t="s">
        <v>12</v>
      </c>
      <c r="S4" s="8" t="s">
        <v>13</v>
      </c>
      <c r="T4" s="90"/>
      <c r="U4" s="8" t="s">
        <v>171</v>
      </c>
      <c r="V4" s="34"/>
      <c r="W4" s="8" t="s">
        <v>188</v>
      </c>
      <c r="Y4" s="8" t="s">
        <v>12</v>
      </c>
      <c r="AA4" s="63" t="s">
        <v>13</v>
      </c>
      <c r="AB4" s="64"/>
      <c r="AC4" s="65"/>
    </row>
    <row r="5" spans="1:23" s="1" customFormat="1" ht="15">
      <c r="A5" s="12" t="s">
        <v>6</v>
      </c>
      <c r="B5" s="6"/>
      <c r="D5" s="13"/>
      <c r="E5" s="13"/>
      <c r="F5" s="13"/>
      <c r="G5" s="13"/>
      <c r="H5" s="13"/>
      <c r="I5" s="13"/>
      <c r="J5" s="3"/>
      <c r="K5" s="13"/>
      <c r="L5" s="13"/>
      <c r="M5" s="66"/>
      <c r="N5" s="67"/>
      <c r="O5" s="67"/>
      <c r="T5" s="68"/>
      <c r="U5" s="34"/>
      <c r="V5" s="34"/>
      <c r="W5" s="34"/>
    </row>
    <row r="6" spans="1:27" s="1" customFormat="1" ht="15">
      <c r="A6" s="14" t="s">
        <v>8</v>
      </c>
      <c r="B6" s="69"/>
      <c r="D6" s="70">
        <v>0</v>
      </c>
      <c r="E6" s="15">
        <v>14604.91</v>
      </c>
      <c r="F6" s="16"/>
      <c r="G6" s="15">
        <v>15701.43</v>
      </c>
      <c r="H6" s="16"/>
      <c r="J6" s="3"/>
      <c r="K6" s="15">
        <v>4726.26</v>
      </c>
      <c r="L6" s="71"/>
      <c r="M6" s="175">
        <f>'App 2-E'!N6</f>
        <v>148399</v>
      </c>
      <c r="N6" s="34"/>
      <c r="O6" s="175">
        <f>'App 2-E'!V6</f>
        <v>323678.441384</v>
      </c>
      <c r="Q6" s="73">
        <f>O6-M6</f>
        <v>175279.441384</v>
      </c>
      <c r="S6" s="74">
        <f>IF(M6=0," ",O6/M6)</f>
        <v>2.1811362703522263</v>
      </c>
      <c r="T6" s="90"/>
      <c r="U6" s="175">
        <f>'App 2-E'!R6</f>
        <v>183439.76</v>
      </c>
      <c r="V6" s="34"/>
      <c r="W6" s="171">
        <f>'App 2-E'!V6</f>
        <v>323678.441384</v>
      </c>
      <c r="Y6" s="73">
        <f>W6-U6</f>
        <v>140238.681384</v>
      </c>
      <c r="AA6" s="74">
        <f>IF(U6=0," ",W6/U6)</f>
        <v>1.7644944661070205</v>
      </c>
    </row>
    <row r="7" spans="1:30" s="1" customFormat="1" ht="15">
      <c r="A7" s="14" t="s">
        <v>11</v>
      </c>
      <c r="B7" s="69"/>
      <c r="D7" s="16"/>
      <c r="E7" s="17">
        <v>0</v>
      </c>
      <c r="F7" s="16"/>
      <c r="G7" s="15">
        <v>0</v>
      </c>
      <c r="H7" s="16"/>
      <c r="J7" s="3"/>
      <c r="K7" s="15">
        <v>0</v>
      </c>
      <c r="L7" s="71"/>
      <c r="M7" s="175">
        <f>'App 2-E'!N7</f>
        <v>0</v>
      </c>
      <c r="N7" s="34"/>
      <c r="O7" s="175">
        <f>'App 2-E'!V7</f>
        <v>0</v>
      </c>
      <c r="Q7" s="73">
        <f aca="true" t="shared" si="0" ref="Q7:Q29">O7-M7</f>
        <v>0</v>
      </c>
      <c r="S7" s="74" t="str">
        <f>IF(M7=0," ",O7/M7)</f>
        <v> </v>
      </c>
      <c r="T7" s="90"/>
      <c r="U7" s="175">
        <f>'App 2-E'!R7</f>
        <v>0</v>
      </c>
      <c r="V7" s="34"/>
      <c r="W7" s="171">
        <f>'App 2-E'!V7</f>
        <v>0</v>
      </c>
      <c r="Y7" s="73">
        <f aca="true" t="shared" si="1" ref="Y7:Y70">W7-U7</f>
        <v>0</v>
      </c>
      <c r="AA7" s="74" t="str">
        <f>IF(U7=0," ",W7/U7)</f>
        <v> </v>
      </c>
      <c r="AC7" s="75"/>
      <c r="AD7" s="65"/>
    </row>
    <row r="8" spans="1:27" s="1" customFormat="1" ht="15">
      <c r="A8" s="14" t="s">
        <v>15</v>
      </c>
      <c r="B8" s="69"/>
      <c r="D8" s="16"/>
      <c r="E8" s="17">
        <v>0</v>
      </c>
      <c r="F8" s="16"/>
      <c r="G8" s="15">
        <v>0</v>
      </c>
      <c r="H8" s="16"/>
      <c r="J8" s="3"/>
      <c r="K8" s="15">
        <v>0</v>
      </c>
      <c r="L8" s="71"/>
      <c r="M8" s="175">
        <f>'App 2-E'!N8</f>
        <v>0</v>
      </c>
      <c r="N8" s="34"/>
      <c r="O8" s="175">
        <f>'App 2-E'!V8</f>
        <v>0</v>
      </c>
      <c r="Q8" s="73">
        <f t="shared" si="0"/>
        <v>0</v>
      </c>
      <c r="S8" s="74" t="str">
        <f aca="true" t="shared" si="2" ref="S8:S71">IF(M8=0," ",O8/M8)</f>
        <v> </v>
      </c>
      <c r="T8" s="90"/>
      <c r="U8" s="175">
        <f>'App 2-E'!R8</f>
        <v>0</v>
      </c>
      <c r="V8" s="34"/>
      <c r="W8" s="171">
        <f>'App 2-E'!V8</f>
        <v>0</v>
      </c>
      <c r="Y8" s="73">
        <f t="shared" si="1"/>
        <v>0</v>
      </c>
      <c r="AA8" s="74" t="str">
        <f aca="true" t="shared" si="3" ref="AA8:AA71">IF(U8=0," ",W8/U8)</f>
        <v> </v>
      </c>
    </row>
    <row r="9" spans="1:27" s="1" customFormat="1" ht="15">
      <c r="A9" s="14" t="s">
        <v>17</v>
      </c>
      <c r="B9" s="69"/>
      <c r="D9" s="16"/>
      <c r="E9" s="17">
        <v>0</v>
      </c>
      <c r="F9" s="16"/>
      <c r="G9" s="15">
        <v>0</v>
      </c>
      <c r="H9" s="16"/>
      <c r="J9" s="3"/>
      <c r="K9" s="15">
        <v>0</v>
      </c>
      <c r="L9" s="71"/>
      <c r="M9" s="175">
        <f>'App 2-E'!N9</f>
        <v>0</v>
      </c>
      <c r="N9" s="34"/>
      <c r="O9" s="175">
        <f>'App 2-E'!V9</f>
        <v>0</v>
      </c>
      <c r="Q9" s="73">
        <f t="shared" si="0"/>
        <v>0</v>
      </c>
      <c r="S9" s="74" t="str">
        <f t="shared" si="2"/>
        <v> </v>
      </c>
      <c r="T9" s="90"/>
      <c r="U9" s="175">
        <f>'App 2-E'!R9</f>
        <v>0</v>
      </c>
      <c r="V9" s="34"/>
      <c r="W9" s="171">
        <f>'App 2-E'!V9</f>
        <v>0</v>
      </c>
      <c r="Y9" s="73">
        <f t="shared" si="1"/>
        <v>0</v>
      </c>
      <c r="AA9" s="74" t="str">
        <f t="shared" si="3"/>
        <v> </v>
      </c>
    </row>
    <row r="10" spans="1:27" s="1" customFormat="1" ht="15">
      <c r="A10" s="14" t="s">
        <v>20</v>
      </c>
      <c r="B10" s="69"/>
      <c r="D10" s="16"/>
      <c r="E10" s="17">
        <v>0</v>
      </c>
      <c r="F10" s="16"/>
      <c r="G10" s="15">
        <v>0</v>
      </c>
      <c r="H10" s="16"/>
      <c r="J10" s="3"/>
      <c r="K10" s="15">
        <v>0</v>
      </c>
      <c r="L10" s="71"/>
      <c r="M10" s="175">
        <f>'App 2-E'!N10</f>
        <v>0</v>
      </c>
      <c r="N10" s="34"/>
      <c r="O10" s="175">
        <f>'App 2-E'!V10</f>
        <v>0</v>
      </c>
      <c r="Q10" s="73">
        <f t="shared" si="0"/>
        <v>0</v>
      </c>
      <c r="S10" s="74" t="str">
        <f t="shared" si="2"/>
        <v> </v>
      </c>
      <c r="T10" s="90"/>
      <c r="U10" s="175">
        <f>'App 2-E'!R10</f>
        <v>0</v>
      </c>
      <c r="V10" s="34"/>
      <c r="W10" s="171">
        <f>'App 2-E'!V10</f>
        <v>0</v>
      </c>
      <c r="Y10" s="73">
        <f t="shared" si="1"/>
        <v>0</v>
      </c>
      <c r="AA10" s="74" t="str">
        <f t="shared" si="3"/>
        <v> </v>
      </c>
    </row>
    <row r="11" spans="1:27" s="1" customFormat="1" ht="15">
      <c r="A11" s="14" t="s">
        <v>23</v>
      </c>
      <c r="B11" s="69"/>
      <c r="D11" s="16"/>
      <c r="E11" s="17">
        <v>518.1</v>
      </c>
      <c r="F11" s="16"/>
      <c r="G11" s="15">
        <v>0</v>
      </c>
      <c r="H11" s="16"/>
      <c r="J11" s="3"/>
      <c r="K11" s="15">
        <v>0</v>
      </c>
      <c r="L11" s="71"/>
      <c r="M11" s="175">
        <f>'App 2-E'!N11</f>
        <v>1314</v>
      </c>
      <c r="N11" s="34"/>
      <c r="O11" s="175">
        <f>'App 2-E'!V11</f>
        <v>2598.5979866666667</v>
      </c>
      <c r="Q11" s="73">
        <f t="shared" si="0"/>
        <v>1284.5979866666667</v>
      </c>
      <c r="S11" s="74">
        <f>IF(M11=0," ",O11/M11)</f>
        <v>1.977624038559107</v>
      </c>
      <c r="T11" s="90"/>
      <c r="U11" s="175">
        <f>'App 2-E'!R11</f>
        <v>1043.42</v>
      </c>
      <c r="V11" s="34"/>
      <c r="W11" s="171">
        <f>'App 2-E'!V11</f>
        <v>2598.5979866666667</v>
      </c>
      <c r="Y11" s="73">
        <f t="shared" si="1"/>
        <v>1555.1779866666666</v>
      </c>
      <c r="AA11" s="74">
        <f t="shared" si="3"/>
        <v>2.4904621213573312</v>
      </c>
    </row>
    <row r="12" spans="1:27" s="1" customFormat="1" ht="15">
      <c r="A12" s="14" t="s">
        <v>26</v>
      </c>
      <c r="B12" s="69"/>
      <c r="D12" s="16"/>
      <c r="E12" s="17">
        <v>6893.73</v>
      </c>
      <c r="F12" s="16"/>
      <c r="G12" s="15">
        <v>6968.29</v>
      </c>
      <c r="H12" s="16"/>
      <c r="J12" s="3"/>
      <c r="K12" s="15">
        <v>7713.8576</v>
      </c>
      <c r="L12" s="71"/>
      <c r="M12" s="175">
        <f>'App 2-E'!N12</f>
        <v>63084</v>
      </c>
      <c r="N12" s="34"/>
      <c r="O12" s="175">
        <f>'App 2-E'!V12</f>
        <v>35331.28333333333</v>
      </c>
      <c r="Q12" s="73">
        <f t="shared" si="0"/>
        <v>-27752.716666666667</v>
      </c>
      <c r="S12" s="74">
        <f t="shared" si="2"/>
        <v>0.5600672648109399</v>
      </c>
      <c r="T12" s="90"/>
      <c r="U12" s="175">
        <f>'App 2-E'!R12</f>
        <v>4150.81</v>
      </c>
      <c r="V12" s="34"/>
      <c r="W12" s="171">
        <f>'App 2-E'!V12</f>
        <v>35331.28333333333</v>
      </c>
      <c r="Y12" s="73">
        <f t="shared" si="1"/>
        <v>31180.47333333333</v>
      </c>
      <c r="AA12" s="74">
        <f t="shared" si="3"/>
        <v>8.511900890027086</v>
      </c>
    </row>
    <row r="13" spans="1:27" s="1" customFormat="1" ht="15">
      <c r="A13" s="14" t="s">
        <v>29</v>
      </c>
      <c r="B13" s="69"/>
      <c r="D13" s="16"/>
      <c r="E13" s="17">
        <v>2335.44</v>
      </c>
      <c r="F13" s="16"/>
      <c r="G13" s="15">
        <v>3350.93</v>
      </c>
      <c r="H13" s="16"/>
      <c r="J13" s="3"/>
      <c r="K13" s="15">
        <v>133.43</v>
      </c>
      <c r="L13" s="71"/>
      <c r="M13" s="175">
        <f>'App 2-E'!N13</f>
        <v>223159</v>
      </c>
      <c r="N13" s="34"/>
      <c r="O13" s="175">
        <f>'App 2-E'!V13</f>
        <v>309975.41030000005</v>
      </c>
      <c r="Q13" s="73">
        <f t="shared" si="0"/>
        <v>86816.41030000005</v>
      </c>
      <c r="S13" s="74">
        <f t="shared" si="2"/>
        <v>1.3890338740539259</v>
      </c>
      <c r="T13" s="90"/>
      <c r="U13" s="175">
        <f>'App 2-E'!R13</f>
        <v>160832.22</v>
      </c>
      <c r="V13" s="34"/>
      <c r="W13" s="171">
        <f>'App 2-E'!V13</f>
        <v>309975.41030000005</v>
      </c>
      <c r="Y13" s="73">
        <f t="shared" si="1"/>
        <v>149143.19030000005</v>
      </c>
      <c r="AA13" s="74">
        <f t="shared" si="3"/>
        <v>1.927321592029259</v>
      </c>
    </row>
    <row r="14" spans="1:27" s="1" customFormat="1" ht="15">
      <c r="A14" s="14" t="s">
        <v>32</v>
      </c>
      <c r="B14" s="69"/>
      <c r="D14" s="16"/>
      <c r="E14" s="17">
        <v>55</v>
      </c>
      <c r="F14" s="16"/>
      <c r="G14" s="15">
        <v>0</v>
      </c>
      <c r="H14" s="16"/>
      <c r="J14" s="3"/>
      <c r="K14" s="15">
        <v>55</v>
      </c>
      <c r="L14" s="71"/>
      <c r="M14" s="175">
        <f>'App 2-E'!N14</f>
        <v>133540</v>
      </c>
      <c r="N14" s="34"/>
      <c r="O14" s="175">
        <f>'App 2-E'!V14</f>
        <v>126162.55073333334</v>
      </c>
      <c r="Q14" s="73">
        <f t="shared" si="0"/>
        <v>-7377.449266666663</v>
      </c>
      <c r="S14" s="74">
        <f t="shared" si="2"/>
        <v>0.9447547606210375</v>
      </c>
      <c r="T14" s="90"/>
      <c r="U14" s="175">
        <f>'App 2-E'!R14</f>
        <v>26977.19</v>
      </c>
      <c r="V14" s="34"/>
      <c r="W14" s="171">
        <f>'App 2-E'!V14</f>
        <v>126162.55073333334</v>
      </c>
      <c r="Y14" s="73">
        <f t="shared" si="1"/>
        <v>99185.36073333333</v>
      </c>
      <c r="AA14" s="74">
        <f t="shared" si="3"/>
        <v>4.676637957227322</v>
      </c>
    </row>
    <row r="15" spans="1:27" s="1" customFormat="1" ht="15">
      <c r="A15" s="14" t="s">
        <v>34</v>
      </c>
      <c r="B15" s="69"/>
      <c r="D15" s="16"/>
      <c r="E15" s="17">
        <v>0</v>
      </c>
      <c r="F15" s="16"/>
      <c r="G15" s="15">
        <v>0</v>
      </c>
      <c r="H15" s="16"/>
      <c r="J15" s="3"/>
      <c r="K15" s="15">
        <v>0</v>
      </c>
      <c r="L15" s="71"/>
      <c r="M15" s="175">
        <f>'App 2-E'!N15</f>
        <v>0</v>
      </c>
      <c r="N15" s="34"/>
      <c r="O15" s="175">
        <f>'App 2-E'!V15</f>
        <v>0</v>
      </c>
      <c r="Q15" s="73">
        <f t="shared" si="0"/>
        <v>0</v>
      </c>
      <c r="S15" s="74" t="str">
        <f t="shared" si="2"/>
        <v> </v>
      </c>
      <c r="T15" s="90"/>
      <c r="U15" s="175">
        <f>'App 2-E'!R15</f>
        <v>0</v>
      </c>
      <c r="V15" s="34"/>
      <c r="W15" s="171">
        <f>'App 2-E'!V15</f>
        <v>0</v>
      </c>
      <c r="Y15" s="73">
        <f t="shared" si="1"/>
        <v>0</v>
      </c>
      <c r="AA15" s="74" t="str">
        <f t="shared" si="3"/>
        <v> </v>
      </c>
    </row>
    <row r="16" spans="1:27" s="1" customFormat="1" ht="15">
      <c r="A16" s="14" t="s">
        <v>36</v>
      </c>
      <c r="B16" s="69"/>
      <c r="D16" s="16"/>
      <c r="E16" s="17">
        <v>297.94</v>
      </c>
      <c r="F16" s="16"/>
      <c r="G16" s="15">
        <v>0</v>
      </c>
      <c r="H16" s="16"/>
      <c r="J16" s="3"/>
      <c r="K16" s="15">
        <v>0</v>
      </c>
      <c r="L16" s="71"/>
      <c r="M16" s="175">
        <f>'App 2-E'!N16</f>
        <v>2449</v>
      </c>
      <c r="N16" s="34"/>
      <c r="O16" s="175">
        <f>'App 2-E'!V16</f>
        <v>630.6175000000001</v>
      </c>
      <c r="Q16" s="73">
        <f t="shared" si="0"/>
        <v>-1818.3825</v>
      </c>
      <c r="S16" s="74">
        <f t="shared" si="2"/>
        <v>0.2575</v>
      </c>
      <c r="T16" s="90"/>
      <c r="U16" s="175">
        <f>'App 2-E'!R16</f>
        <v>0</v>
      </c>
      <c r="V16" s="34"/>
      <c r="W16" s="171">
        <f>'App 2-E'!V16</f>
        <v>630.6175000000001</v>
      </c>
      <c r="Y16" s="73">
        <f t="shared" si="1"/>
        <v>630.6175000000001</v>
      </c>
      <c r="AA16" s="74" t="str">
        <f t="shared" si="3"/>
        <v> </v>
      </c>
    </row>
    <row r="17" spans="1:27" s="1" customFormat="1" ht="15">
      <c r="A17" s="14" t="s">
        <v>38</v>
      </c>
      <c r="B17" s="69"/>
      <c r="D17" s="16"/>
      <c r="E17" s="17">
        <v>7738.02</v>
      </c>
      <c r="F17" s="16"/>
      <c r="G17" s="15">
        <v>11494.52</v>
      </c>
      <c r="H17" s="16"/>
      <c r="J17" s="3"/>
      <c r="K17" s="15">
        <v>23671.26324</v>
      </c>
      <c r="L17" s="71"/>
      <c r="M17" s="175">
        <f>'App 2-E'!N17</f>
        <v>29339</v>
      </c>
      <c r="N17" s="34"/>
      <c r="O17" s="175">
        <f>'App 2-E'!V17</f>
        <v>25000</v>
      </c>
      <c r="Q17" s="73">
        <f t="shared" si="0"/>
        <v>-4339</v>
      </c>
      <c r="S17" s="76">
        <f t="shared" si="2"/>
        <v>0.8521081154776918</v>
      </c>
      <c r="T17" s="90"/>
      <c r="U17" s="175">
        <f>'App 2-E'!R17</f>
        <v>17497.72</v>
      </c>
      <c r="V17" s="34"/>
      <c r="W17" s="171">
        <f>'App 2-E'!V17</f>
        <v>25000</v>
      </c>
      <c r="Y17" s="73">
        <f t="shared" si="1"/>
        <v>7502.279999999999</v>
      </c>
      <c r="AA17" s="76">
        <f t="shared" si="3"/>
        <v>1.428757575272664</v>
      </c>
    </row>
    <row r="18" spans="1:27" s="1" customFormat="1" ht="15">
      <c r="A18" s="14" t="s">
        <v>40</v>
      </c>
      <c r="B18" s="69"/>
      <c r="D18" s="16"/>
      <c r="E18" s="17">
        <v>0</v>
      </c>
      <c r="F18" s="16"/>
      <c r="G18" s="15">
        <v>0</v>
      </c>
      <c r="H18" s="16"/>
      <c r="J18" s="3"/>
      <c r="K18" s="15">
        <v>0</v>
      </c>
      <c r="L18" s="71"/>
      <c r="M18" s="175">
        <f>'App 2-E'!N18</f>
        <v>15286</v>
      </c>
      <c r="N18" s="34"/>
      <c r="O18" s="175">
        <f>'App 2-E'!V18</f>
        <v>19932.9411</v>
      </c>
      <c r="Q18" s="73">
        <f t="shared" si="0"/>
        <v>4646.9411</v>
      </c>
      <c r="S18" s="74">
        <f t="shared" si="2"/>
        <v>1.3039998102839199</v>
      </c>
      <c r="T18" s="90"/>
      <c r="U18" s="175">
        <f>'App 2-E'!R18</f>
        <v>17456.27</v>
      </c>
      <c r="V18" s="34"/>
      <c r="W18" s="171">
        <f>'App 2-E'!V18</f>
        <v>19932.9411</v>
      </c>
      <c r="Y18" s="73">
        <f t="shared" si="1"/>
        <v>2476.6710999999996</v>
      </c>
      <c r="AA18" s="74">
        <f t="shared" si="3"/>
        <v>1.1418785972031826</v>
      </c>
    </row>
    <row r="19" spans="1:27" s="1" customFormat="1" ht="15">
      <c r="A19" s="14" t="s">
        <v>42</v>
      </c>
      <c r="B19" s="69"/>
      <c r="D19" s="16"/>
      <c r="E19" s="17">
        <v>0</v>
      </c>
      <c r="F19" s="16"/>
      <c r="G19" s="15">
        <v>0</v>
      </c>
      <c r="H19" s="16"/>
      <c r="J19" s="3"/>
      <c r="K19" s="15">
        <v>0</v>
      </c>
      <c r="L19" s="71"/>
      <c r="M19" s="175">
        <f>'App 2-E'!N19</f>
        <v>0</v>
      </c>
      <c r="N19" s="34"/>
      <c r="O19" s="175">
        <f>'App 2-E'!V19</f>
        <v>0</v>
      </c>
      <c r="Q19" s="73">
        <f t="shared" si="0"/>
        <v>0</v>
      </c>
      <c r="S19" s="74" t="str">
        <f t="shared" si="2"/>
        <v> </v>
      </c>
      <c r="T19" s="90"/>
      <c r="U19" s="175">
        <f>'App 2-E'!R19</f>
        <v>0</v>
      </c>
      <c r="V19" s="34"/>
      <c r="W19" s="171">
        <f>'App 2-E'!V19</f>
        <v>0</v>
      </c>
      <c r="Y19" s="73">
        <f t="shared" si="1"/>
        <v>0</v>
      </c>
      <c r="AA19" s="74" t="str">
        <f t="shared" si="3"/>
        <v> </v>
      </c>
    </row>
    <row r="20" spans="1:27" s="1" customFormat="1" ht="15">
      <c r="A20" s="14" t="s">
        <v>44</v>
      </c>
      <c r="B20" s="69"/>
      <c r="D20" s="16"/>
      <c r="E20" s="17">
        <v>139.21</v>
      </c>
      <c r="F20" s="16"/>
      <c r="G20" s="15">
        <v>0</v>
      </c>
      <c r="H20" s="16"/>
      <c r="J20" s="3"/>
      <c r="K20" s="15">
        <v>0</v>
      </c>
      <c r="L20" s="71"/>
      <c r="M20" s="175">
        <f>'App 2-E'!N20</f>
        <v>0</v>
      </c>
      <c r="N20" s="34"/>
      <c r="O20" s="175">
        <f>'App 2-E'!V20</f>
        <v>0</v>
      </c>
      <c r="Q20" s="73">
        <f t="shared" si="0"/>
        <v>0</v>
      </c>
      <c r="S20" s="74" t="str">
        <f t="shared" si="2"/>
        <v> </v>
      </c>
      <c r="T20" s="90"/>
      <c r="U20" s="175">
        <f>'App 2-E'!R20</f>
        <v>0</v>
      </c>
      <c r="V20" s="34"/>
      <c r="W20" s="171">
        <f>'App 2-E'!V20</f>
        <v>0</v>
      </c>
      <c r="Y20" s="73">
        <f t="shared" si="1"/>
        <v>0</v>
      </c>
      <c r="AA20" s="74" t="str">
        <f t="shared" si="3"/>
        <v> </v>
      </c>
    </row>
    <row r="21" spans="1:27" s="1" customFormat="1" ht="15">
      <c r="A21" s="14" t="s">
        <v>45</v>
      </c>
      <c r="B21" s="69"/>
      <c r="D21" s="16"/>
      <c r="E21" s="17">
        <v>0</v>
      </c>
      <c r="F21" s="16"/>
      <c r="G21" s="15">
        <v>0</v>
      </c>
      <c r="H21" s="16"/>
      <c r="J21" s="3"/>
      <c r="K21" s="15">
        <v>0</v>
      </c>
      <c r="L21" s="71"/>
      <c r="M21" s="175">
        <f>'App 2-E'!N21</f>
        <v>0</v>
      </c>
      <c r="N21" s="34"/>
      <c r="O21" s="175">
        <f>'App 2-E'!V21</f>
        <v>0</v>
      </c>
      <c r="Q21" s="73">
        <f t="shared" si="0"/>
        <v>0</v>
      </c>
      <c r="S21" s="74" t="str">
        <f t="shared" si="2"/>
        <v> </v>
      </c>
      <c r="T21" s="90"/>
      <c r="U21" s="175">
        <f>'App 2-E'!R21</f>
        <v>0</v>
      </c>
      <c r="V21" s="34"/>
      <c r="W21" s="171">
        <f>'App 2-E'!V21</f>
        <v>0</v>
      </c>
      <c r="Y21" s="73">
        <f t="shared" si="1"/>
        <v>0</v>
      </c>
      <c r="AA21" s="74" t="str">
        <f t="shared" si="3"/>
        <v> </v>
      </c>
    </row>
    <row r="22" spans="1:27" s="1" customFormat="1" ht="15">
      <c r="A22" s="14" t="s">
        <v>47</v>
      </c>
      <c r="B22" s="69"/>
      <c r="D22" s="16"/>
      <c r="E22" s="17">
        <v>17919.36</v>
      </c>
      <c r="F22" s="16"/>
      <c r="G22" s="15">
        <v>12764.96</v>
      </c>
      <c r="H22" s="16"/>
      <c r="J22" s="3"/>
      <c r="K22" s="15">
        <v>11607.75512</v>
      </c>
      <c r="L22" s="71"/>
      <c r="M22" s="175">
        <f>'App 2-E'!N22</f>
        <v>0</v>
      </c>
      <c r="N22" s="34"/>
      <c r="O22" s="175">
        <f>'App 2-E'!V22</f>
        <v>31316.120000000003</v>
      </c>
      <c r="Q22" s="73">
        <f t="shared" si="0"/>
        <v>31316.120000000003</v>
      </c>
      <c r="S22" s="74" t="str">
        <f t="shared" si="2"/>
        <v> </v>
      </c>
      <c r="T22" s="90"/>
      <c r="U22" s="175">
        <f>'App 2-E'!R22</f>
        <v>0</v>
      </c>
      <c r="V22" s="34"/>
      <c r="W22" s="171">
        <f>'App 2-E'!V22</f>
        <v>31316.120000000003</v>
      </c>
      <c r="Y22" s="73">
        <f t="shared" si="1"/>
        <v>31316.120000000003</v>
      </c>
      <c r="AA22" s="74" t="str">
        <f t="shared" si="3"/>
        <v> </v>
      </c>
    </row>
    <row r="23" spans="1:27" s="1" customFormat="1" ht="15">
      <c r="A23" s="14" t="s">
        <v>49</v>
      </c>
      <c r="B23" s="69"/>
      <c r="D23" s="16"/>
      <c r="E23" s="17">
        <v>0</v>
      </c>
      <c r="F23" s="16"/>
      <c r="G23" s="15">
        <v>0</v>
      </c>
      <c r="H23" s="16"/>
      <c r="J23" s="3"/>
      <c r="K23" s="15">
        <v>84.38</v>
      </c>
      <c r="L23" s="71"/>
      <c r="M23" s="175">
        <f>'App 2-E'!N23</f>
        <v>0</v>
      </c>
      <c r="N23" s="34"/>
      <c r="O23" s="175">
        <f>'App 2-E'!V23</f>
        <v>0</v>
      </c>
      <c r="Q23" s="73">
        <f t="shared" si="0"/>
        <v>0</v>
      </c>
      <c r="S23" s="74" t="str">
        <f t="shared" si="2"/>
        <v> </v>
      </c>
      <c r="T23" s="90"/>
      <c r="U23" s="175">
        <f>'App 2-E'!R23</f>
        <v>0</v>
      </c>
      <c r="V23" s="34"/>
      <c r="W23" s="171">
        <f>'App 2-E'!V23</f>
        <v>0</v>
      </c>
      <c r="Y23" s="73">
        <f t="shared" si="1"/>
        <v>0</v>
      </c>
      <c r="AA23" s="74" t="str">
        <f t="shared" si="3"/>
        <v> </v>
      </c>
    </row>
    <row r="24" spans="1:27" s="1" customFormat="1" ht="15">
      <c r="A24" s="14" t="s">
        <v>52</v>
      </c>
      <c r="B24" s="69"/>
      <c r="D24" s="16"/>
      <c r="E24" s="17">
        <v>0</v>
      </c>
      <c r="F24" s="16"/>
      <c r="G24" s="15">
        <v>0</v>
      </c>
      <c r="H24" s="16"/>
      <c r="J24" s="3"/>
      <c r="K24" s="15">
        <v>0</v>
      </c>
      <c r="L24" s="71"/>
      <c r="M24" s="175">
        <f>'App 2-E'!N24</f>
        <v>0</v>
      </c>
      <c r="N24" s="34"/>
      <c r="O24" s="175">
        <f>'App 2-E'!V24</f>
        <v>77.25</v>
      </c>
      <c r="Q24" s="73">
        <f t="shared" si="0"/>
        <v>77.25</v>
      </c>
      <c r="S24" s="74" t="str">
        <f t="shared" si="2"/>
        <v> </v>
      </c>
      <c r="T24" s="90"/>
      <c r="U24" s="175">
        <f>'App 2-E'!R24</f>
        <v>0</v>
      </c>
      <c r="V24" s="34"/>
      <c r="W24" s="171">
        <f>'App 2-E'!V24</f>
        <v>77.25</v>
      </c>
      <c r="Y24" s="73">
        <f t="shared" si="1"/>
        <v>77.25</v>
      </c>
      <c r="AA24" s="74" t="str">
        <f t="shared" si="3"/>
        <v> </v>
      </c>
    </row>
    <row r="25" spans="1:27" s="1" customFormat="1" ht="15">
      <c r="A25" s="14" t="s">
        <v>54</v>
      </c>
      <c r="B25" s="69"/>
      <c r="D25" s="16"/>
      <c r="E25" s="17">
        <v>0</v>
      </c>
      <c r="F25" s="16"/>
      <c r="G25" s="15">
        <v>0</v>
      </c>
      <c r="H25" s="16"/>
      <c r="J25" s="3"/>
      <c r="K25" s="15">
        <v>0</v>
      </c>
      <c r="L25" s="71"/>
      <c r="M25" s="175">
        <f>'App 2-E'!N25</f>
        <v>607</v>
      </c>
      <c r="N25" s="34"/>
      <c r="O25" s="175">
        <f>'App 2-E'!V25</f>
        <v>4692.954804</v>
      </c>
      <c r="Q25" s="73">
        <f t="shared" si="0"/>
        <v>4085.954804</v>
      </c>
      <c r="S25" s="74">
        <f t="shared" si="2"/>
        <v>7.731391769357495</v>
      </c>
      <c r="T25" s="90"/>
      <c r="U25" s="175">
        <f>'App 2-E'!R25</f>
        <v>4423.56</v>
      </c>
      <c r="V25" s="34"/>
      <c r="W25" s="171">
        <f>'App 2-E'!V25</f>
        <v>4692.954804</v>
      </c>
      <c r="Y25" s="73">
        <f t="shared" si="1"/>
        <v>269.39480399999957</v>
      </c>
      <c r="AA25" s="74">
        <f t="shared" si="3"/>
        <v>1.0609</v>
      </c>
    </row>
    <row r="26" spans="1:27" s="1" customFormat="1" ht="15">
      <c r="A26" s="14" t="s">
        <v>56</v>
      </c>
      <c r="B26" s="69"/>
      <c r="D26" s="16"/>
      <c r="E26" s="17">
        <v>0</v>
      </c>
      <c r="F26" s="16"/>
      <c r="G26" s="15">
        <v>0</v>
      </c>
      <c r="H26" s="16"/>
      <c r="J26" s="3"/>
      <c r="K26" s="15">
        <v>0</v>
      </c>
      <c r="L26" s="71"/>
      <c r="M26" s="175">
        <f>'App 2-E'!N26</f>
        <v>0</v>
      </c>
      <c r="N26" s="34"/>
      <c r="O26" s="175">
        <f>'App 2-E'!V26</f>
        <v>0</v>
      </c>
      <c r="Q26" s="73">
        <f t="shared" si="0"/>
        <v>0</v>
      </c>
      <c r="S26" s="74" t="str">
        <f t="shared" si="2"/>
        <v> </v>
      </c>
      <c r="T26" s="90"/>
      <c r="U26" s="175">
        <f>'App 2-E'!R26</f>
        <v>0</v>
      </c>
      <c r="V26" s="34"/>
      <c r="W26" s="171">
        <f>'App 2-E'!V26</f>
        <v>0</v>
      </c>
      <c r="Y26" s="73">
        <f t="shared" si="1"/>
        <v>0</v>
      </c>
      <c r="AA26" s="74" t="str">
        <f t="shared" si="3"/>
        <v> </v>
      </c>
    </row>
    <row r="27" spans="1:27" s="1" customFormat="1" ht="15">
      <c r="A27" s="26" t="s">
        <v>57</v>
      </c>
      <c r="B27" s="69"/>
      <c r="D27" s="16"/>
      <c r="E27" s="17">
        <v>801.08</v>
      </c>
      <c r="F27" s="16"/>
      <c r="G27" s="15">
        <v>801.08</v>
      </c>
      <c r="H27" s="16"/>
      <c r="J27" s="3"/>
      <c r="K27" s="15">
        <v>801.08</v>
      </c>
      <c r="L27" s="71"/>
      <c r="M27" s="175">
        <f>'App 2-E'!N27</f>
        <v>0</v>
      </c>
      <c r="N27" s="34"/>
      <c r="O27" s="175">
        <f>'App 2-E'!V27</f>
        <v>0</v>
      </c>
      <c r="Q27" s="73">
        <f t="shared" si="0"/>
        <v>0</v>
      </c>
      <c r="S27" s="74" t="str">
        <f t="shared" si="2"/>
        <v> </v>
      </c>
      <c r="T27" s="90"/>
      <c r="U27" s="175">
        <f>'App 2-E'!R27</f>
        <v>0</v>
      </c>
      <c r="V27" s="34"/>
      <c r="W27" s="171">
        <f>'App 2-E'!V27</f>
        <v>0</v>
      </c>
      <c r="Y27" s="73">
        <f t="shared" si="1"/>
        <v>0</v>
      </c>
      <c r="AA27" s="74" t="str">
        <f t="shared" si="3"/>
        <v> </v>
      </c>
    </row>
    <row r="28" spans="1:27" s="1" customFormat="1" ht="15">
      <c r="A28" s="14" t="s">
        <v>59</v>
      </c>
      <c r="B28" s="69"/>
      <c r="D28" s="16"/>
      <c r="E28" s="17">
        <v>11887.26</v>
      </c>
      <c r="F28" s="16"/>
      <c r="G28" s="15">
        <v>6197.76</v>
      </c>
      <c r="H28" s="16"/>
      <c r="J28" s="3"/>
      <c r="K28" s="15">
        <v>5943.63</v>
      </c>
      <c r="L28" s="71"/>
      <c r="M28" s="175">
        <f>'App 2-E'!N28</f>
        <v>0</v>
      </c>
      <c r="N28" s="34"/>
      <c r="O28" s="175">
        <f>'App 2-E'!V28</f>
        <v>0</v>
      </c>
      <c r="Q28" s="73">
        <f t="shared" si="0"/>
        <v>0</v>
      </c>
      <c r="S28" s="74" t="str">
        <f t="shared" si="2"/>
        <v> </v>
      </c>
      <c r="T28" s="90"/>
      <c r="U28" s="175">
        <f>'App 2-E'!R28</f>
        <v>0</v>
      </c>
      <c r="V28" s="34"/>
      <c r="W28" s="171">
        <f>'App 2-E'!V28</f>
        <v>0</v>
      </c>
      <c r="Y28" s="73">
        <f t="shared" si="1"/>
        <v>0</v>
      </c>
      <c r="AA28" s="74" t="str">
        <f t="shared" si="3"/>
        <v> </v>
      </c>
    </row>
    <row r="29" spans="1:27" s="20" customFormat="1" ht="15">
      <c r="A29" s="28" t="s">
        <v>60</v>
      </c>
      <c r="B29" s="29">
        <f>SUM(B6:B28)</f>
        <v>0</v>
      </c>
      <c r="D29" s="94"/>
      <c r="E29" s="30">
        <f>SUM(E6:E28)</f>
        <v>63190.049999999996</v>
      </c>
      <c r="F29" s="94"/>
      <c r="G29" s="30">
        <f>SUM(G6:G28)</f>
        <v>57278.97</v>
      </c>
      <c r="H29" s="94"/>
      <c r="J29" s="95"/>
      <c r="K29" s="30">
        <f>SUM(K6:K28)</f>
        <v>54736.655960000004</v>
      </c>
      <c r="L29" s="77"/>
      <c r="M29" s="30">
        <f>SUM(M6:M28)</f>
        <v>617177</v>
      </c>
      <c r="N29" s="85"/>
      <c r="O29" s="30">
        <f>SUM(O6:O28)</f>
        <v>879396.1671413335</v>
      </c>
      <c r="Q29" s="78">
        <f t="shared" si="0"/>
        <v>262219.16714133346</v>
      </c>
      <c r="S29" s="76">
        <f t="shared" si="2"/>
        <v>1.4248686635136005</v>
      </c>
      <c r="T29" s="96"/>
      <c r="U29" s="30">
        <f>SUM(U6:U28)</f>
        <v>415820.95</v>
      </c>
      <c r="V29" s="85"/>
      <c r="W29" s="179">
        <f>O29</f>
        <v>879396.1671413335</v>
      </c>
      <c r="Y29" s="78">
        <f t="shared" si="1"/>
        <v>463575.21714133344</v>
      </c>
      <c r="AA29" s="76">
        <f t="shared" si="3"/>
        <v>2.114843340965224</v>
      </c>
    </row>
    <row r="30" spans="1:27" s="1" customFormat="1" ht="15">
      <c r="A30" s="313"/>
      <c r="B30" s="313"/>
      <c r="C30" s="313"/>
      <c r="D30" s="313"/>
      <c r="E30" s="313"/>
      <c r="F30" s="313"/>
      <c r="G30" s="313"/>
      <c r="H30" s="13"/>
      <c r="I30" s="13"/>
      <c r="J30" s="3"/>
      <c r="K30" s="13"/>
      <c r="L30" s="13"/>
      <c r="M30" s="91"/>
      <c r="N30" s="34"/>
      <c r="O30" s="91"/>
      <c r="Q30" s="91"/>
      <c r="S30" s="91" t="str">
        <f t="shared" si="2"/>
        <v> </v>
      </c>
      <c r="T30" s="90"/>
      <c r="U30" s="91"/>
      <c r="V30" s="34"/>
      <c r="W30" s="91"/>
      <c r="Y30" s="91"/>
      <c r="AA30" s="91" t="str">
        <f t="shared" si="3"/>
        <v> </v>
      </c>
    </row>
    <row r="31" spans="1:27" s="1" customFormat="1" ht="15">
      <c r="A31" s="12" t="s">
        <v>18</v>
      </c>
      <c r="B31" s="31"/>
      <c r="C31" s="79"/>
      <c r="D31" s="16"/>
      <c r="E31" s="16"/>
      <c r="F31" s="16"/>
      <c r="G31" s="16"/>
      <c r="H31" s="16"/>
      <c r="I31" s="16"/>
      <c r="J31" s="3"/>
      <c r="K31" s="16"/>
      <c r="L31" s="16"/>
      <c r="M31" s="92"/>
      <c r="N31" s="34"/>
      <c r="O31" s="92"/>
      <c r="Q31" s="92"/>
      <c r="S31" s="92" t="str">
        <f t="shared" si="2"/>
        <v> </v>
      </c>
      <c r="T31" s="90"/>
      <c r="U31" s="92"/>
      <c r="V31" s="34"/>
      <c r="W31" s="92"/>
      <c r="Y31" s="92"/>
      <c r="AA31" s="92" t="str">
        <f t="shared" si="3"/>
        <v> </v>
      </c>
    </row>
    <row r="32" spans="1:27" s="1" customFormat="1" ht="15">
      <c r="A32" s="14" t="s">
        <v>62</v>
      </c>
      <c r="B32" s="32"/>
      <c r="D32" s="16"/>
      <c r="E32" s="15">
        <v>5076.07</v>
      </c>
      <c r="F32" s="16"/>
      <c r="G32" s="15">
        <v>5456.41</v>
      </c>
      <c r="H32" s="16"/>
      <c r="J32" s="3"/>
      <c r="K32" s="15">
        <v>1551.25</v>
      </c>
      <c r="L32" s="71"/>
      <c r="M32" s="175">
        <f>'App 2-E'!N32</f>
        <v>0</v>
      </c>
      <c r="N32" s="34"/>
      <c r="O32" s="175">
        <f>'App 2-E'!V32</f>
        <v>52312.5</v>
      </c>
      <c r="Q32" s="73">
        <f aca="true" t="shared" si="4" ref="Q32:Q50">O32-M32</f>
        <v>52312.5</v>
      </c>
      <c r="S32" s="74" t="str">
        <f t="shared" si="2"/>
        <v> </v>
      </c>
      <c r="T32" s="90"/>
      <c r="U32" s="175">
        <f>'App 2-E'!R32</f>
        <v>0</v>
      </c>
      <c r="V32" s="34"/>
      <c r="W32" s="171">
        <f>'App 2-E'!V32</f>
        <v>52312.5</v>
      </c>
      <c r="Y32" s="73">
        <f t="shared" si="1"/>
        <v>52312.5</v>
      </c>
      <c r="AA32" s="74" t="str">
        <f t="shared" si="3"/>
        <v> </v>
      </c>
    </row>
    <row r="33" spans="1:27" s="1" customFormat="1" ht="15">
      <c r="A33" s="14" t="s">
        <v>64</v>
      </c>
      <c r="B33" s="32"/>
      <c r="D33" s="16"/>
      <c r="E33" s="15">
        <v>0</v>
      </c>
      <c r="F33" s="16"/>
      <c r="G33" s="15">
        <v>0</v>
      </c>
      <c r="H33" s="16"/>
      <c r="J33" s="3"/>
      <c r="K33" s="15">
        <v>0</v>
      </c>
      <c r="L33" s="71"/>
      <c r="M33" s="175">
        <f>'App 2-E'!N33</f>
        <v>0</v>
      </c>
      <c r="N33" s="34"/>
      <c r="O33" s="175">
        <f>'App 2-E'!V33</f>
        <v>0</v>
      </c>
      <c r="Q33" s="73">
        <f t="shared" si="4"/>
        <v>0</v>
      </c>
      <c r="S33" s="74" t="str">
        <f t="shared" si="2"/>
        <v> </v>
      </c>
      <c r="T33" s="90"/>
      <c r="U33" s="175">
        <f>'App 2-E'!R33</f>
        <v>0</v>
      </c>
      <c r="V33" s="34"/>
      <c r="W33" s="171">
        <f>'App 2-E'!V33</f>
        <v>0</v>
      </c>
      <c r="Y33" s="73">
        <f t="shared" si="1"/>
        <v>0</v>
      </c>
      <c r="AA33" s="74" t="str">
        <f t="shared" si="3"/>
        <v> </v>
      </c>
    </row>
    <row r="34" spans="1:27" s="1" customFormat="1" ht="15">
      <c r="A34" s="14" t="s">
        <v>66</v>
      </c>
      <c r="B34" s="32"/>
      <c r="D34" s="16"/>
      <c r="E34" s="15">
        <v>0</v>
      </c>
      <c r="F34" s="16"/>
      <c r="G34" s="15">
        <v>0</v>
      </c>
      <c r="H34" s="16"/>
      <c r="J34" s="3"/>
      <c r="K34" s="15">
        <v>0</v>
      </c>
      <c r="L34" s="71"/>
      <c r="M34" s="175">
        <f>'App 2-E'!N34</f>
        <v>0</v>
      </c>
      <c r="N34" s="34"/>
      <c r="O34" s="175">
        <f>'App 2-E'!V34</f>
        <v>0</v>
      </c>
      <c r="Q34" s="73">
        <f t="shared" si="4"/>
        <v>0</v>
      </c>
      <c r="S34" s="74" t="str">
        <f t="shared" si="2"/>
        <v> </v>
      </c>
      <c r="T34" s="90"/>
      <c r="U34" s="175">
        <f>'App 2-E'!R34</f>
        <v>0</v>
      </c>
      <c r="V34" s="34"/>
      <c r="W34" s="171">
        <f>'App 2-E'!V34</f>
        <v>0</v>
      </c>
      <c r="Y34" s="73">
        <f t="shared" si="1"/>
        <v>0</v>
      </c>
      <c r="AA34" s="74" t="str">
        <f t="shared" si="3"/>
        <v> </v>
      </c>
    </row>
    <row r="35" spans="1:27" s="1" customFormat="1" ht="15">
      <c r="A35" s="14" t="s">
        <v>69</v>
      </c>
      <c r="B35" s="32"/>
      <c r="D35" s="16"/>
      <c r="E35" s="15">
        <v>23581.31</v>
      </c>
      <c r="F35" s="16"/>
      <c r="G35" s="15">
        <v>20283.65</v>
      </c>
      <c r="H35" s="16"/>
      <c r="J35" s="3"/>
      <c r="K35" s="15">
        <v>53105.46166</v>
      </c>
      <c r="L35" s="71"/>
      <c r="M35" s="175">
        <f>'App 2-E'!N35</f>
        <v>0</v>
      </c>
      <c r="N35" s="34"/>
      <c r="O35" s="175">
        <f>'App 2-E'!V35</f>
        <v>0</v>
      </c>
      <c r="Q35" s="73">
        <f t="shared" si="4"/>
        <v>0</v>
      </c>
      <c r="S35" s="74" t="str">
        <f t="shared" si="2"/>
        <v> </v>
      </c>
      <c r="T35" s="90"/>
      <c r="U35" s="175">
        <f>'App 2-E'!R35</f>
        <v>0</v>
      </c>
      <c r="V35" s="34"/>
      <c r="W35" s="171">
        <f>'App 2-E'!V35</f>
        <v>0</v>
      </c>
      <c r="Y35" s="73">
        <f t="shared" si="1"/>
        <v>0</v>
      </c>
      <c r="AA35" s="74" t="str">
        <f t="shared" si="3"/>
        <v> </v>
      </c>
    </row>
    <row r="36" spans="1:27" s="1" customFormat="1" ht="15">
      <c r="A36" s="14" t="s">
        <v>71</v>
      </c>
      <c r="B36" s="32"/>
      <c r="D36" s="16"/>
      <c r="E36" s="15">
        <v>48404.01</v>
      </c>
      <c r="F36" s="16"/>
      <c r="G36" s="15">
        <v>49164.48</v>
      </c>
      <c r="H36" s="16"/>
      <c r="J36" s="3"/>
      <c r="K36" s="15">
        <v>85255.2686</v>
      </c>
      <c r="L36" s="71"/>
      <c r="M36" s="175">
        <f>'App 2-E'!N36</f>
        <v>3033</v>
      </c>
      <c r="N36" s="34"/>
      <c r="O36" s="175">
        <f>'App 2-E'!V36</f>
        <v>41786.823342</v>
      </c>
      <c r="Q36" s="73">
        <f t="shared" si="4"/>
        <v>38753.823342</v>
      </c>
      <c r="S36" s="74">
        <f t="shared" si="2"/>
        <v>13.777389825914938</v>
      </c>
      <c r="T36" s="90"/>
      <c r="U36" s="175">
        <f>'App 2-E'!R36</f>
        <v>36678.38</v>
      </c>
      <c r="V36" s="34"/>
      <c r="W36" s="171">
        <f>'App 2-E'!V36</f>
        <v>41786.823342</v>
      </c>
      <c r="Y36" s="73">
        <f t="shared" si="1"/>
        <v>5108.443342000006</v>
      </c>
      <c r="AA36" s="74">
        <f t="shared" si="3"/>
        <v>1.1392766894830144</v>
      </c>
    </row>
    <row r="37" spans="1:27" s="1" customFormat="1" ht="15">
      <c r="A37" s="14" t="s">
        <v>73</v>
      </c>
      <c r="B37" s="32"/>
      <c r="D37" s="16"/>
      <c r="E37" s="15">
        <v>56675.11</v>
      </c>
      <c r="F37" s="16"/>
      <c r="G37" s="15">
        <v>73368.68</v>
      </c>
      <c r="H37" s="16"/>
      <c r="J37" s="3"/>
      <c r="K37" s="15">
        <v>91276.69102</v>
      </c>
      <c r="L37" s="71"/>
      <c r="M37" s="175">
        <f>'App 2-E'!N37</f>
        <v>0</v>
      </c>
      <c r="N37" s="34"/>
      <c r="O37" s="175">
        <f>'App 2-E'!V37</f>
        <v>10000</v>
      </c>
      <c r="Q37" s="73">
        <f t="shared" si="4"/>
        <v>10000</v>
      </c>
      <c r="S37" s="74" t="str">
        <f t="shared" si="2"/>
        <v> </v>
      </c>
      <c r="T37" s="90"/>
      <c r="U37" s="175">
        <f>'App 2-E'!R37</f>
        <v>0</v>
      </c>
      <c r="V37" s="34"/>
      <c r="W37" s="171">
        <f>'App 2-E'!V37</f>
        <v>10000</v>
      </c>
      <c r="Y37" s="73">
        <f t="shared" si="1"/>
        <v>10000</v>
      </c>
      <c r="AA37" s="74" t="str">
        <f t="shared" si="3"/>
        <v> </v>
      </c>
    </row>
    <row r="38" spans="1:27" s="1" customFormat="1" ht="15">
      <c r="A38" s="14" t="s">
        <v>75</v>
      </c>
      <c r="B38" s="32"/>
      <c r="D38" s="16"/>
      <c r="E38" s="15">
        <v>11432.77</v>
      </c>
      <c r="F38" s="16"/>
      <c r="G38" s="15">
        <v>15234.44</v>
      </c>
      <c r="H38" s="16"/>
      <c r="J38" s="3"/>
      <c r="K38" s="15">
        <v>38374.37212</v>
      </c>
      <c r="L38" s="71"/>
      <c r="M38" s="175">
        <f>'App 2-E'!N38</f>
        <v>0</v>
      </c>
      <c r="N38" s="34"/>
      <c r="O38" s="175">
        <f>'App 2-E'!V38</f>
        <v>3000</v>
      </c>
      <c r="Q38" s="73">
        <f t="shared" si="4"/>
        <v>3000</v>
      </c>
      <c r="S38" s="74" t="str">
        <f t="shared" si="2"/>
        <v> </v>
      </c>
      <c r="T38" s="90"/>
      <c r="U38" s="175">
        <f>'App 2-E'!R38</f>
        <v>0</v>
      </c>
      <c r="V38" s="34"/>
      <c r="W38" s="171">
        <f>'App 2-E'!V38</f>
        <v>3000</v>
      </c>
      <c r="Y38" s="73">
        <f t="shared" si="1"/>
        <v>3000</v>
      </c>
      <c r="AA38" s="74" t="str">
        <f t="shared" si="3"/>
        <v> </v>
      </c>
    </row>
    <row r="39" spans="1:27" s="1" customFormat="1" ht="15">
      <c r="A39" s="14" t="s">
        <v>77</v>
      </c>
      <c r="B39" s="32"/>
      <c r="D39" s="16"/>
      <c r="E39" s="15">
        <v>78175.7</v>
      </c>
      <c r="F39" s="16"/>
      <c r="G39" s="15">
        <v>36975.64</v>
      </c>
      <c r="H39" s="16"/>
      <c r="J39" s="3"/>
      <c r="K39" s="15">
        <v>102929.25793</v>
      </c>
      <c r="L39" s="71"/>
      <c r="M39" s="175">
        <f>'App 2-E'!N39</f>
        <v>24233</v>
      </c>
      <c r="N39" s="34"/>
      <c r="O39" s="175">
        <f>'App 2-E'!V39</f>
        <v>45053.931725</v>
      </c>
      <c r="Q39" s="73">
        <f t="shared" si="4"/>
        <v>20820.931725000002</v>
      </c>
      <c r="S39" s="74">
        <f t="shared" si="2"/>
        <v>1.8591974466636405</v>
      </c>
      <c r="T39" s="90"/>
      <c r="U39" s="175">
        <f>'App 2-E'!R39</f>
        <v>69204.25</v>
      </c>
      <c r="V39" s="34"/>
      <c r="W39" s="171">
        <f>'App 2-E'!V39</f>
        <v>45053.931725</v>
      </c>
      <c r="Y39" s="73">
        <f t="shared" si="1"/>
        <v>-24150.318274999998</v>
      </c>
      <c r="AA39" s="74">
        <f t="shared" si="3"/>
        <v>0.6510283938486437</v>
      </c>
    </row>
    <row r="40" spans="1:27" s="1" customFormat="1" ht="15">
      <c r="A40" s="14" t="s">
        <v>79</v>
      </c>
      <c r="B40" s="32"/>
      <c r="D40" s="16"/>
      <c r="E40" s="15">
        <v>896.18</v>
      </c>
      <c r="F40" s="16"/>
      <c r="G40" s="15">
        <v>979.06</v>
      </c>
      <c r="H40" s="16"/>
      <c r="J40" s="3"/>
      <c r="K40" s="15">
        <v>5837.92583</v>
      </c>
      <c r="L40" s="71"/>
      <c r="M40" s="175">
        <f>'App 2-E'!N40</f>
        <v>0</v>
      </c>
      <c r="N40" s="34"/>
      <c r="O40" s="175">
        <f>'App 2-E'!V40</f>
        <v>0</v>
      </c>
      <c r="Q40" s="73">
        <f t="shared" si="4"/>
        <v>0</v>
      </c>
      <c r="S40" s="74" t="str">
        <f t="shared" si="2"/>
        <v> </v>
      </c>
      <c r="T40" s="90"/>
      <c r="U40" s="175">
        <f>'App 2-E'!R40</f>
        <v>0</v>
      </c>
      <c r="V40" s="34"/>
      <c r="W40" s="171">
        <f>'App 2-E'!V40</f>
        <v>0</v>
      </c>
      <c r="Y40" s="73">
        <f t="shared" si="1"/>
        <v>0</v>
      </c>
      <c r="AA40" s="74" t="str">
        <f t="shared" si="3"/>
        <v> </v>
      </c>
    </row>
    <row r="41" spans="1:27" s="1" customFormat="1" ht="15">
      <c r="A41" s="14" t="s">
        <v>81</v>
      </c>
      <c r="B41" s="32"/>
      <c r="D41" s="16"/>
      <c r="E41" s="15">
        <v>4723.49</v>
      </c>
      <c r="F41" s="16"/>
      <c r="G41" s="15">
        <v>4113.57</v>
      </c>
      <c r="H41" s="16"/>
      <c r="J41" s="3"/>
      <c r="K41" s="15">
        <v>28953.48907</v>
      </c>
      <c r="L41" s="71"/>
      <c r="M41" s="175">
        <f>'App 2-E'!N41</f>
        <v>0</v>
      </c>
      <c r="N41" s="34"/>
      <c r="O41" s="175">
        <f>'App 2-E'!V41</f>
        <v>0</v>
      </c>
      <c r="Q41" s="73">
        <f t="shared" si="4"/>
        <v>0</v>
      </c>
      <c r="S41" s="74" t="str">
        <f t="shared" si="2"/>
        <v> </v>
      </c>
      <c r="T41" s="90"/>
      <c r="U41" s="175">
        <f>'App 2-E'!R41</f>
        <v>0</v>
      </c>
      <c r="V41" s="34"/>
      <c r="W41" s="171">
        <f>'App 2-E'!V41</f>
        <v>0</v>
      </c>
      <c r="Y41" s="73">
        <f t="shared" si="1"/>
        <v>0</v>
      </c>
      <c r="AA41" s="74" t="str">
        <f t="shared" si="3"/>
        <v> </v>
      </c>
    </row>
    <row r="42" spans="1:27" s="1" customFormat="1" ht="15">
      <c r="A42" s="14" t="s">
        <v>83</v>
      </c>
      <c r="B42" s="32"/>
      <c r="D42" s="16"/>
      <c r="E42" s="15">
        <v>5387.31</v>
      </c>
      <c r="F42" s="16"/>
      <c r="G42" s="15">
        <v>1956.84</v>
      </c>
      <c r="H42" s="16"/>
      <c r="J42" s="3"/>
      <c r="K42" s="15">
        <v>1062.726</v>
      </c>
      <c r="L42" s="71"/>
      <c r="M42" s="175">
        <f>'App 2-E'!N42</f>
        <v>1197</v>
      </c>
      <c r="N42" s="34"/>
      <c r="O42" s="175">
        <f>'App 2-E'!V42</f>
        <v>9229.119197</v>
      </c>
      <c r="Q42" s="73">
        <f t="shared" si="4"/>
        <v>8032.119197</v>
      </c>
      <c r="S42" s="74">
        <f t="shared" si="2"/>
        <v>7.710208184628237</v>
      </c>
      <c r="T42" s="90"/>
      <c r="U42" s="175">
        <f>'App 2-E'!R42</f>
        <v>8699.33</v>
      </c>
      <c r="V42" s="34"/>
      <c r="W42" s="171">
        <f>'App 2-E'!V42</f>
        <v>9229.119197</v>
      </c>
      <c r="Y42" s="73">
        <f t="shared" si="1"/>
        <v>529.7891970000001</v>
      </c>
      <c r="AA42" s="74">
        <f t="shared" si="3"/>
        <v>1.0609</v>
      </c>
    </row>
    <row r="43" spans="1:27" s="1" customFormat="1" ht="15">
      <c r="A43" s="14" t="s">
        <v>85</v>
      </c>
      <c r="B43" s="32"/>
      <c r="D43" s="16"/>
      <c r="E43" s="15">
        <v>13109.21</v>
      </c>
      <c r="F43" s="16"/>
      <c r="G43" s="15">
        <v>38337.91</v>
      </c>
      <c r="H43" s="16"/>
      <c r="J43" s="3"/>
      <c r="K43" s="15">
        <v>21146.78737</v>
      </c>
      <c r="L43" s="71"/>
      <c r="M43" s="175">
        <f>'App 2-E'!N43</f>
        <v>35904</v>
      </c>
      <c r="N43" s="34"/>
      <c r="O43" s="175">
        <f>'App 2-E'!V43</f>
        <v>36138.89685</v>
      </c>
      <c r="Q43" s="73">
        <f t="shared" si="4"/>
        <v>234.89684999999736</v>
      </c>
      <c r="S43" s="74">
        <f>IF(M43=0," ",O43/M43)</f>
        <v>1.0065423587901068</v>
      </c>
      <c r="T43" s="90"/>
      <c r="U43" s="175">
        <f>'App 2-E'!R43</f>
        <v>30881.41</v>
      </c>
      <c r="V43" s="34"/>
      <c r="W43" s="171">
        <f>'App 2-E'!V43</f>
        <v>36138.89685</v>
      </c>
      <c r="Y43" s="73">
        <f t="shared" si="1"/>
        <v>5257.4868499999975</v>
      </c>
      <c r="AA43" s="74">
        <f t="shared" si="3"/>
        <v>1.1702476295609558</v>
      </c>
    </row>
    <row r="44" spans="1:27" s="1" customFormat="1" ht="15">
      <c r="A44" s="14" t="s">
        <v>86</v>
      </c>
      <c r="B44" s="32"/>
      <c r="D44" s="16"/>
      <c r="E44" s="15">
        <v>0</v>
      </c>
      <c r="F44" s="16"/>
      <c r="G44" s="15">
        <v>0</v>
      </c>
      <c r="H44" s="16"/>
      <c r="J44" s="3"/>
      <c r="K44" s="15">
        <v>0</v>
      </c>
      <c r="L44" s="71"/>
      <c r="M44" s="175">
        <f>'App 2-E'!N44</f>
        <v>0</v>
      </c>
      <c r="N44" s="34"/>
      <c r="O44" s="175">
        <f>'App 2-E'!V44</f>
        <v>0</v>
      </c>
      <c r="Q44" s="73">
        <f t="shared" si="4"/>
        <v>0</v>
      </c>
      <c r="S44" s="74" t="str">
        <f t="shared" si="2"/>
        <v> </v>
      </c>
      <c r="T44" s="90"/>
      <c r="U44" s="175">
        <f>'App 2-E'!R44</f>
        <v>0</v>
      </c>
      <c r="V44" s="34"/>
      <c r="W44" s="171">
        <f>'App 2-E'!V44</f>
        <v>0</v>
      </c>
      <c r="Y44" s="73">
        <f t="shared" si="1"/>
        <v>0</v>
      </c>
      <c r="AA44" s="74" t="str">
        <f t="shared" si="3"/>
        <v> </v>
      </c>
    </row>
    <row r="45" spans="1:27" s="1" customFormat="1" ht="15">
      <c r="A45" s="14" t="s">
        <v>87</v>
      </c>
      <c r="B45" s="32"/>
      <c r="D45" s="16"/>
      <c r="E45" s="15">
        <v>0</v>
      </c>
      <c r="F45" s="16"/>
      <c r="G45" s="15">
        <v>0</v>
      </c>
      <c r="H45" s="16"/>
      <c r="J45" s="3"/>
      <c r="K45" s="15">
        <v>0</v>
      </c>
      <c r="L45" s="71"/>
      <c r="M45" s="175">
        <f>'App 2-E'!N45</f>
        <v>0</v>
      </c>
      <c r="N45" s="34"/>
      <c r="O45" s="175">
        <f>'App 2-E'!V45</f>
        <v>0</v>
      </c>
      <c r="Q45" s="73">
        <f t="shared" si="4"/>
        <v>0</v>
      </c>
      <c r="S45" s="74" t="str">
        <f t="shared" si="2"/>
        <v> </v>
      </c>
      <c r="T45" s="90"/>
      <c r="U45" s="175">
        <f>'App 2-E'!R45</f>
        <v>0</v>
      </c>
      <c r="V45" s="34"/>
      <c r="W45" s="171">
        <f>'App 2-E'!V45</f>
        <v>0</v>
      </c>
      <c r="Y45" s="73">
        <f t="shared" si="1"/>
        <v>0</v>
      </c>
      <c r="AA45" s="74" t="str">
        <f t="shared" si="3"/>
        <v> </v>
      </c>
    </row>
    <row r="46" spans="1:27" s="1" customFormat="1" ht="15">
      <c r="A46" s="14" t="s">
        <v>88</v>
      </c>
      <c r="B46" s="32"/>
      <c r="D46" s="16"/>
      <c r="E46" s="15">
        <v>0</v>
      </c>
      <c r="F46" s="16"/>
      <c r="G46" s="15">
        <v>0</v>
      </c>
      <c r="H46" s="16"/>
      <c r="J46" s="3"/>
      <c r="K46" s="15">
        <v>0</v>
      </c>
      <c r="L46" s="71"/>
      <c r="M46" s="175">
        <f>'App 2-E'!N46</f>
        <v>0</v>
      </c>
      <c r="N46" s="34"/>
      <c r="O46" s="175">
        <f>'App 2-E'!V46</f>
        <v>0</v>
      </c>
      <c r="Q46" s="73">
        <f t="shared" si="4"/>
        <v>0</v>
      </c>
      <c r="S46" s="74" t="str">
        <f t="shared" si="2"/>
        <v> </v>
      </c>
      <c r="T46" s="90"/>
      <c r="U46" s="175">
        <f>'App 2-E'!R46</f>
        <v>0</v>
      </c>
      <c r="V46" s="34"/>
      <c r="W46" s="171">
        <f>'App 2-E'!V46</f>
        <v>0</v>
      </c>
      <c r="Y46" s="73">
        <f t="shared" si="1"/>
        <v>0</v>
      </c>
      <c r="AA46" s="74" t="str">
        <f t="shared" si="3"/>
        <v> </v>
      </c>
    </row>
    <row r="47" spans="1:27" s="1" customFormat="1" ht="15">
      <c r="A47" s="14" t="s">
        <v>90</v>
      </c>
      <c r="B47" s="32"/>
      <c r="D47" s="16"/>
      <c r="E47" s="15">
        <v>13991.48</v>
      </c>
      <c r="F47" s="16"/>
      <c r="G47" s="15">
        <v>17729.87</v>
      </c>
      <c r="H47" s="16"/>
      <c r="J47" s="3"/>
      <c r="K47" s="15">
        <v>5187.17625</v>
      </c>
      <c r="L47" s="71"/>
      <c r="M47" s="175">
        <f>'App 2-E'!N47</f>
        <v>12970</v>
      </c>
      <c r="N47" s="34"/>
      <c r="O47" s="175">
        <f>'App 2-E'!V47</f>
        <v>194264.250696</v>
      </c>
      <c r="Q47" s="73">
        <f t="shared" si="4"/>
        <v>181294.250696</v>
      </c>
      <c r="S47" s="74">
        <f>IF(M47=0," ",O47/M47)</f>
        <v>14.977968442251349</v>
      </c>
      <c r="T47" s="90"/>
      <c r="U47" s="175">
        <f>'App 2-E'!R47</f>
        <v>79848.32</v>
      </c>
      <c r="V47" s="34"/>
      <c r="W47" s="171">
        <f>'App 2-E'!V47</f>
        <v>194264.250696</v>
      </c>
      <c r="Y47" s="73">
        <f t="shared" si="1"/>
        <v>114415.930696</v>
      </c>
      <c r="AA47" s="74">
        <f t="shared" si="3"/>
        <v>2.4329159423266513</v>
      </c>
    </row>
    <row r="48" spans="1:27" s="1" customFormat="1" ht="15">
      <c r="A48" s="14" t="s">
        <v>91</v>
      </c>
      <c r="B48" s="32"/>
      <c r="D48" s="16"/>
      <c r="E48" s="15">
        <v>0</v>
      </c>
      <c r="F48" s="16"/>
      <c r="G48" s="15">
        <v>0</v>
      </c>
      <c r="H48" s="16"/>
      <c r="J48" s="3"/>
      <c r="K48" s="15">
        <v>0</v>
      </c>
      <c r="L48" s="71"/>
      <c r="M48" s="175">
        <f>'App 2-E'!N48</f>
        <v>0</v>
      </c>
      <c r="N48" s="34"/>
      <c r="O48" s="175">
        <f>'App 2-E'!V48</f>
        <v>0</v>
      </c>
      <c r="Q48" s="73">
        <f t="shared" si="4"/>
        <v>0</v>
      </c>
      <c r="S48" s="74" t="str">
        <f t="shared" si="2"/>
        <v> </v>
      </c>
      <c r="T48" s="90"/>
      <c r="U48" s="175">
        <f>'App 2-E'!R48</f>
        <v>0</v>
      </c>
      <c r="V48" s="34"/>
      <c r="W48" s="171">
        <f>'App 2-E'!V48</f>
        <v>0</v>
      </c>
      <c r="Y48" s="73">
        <f t="shared" si="1"/>
        <v>0</v>
      </c>
      <c r="AA48" s="74" t="str">
        <f t="shared" si="3"/>
        <v> </v>
      </c>
    </row>
    <row r="49" spans="1:27" ht="20.25" customHeight="1">
      <c r="A49" s="14" t="s">
        <v>92</v>
      </c>
      <c r="B49" s="32"/>
      <c r="D49" s="16"/>
      <c r="E49" s="15">
        <v>4594.41</v>
      </c>
      <c r="F49" s="16"/>
      <c r="G49" s="15">
        <v>5036.61</v>
      </c>
      <c r="H49" s="16"/>
      <c r="K49" s="15">
        <v>10629.14</v>
      </c>
      <c r="L49" s="71"/>
      <c r="M49" s="175">
        <f>'App 2-E'!N49</f>
        <v>0</v>
      </c>
      <c r="N49" s="34"/>
      <c r="O49" s="175">
        <f>'App 2-E'!V49</f>
        <v>0</v>
      </c>
      <c r="Q49" s="73">
        <f t="shared" si="4"/>
        <v>0</v>
      </c>
      <c r="S49" s="74" t="str">
        <f t="shared" si="2"/>
        <v> </v>
      </c>
      <c r="T49" s="90"/>
      <c r="U49" s="175">
        <f>'App 2-E'!R49</f>
        <v>0</v>
      </c>
      <c r="W49" s="171">
        <f>'App 2-E'!V49</f>
        <v>0</v>
      </c>
      <c r="Y49" s="73">
        <f t="shared" si="1"/>
        <v>0</v>
      </c>
      <c r="AA49" s="74" t="str">
        <f t="shared" si="3"/>
        <v> </v>
      </c>
    </row>
    <row r="50" spans="1:117" s="12" customFormat="1" ht="20.25" customHeight="1">
      <c r="A50" s="28" t="s">
        <v>60</v>
      </c>
      <c r="B50" s="29">
        <f>SUM(B32:B49)</f>
        <v>0</v>
      </c>
      <c r="D50" s="94"/>
      <c r="E50" s="30">
        <f>SUM(E32:E49)</f>
        <v>266047.04999999993</v>
      </c>
      <c r="F50" s="94"/>
      <c r="G50" s="30">
        <f>SUM(G32:G49)</f>
        <v>268637.16</v>
      </c>
      <c r="H50" s="94"/>
      <c r="J50" s="95"/>
      <c r="K50" s="30">
        <f>SUM(K32:K49)</f>
        <v>445309.54585000005</v>
      </c>
      <c r="L50" s="77"/>
      <c r="M50" s="30">
        <f>SUM(M32:M49)</f>
        <v>77337</v>
      </c>
      <c r="N50" s="85"/>
      <c r="O50" s="30">
        <f>SUM(O32:O49)</f>
        <v>391785.52180999995</v>
      </c>
      <c r="P50" s="20"/>
      <c r="Q50" s="78">
        <f t="shared" si="4"/>
        <v>314448.52180999995</v>
      </c>
      <c r="R50" s="20"/>
      <c r="S50" s="76">
        <f t="shared" si="2"/>
        <v>5.065951896375602</v>
      </c>
      <c r="T50" s="96"/>
      <c r="U50" s="30">
        <f>SUM(U32:U49)</f>
        <v>225311.69</v>
      </c>
      <c r="V50" s="85"/>
      <c r="W50" s="179">
        <f>O50</f>
        <v>391785.52180999995</v>
      </c>
      <c r="X50" s="20"/>
      <c r="Y50" s="78">
        <f t="shared" si="1"/>
        <v>166473.83180999995</v>
      </c>
      <c r="Z50" s="20"/>
      <c r="AA50" s="76">
        <f t="shared" si="3"/>
        <v>1.7388601621602497</v>
      </c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</row>
    <row r="51" spans="1:27" ht="20.25" customHeight="1">
      <c r="A51" s="313"/>
      <c r="B51" s="313"/>
      <c r="C51" s="313"/>
      <c r="D51" s="313"/>
      <c r="E51" s="313"/>
      <c r="F51" s="313"/>
      <c r="G51" s="313"/>
      <c r="H51" s="13"/>
      <c r="I51" s="13"/>
      <c r="K51" s="13"/>
      <c r="L51" s="13"/>
      <c r="M51" s="91"/>
      <c r="N51" s="34"/>
      <c r="O51" s="91"/>
      <c r="Q51" s="91"/>
      <c r="S51" s="91" t="str">
        <f t="shared" si="2"/>
        <v> </v>
      </c>
      <c r="T51" s="90"/>
      <c r="U51" s="91"/>
      <c r="W51" s="91"/>
      <c r="Y51" s="91"/>
      <c r="AA51" s="91" t="str">
        <f t="shared" si="3"/>
        <v> </v>
      </c>
    </row>
    <row r="52" spans="1:27" ht="20.25" customHeight="1">
      <c r="A52" s="12" t="s">
        <v>93</v>
      </c>
      <c r="B52" s="31"/>
      <c r="C52" s="79"/>
      <c r="D52" s="16"/>
      <c r="E52" s="16"/>
      <c r="F52" s="16"/>
      <c r="G52" s="16"/>
      <c r="H52" s="16"/>
      <c r="I52" s="16"/>
      <c r="K52" s="16"/>
      <c r="L52" s="16"/>
      <c r="M52" s="92"/>
      <c r="N52" s="34"/>
      <c r="O52" s="92"/>
      <c r="Q52" s="92"/>
      <c r="S52" s="92" t="str">
        <f t="shared" si="2"/>
        <v> </v>
      </c>
      <c r="T52" s="90"/>
      <c r="U52" s="92"/>
      <c r="W52" s="92"/>
      <c r="Y52" s="92"/>
      <c r="AA52" s="92" t="str">
        <f t="shared" si="3"/>
        <v> </v>
      </c>
    </row>
    <row r="53" spans="1:27" ht="20.25" customHeight="1">
      <c r="A53" s="14" t="s">
        <v>95</v>
      </c>
      <c r="B53" s="32"/>
      <c r="D53" s="16"/>
      <c r="E53" s="15">
        <v>0</v>
      </c>
      <c r="F53" s="16"/>
      <c r="G53" s="15">
        <v>0</v>
      </c>
      <c r="H53" s="16"/>
      <c r="K53" s="15">
        <v>0</v>
      </c>
      <c r="L53" s="71"/>
      <c r="M53" s="175">
        <f>'App 2-E'!N53</f>
        <v>0</v>
      </c>
      <c r="N53" s="34"/>
      <c r="O53" s="175">
        <f>'App 2-E'!V53</f>
        <v>0</v>
      </c>
      <c r="Q53" s="73">
        <f aca="true" t="shared" si="5" ref="Q53:Q61">O53-M53</f>
        <v>0</v>
      </c>
      <c r="S53" s="74" t="str">
        <f t="shared" si="2"/>
        <v> </v>
      </c>
      <c r="T53" s="90"/>
      <c r="U53" s="175">
        <f>'App 2-E'!R53</f>
        <v>0</v>
      </c>
      <c r="W53" s="92">
        <f>'App 2-E'!V53</f>
        <v>0</v>
      </c>
      <c r="Y53" s="73">
        <f t="shared" si="1"/>
        <v>0</v>
      </c>
      <c r="AA53" s="74" t="str">
        <f t="shared" si="3"/>
        <v> </v>
      </c>
    </row>
    <row r="54" spans="1:27" ht="20.25" customHeight="1">
      <c r="A54" s="14" t="s">
        <v>97</v>
      </c>
      <c r="B54" s="32"/>
      <c r="D54" s="16"/>
      <c r="E54" s="15">
        <v>47647.98</v>
      </c>
      <c r="F54" s="16"/>
      <c r="G54" s="15">
        <v>52540.46</v>
      </c>
      <c r="H54" s="16"/>
      <c r="K54" s="15">
        <v>38154.56</v>
      </c>
      <c r="L54" s="71"/>
      <c r="M54" s="175">
        <f>'App 2-E'!N54</f>
        <v>64970</v>
      </c>
      <c r="N54" s="34"/>
      <c r="O54" s="175">
        <f>'App 2-E'!V54</f>
        <v>17191.9512</v>
      </c>
      <c r="Q54" s="73">
        <f t="shared" si="5"/>
        <v>-47778.048800000004</v>
      </c>
      <c r="S54" s="74">
        <f t="shared" si="2"/>
        <v>0.2646136863167616</v>
      </c>
      <c r="T54" s="90"/>
      <c r="U54" s="175">
        <f>'App 2-E'!R54</f>
        <v>62889.54</v>
      </c>
      <c r="W54" s="171">
        <f>'App 2-E'!V54</f>
        <v>17191.9512</v>
      </c>
      <c r="Y54" s="73">
        <f t="shared" si="1"/>
        <v>-45697.5888</v>
      </c>
      <c r="AA54" s="74">
        <f t="shared" si="3"/>
        <v>0.273367418492805</v>
      </c>
    </row>
    <row r="55" spans="1:27" ht="20.25" customHeight="1">
      <c r="A55" s="14" t="s">
        <v>99</v>
      </c>
      <c r="B55" s="32"/>
      <c r="D55" s="16"/>
      <c r="E55" s="15">
        <v>190825.66</v>
      </c>
      <c r="F55" s="16"/>
      <c r="G55" s="15">
        <v>240028.29</v>
      </c>
      <c r="H55" s="16"/>
      <c r="K55" s="15">
        <v>238632.13211</v>
      </c>
      <c r="L55" s="71"/>
      <c r="M55" s="175">
        <f>'App 2-E'!N55</f>
        <v>122411</v>
      </c>
      <c r="N55" s="34"/>
      <c r="O55" s="175">
        <f>'App 2-E'!V55</f>
        <v>131000</v>
      </c>
      <c r="Q55" s="73">
        <f t="shared" si="5"/>
        <v>8589</v>
      </c>
      <c r="S55" s="74">
        <f t="shared" si="2"/>
        <v>1.0701652629257175</v>
      </c>
      <c r="T55" s="90"/>
      <c r="U55" s="175">
        <f>'App 2-E'!R55</f>
        <v>126867.12</v>
      </c>
      <c r="W55" s="171">
        <f>'App 2-E'!V55</f>
        <v>131000</v>
      </c>
      <c r="Y55" s="73">
        <f t="shared" si="1"/>
        <v>4132.880000000005</v>
      </c>
      <c r="AA55" s="74">
        <f t="shared" si="3"/>
        <v>1.0325764469154814</v>
      </c>
    </row>
    <row r="56" spans="1:27" ht="20.25" customHeight="1">
      <c r="A56" s="14" t="s">
        <v>101</v>
      </c>
      <c r="B56" s="32"/>
      <c r="D56" s="16"/>
      <c r="E56" s="15">
        <v>108645.36</v>
      </c>
      <c r="F56" s="16"/>
      <c r="G56" s="15">
        <v>81059.01</v>
      </c>
      <c r="H56" s="16"/>
      <c r="K56" s="15">
        <v>76894.979</v>
      </c>
      <c r="L56" s="71"/>
      <c r="M56" s="175">
        <f>'App 2-E'!N56</f>
        <v>97641</v>
      </c>
      <c r="N56" s="34"/>
      <c r="O56" s="175">
        <f>'App 2-E'!V56</f>
        <v>130277.17214200002</v>
      </c>
      <c r="Q56" s="73">
        <f t="shared" si="5"/>
        <v>32636.172142000025</v>
      </c>
      <c r="S56" s="74">
        <f t="shared" si="2"/>
        <v>1.3342465986829306</v>
      </c>
      <c r="T56" s="90"/>
      <c r="U56" s="175">
        <f>'App 2-E'!R56</f>
        <v>103730.38</v>
      </c>
      <c r="W56" s="171">
        <f>'App 2-E'!V56</f>
        <v>130277.17214200002</v>
      </c>
      <c r="Y56" s="73">
        <f t="shared" si="1"/>
        <v>26546.79214200002</v>
      </c>
      <c r="AA56" s="74">
        <f t="shared" si="3"/>
        <v>1.2559210921814807</v>
      </c>
    </row>
    <row r="57" spans="1:27" ht="20.25" customHeight="1">
      <c r="A57" s="14" t="s">
        <v>103</v>
      </c>
      <c r="B57" s="32"/>
      <c r="D57" s="16"/>
      <c r="E57" s="15">
        <v>-30</v>
      </c>
      <c r="F57" s="16"/>
      <c r="G57" s="15">
        <v>0</v>
      </c>
      <c r="H57" s="16"/>
      <c r="K57" s="15">
        <v>100</v>
      </c>
      <c r="L57" s="71"/>
      <c r="M57" s="175">
        <f>'App 2-E'!N57</f>
        <v>5</v>
      </c>
      <c r="N57" s="34"/>
      <c r="O57" s="175">
        <f>'App 2-E'!V57</f>
        <v>0</v>
      </c>
      <c r="Q57" s="73">
        <f t="shared" si="5"/>
        <v>-5</v>
      </c>
      <c r="S57" s="74">
        <f t="shared" si="2"/>
        <v>0</v>
      </c>
      <c r="T57" s="90"/>
      <c r="U57" s="175">
        <f>'App 2-E'!R57</f>
        <v>-16.85</v>
      </c>
      <c r="W57" s="171">
        <f>'App 2-E'!V57</f>
        <v>0</v>
      </c>
      <c r="Y57" s="73">
        <f t="shared" si="1"/>
        <v>16.85</v>
      </c>
      <c r="AA57" s="74">
        <f t="shared" si="3"/>
        <v>0</v>
      </c>
    </row>
    <row r="58" spans="1:27" ht="20.25" customHeight="1">
      <c r="A58" s="14" t="s">
        <v>105</v>
      </c>
      <c r="B58" s="32"/>
      <c r="D58" s="16"/>
      <c r="E58" s="15">
        <v>0</v>
      </c>
      <c r="F58" s="16"/>
      <c r="G58" s="15">
        <v>0</v>
      </c>
      <c r="H58" s="16"/>
      <c r="K58" s="15">
        <v>0</v>
      </c>
      <c r="L58" s="71"/>
      <c r="M58" s="175">
        <f>'App 2-E'!N58</f>
        <v>4440</v>
      </c>
      <c r="N58" s="34"/>
      <c r="O58" s="175">
        <f>'App 2-E'!V58</f>
        <v>4171.8296</v>
      </c>
      <c r="Q58" s="73">
        <f t="shared" si="5"/>
        <v>-268.1704</v>
      </c>
      <c r="S58" s="74">
        <f t="shared" si="2"/>
        <v>0.9396012612612613</v>
      </c>
      <c r="T58" s="90"/>
      <c r="U58" s="175">
        <f>'App 2-E'!R58</f>
        <v>4067.17</v>
      </c>
      <c r="W58" s="171">
        <f>'App 2-E'!V58</f>
        <v>4171.8296</v>
      </c>
      <c r="Y58" s="73">
        <f t="shared" si="1"/>
        <v>104.65959999999995</v>
      </c>
      <c r="AA58" s="74">
        <f t="shared" si="3"/>
        <v>1.0257327822539997</v>
      </c>
    </row>
    <row r="59" spans="1:27" ht="20.25" customHeight="1">
      <c r="A59" s="14" t="s">
        <v>107</v>
      </c>
      <c r="B59" s="32"/>
      <c r="D59" s="16"/>
      <c r="E59" s="15">
        <v>-4397.86</v>
      </c>
      <c r="F59" s="16"/>
      <c r="G59" s="15">
        <v>0</v>
      </c>
      <c r="H59" s="16"/>
      <c r="K59" s="15">
        <v>5200</v>
      </c>
      <c r="L59" s="71"/>
      <c r="M59" s="175">
        <f>'App 2-E'!N59</f>
        <v>29693</v>
      </c>
      <c r="N59" s="34"/>
      <c r="O59" s="175">
        <f>'App 2-E'!V59</f>
        <v>22544.705233333338</v>
      </c>
      <c r="Q59" s="73">
        <f t="shared" si="5"/>
        <v>-7148.294766666662</v>
      </c>
      <c r="S59" s="74">
        <f t="shared" si="2"/>
        <v>0.7592599344402161</v>
      </c>
      <c r="T59" s="90"/>
      <c r="U59" s="175">
        <f>'App 2-E'!R59</f>
        <v>22681.1</v>
      </c>
      <c r="W59" s="171">
        <f>'App 2-E'!V59</f>
        <v>22544.705233333338</v>
      </c>
      <c r="Y59" s="73">
        <f t="shared" si="1"/>
        <v>-136.39476666666087</v>
      </c>
      <c r="AA59" s="74">
        <f t="shared" si="3"/>
        <v>0.9939864130634466</v>
      </c>
    </row>
    <row r="60" spans="1:27" ht="20.25" customHeight="1">
      <c r="A60" s="14" t="s">
        <v>109</v>
      </c>
      <c r="B60" s="32"/>
      <c r="D60" s="16"/>
      <c r="E60" s="15">
        <v>0</v>
      </c>
      <c r="F60" s="16"/>
      <c r="G60" s="15">
        <v>0</v>
      </c>
      <c r="H60" s="16"/>
      <c r="K60" s="15">
        <v>0</v>
      </c>
      <c r="L60" s="71"/>
      <c r="M60" s="175">
        <f>'App 2-E'!N60</f>
        <v>121125</v>
      </c>
      <c r="N60" s="34"/>
      <c r="O60" s="175">
        <f>'App 2-E'!V60</f>
        <v>195112.49062</v>
      </c>
      <c r="Q60" s="73">
        <f t="shared" si="5"/>
        <v>73987.49062</v>
      </c>
      <c r="S60" s="74">
        <f t="shared" si="2"/>
        <v>1.610835835872033</v>
      </c>
      <c r="T60" s="90"/>
      <c r="U60" s="175">
        <f>'App 2-E'!R60</f>
        <v>105260.86</v>
      </c>
      <c r="W60" s="171">
        <f>'App 2-E'!V60</f>
        <v>195112.49062</v>
      </c>
      <c r="Y60" s="73">
        <f t="shared" si="1"/>
        <v>89851.63062</v>
      </c>
      <c r="AA60" s="74">
        <f t="shared" si="3"/>
        <v>1.8536091251772027</v>
      </c>
    </row>
    <row r="61" spans="1:117" s="99" customFormat="1" ht="20.25" customHeight="1">
      <c r="A61" s="28" t="s">
        <v>60</v>
      </c>
      <c r="B61" s="29">
        <f>SUM(B53:B60)</f>
        <v>0</v>
      </c>
      <c r="C61" s="97"/>
      <c r="D61" s="94"/>
      <c r="E61" s="30">
        <f>SUM(E53:E60)</f>
        <v>342691.14</v>
      </c>
      <c r="F61" s="94"/>
      <c r="G61" s="30">
        <f>SUM(G53:G60)</f>
        <v>373627.76</v>
      </c>
      <c r="H61" s="94"/>
      <c r="I61" s="98"/>
      <c r="J61" s="95"/>
      <c r="K61" s="30">
        <f>SUM(K53:K60)</f>
        <v>358981.67111</v>
      </c>
      <c r="L61" s="77"/>
      <c r="M61" s="30">
        <f>SUM(M53:M60)</f>
        <v>440285</v>
      </c>
      <c r="N61" s="85"/>
      <c r="O61" s="30">
        <f>SUM(O53:O60)</f>
        <v>500298.1487953334</v>
      </c>
      <c r="P61" s="20"/>
      <c r="Q61" s="78">
        <f t="shared" si="5"/>
        <v>60013.1487953334</v>
      </c>
      <c r="R61" s="20"/>
      <c r="S61" s="76">
        <f t="shared" si="2"/>
        <v>1.136305231373618</v>
      </c>
      <c r="T61" s="96"/>
      <c r="U61" s="30">
        <f>SUM(U53:U60)</f>
        <v>425479.32</v>
      </c>
      <c r="V61" s="85"/>
      <c r="W61" s="179">
        <f>O61</f>
        <v>500298.1487953334</v>
      </c>
      <c r="X61" s="20"/>
      <c r="Y61" s="78">
        <f t="shared" si="1"/>
        <v>74818.8287953334</v>
      </c>
      <c r="Z61" s="20"/>
      <c r="AA61" s="76">
        <f t="shared" si="3"/>
        <v>1.1758459818807019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</row>
    <row r="62" spans="1:27" ht="20.25" customHeight="1">
      <c r="A62" s="313"/>
      <c r="B62" s="313"/>
      <c r="C62" s="313"/>
      <c r="D62" s="313"/>
      <c r="E62" s="313"/>
      <c r="F62" s="313"/>
      <c r="G62" s="313"/>
      <c r="H62" s="13"/>
      <c r="I62" s="13"/>
      <c r="K62" s="13"/>
      <c r="L62" s="13"/>
      <c r="M62" s="91"/>
      <c r="N62" s="34"/>
      <c r="O62" s="91"/>
      <c r="Q62" s="91"/>
      <c r="S62" s="91" t="str">
        <f t="shared" si="2"/>
        <v> </v>
      </c>
      <c r="T62" s="90"/>
      <c r="U62" s="91"/>
      <c r="W62" s="91"/>
      <c r="Y62" s="91"/>
      <c r="AA62" s="91" t="str">
        <f t="shared" si="3"/>
        <v> </v>
      </c>
    </row>
    <row r="63" spans="1:27" ht="14.25" customHeight="1">
      <c r="A63" s="12" t="s">
        <v>24</v>
      </c>
      <c r="B63" s="31"/>
      <c r="C63" s="79"/>
      <c r="D63" s="16"/>
      <c r="E63" s="16"/>
      <c r="F63" s="16"/>
      <c r="G63" s="16"/>
      <c r="H63" s="16"/>
      <c r="I63" s="16"/>
      <c r="K63" s="16"/>
      <c r="L63" s="16"/>
      <c r="M63" s="92"/>
      <c r="N63" s="34"/>
      <c r="O63" s="92"/>
      <c r="Q63" s="92"/>
      <c r="S63" s="92" t="str">
        <f t="shared" si="2"/>
        <v> </v>
      </c>
      <c r="T63" s="90"/>
      <c r="U63" s="92"/>
      <c r="W63" s="92"/>
      <c r="Y63" s="92"/>
      <c r="AA63" s="92" t="str">
        <f t="shared" si="3"/>
        <v> </v>
      </c>
    </row>
    <row r="64" spans="1:27" ht="20.25" customHeight="1">
      <c r="A64" s="14" t="s">
        <v>113</v>
      </c>
      <c r="B64" s="32"/>
      <c r="D64" s="16"/>
      <c r="E64" s="15">
        <v>0</v>
      </c>
      <c r="F64" s="16"/>
      <c r="G64" s="15">
        <v>0</v>
      </c>
      <c r="H64" s="16"/>
      <c r="K64" s="15">
        <v>0</v>
      </c>
      <c r="L64" s="71"/>
      <c r="M64" s="175">
        <f>'App 2-E'!N64</f>
        <v>0</v>
      </c>
      <c r="N64" s="34"/>
      <c r="O64" s="175">
        <f>'App 2-E'!V64</f>
        <v>0</v>
      </c>
      <c r="Q64" s="73">
        <f aca="true" t="shared" si="6" ref="Q64:Q71">O64-M64</f>
        <v>0</v>
      </c>
      <c r="S64" s="74" t="str">
        <f t="shared" si="2"/>
        <v> </v>
      </c>
      <c r="T64" s="90"/>
      <c r="U64" s="175">
        <f>'App 2-E'!R64</f>
        <v>0</v>
      </c>
      <c r="W64" s="171">
        <f>'App 2-E'!V64</f>
        <v>0</v>
      </c>
      <c r="Y64" s="73">
        <f t="shared" si="1"/>
        <v>0</v>
      </c>
      <c r="AA64" s="74" t="str">
        <f t="shared" si="3"/>
        <v> </v>
      </c>
    </row>
    <row r="65" spans="1:27" s="1" customFormat="1" ht="15">
      <c r="A65" s="14" t="s">
        <v>115</v>
      </c>
      <c r="B65" s="32"/>
      <c r="D65" s="16"/>
      <c r="E65" s="15">
        <v>13367.73</v>
      </c>
      <c r="F65" s="16"/>
      <c r="G65" s="15">
        <v>12948.34</v>
      </c>
      <c r="H65" s="16"/>
      <c r="J65" s="3"/>
      <c r="K65" s="15">
        <v>14599.935</v>
      </c>
      <c r="L65" s="71"/>
      <c r="M65" s="175">
        <f>'App 2-E'!N65</f>
        <v>8053</v>
      </c>
      <c r="N65" s="34"/>
      <c r="O65" s="175">
        <f>'App 2-E'!V65</f>
        <v>14344.648015333336</v>
      </c>
      <c r="Q65" s="73">
        <f t="shared" si="6"/>
        <v>6291.648015333336</v>
      </c>
      <c r="S65" s="74">
        <f t="shared" si="2"/>
        <v>1.7812800217724247</v>
      </c>
      <c r="T65" s="90"/>
      <c r="U65" s="175">
        <f>'App 2-E'!R65</f>
        <v>13354.54</v>
      </c>
      <c r="V65" s="34"/>
      <c r="W65" s="171">
        <f>'App 2-E'!V65</f>
        <v>14344.648015333336</v>
      </c>
      <c r="Y65" s="73">
        <f t="shared" si="1"/>
        <v>990.1080153333351</v>
      </c>
      <c r="AA65" s="74">
        <f t="shared" si="3"/>
        <v>1.0741401811918145</v>
      </c>
    </row>
    <row r="66" spans="1:27" s="1" customFormat="1" ht="15">
      <c r="A66" s="14" t="s">
        <v>117</v>
      </c>
      <c r="B66" s="32"/>
      <c r="D66" s="16"/>
      <c r="E66" s="15">
        <v>75485.17</v>
      </c>
      <c r="F66" s="16"/>
      <c r="G66" s="15">
        <v>39432.4</v>
      </c>
      <c r="H66" s="16"/>
      <c r="J66" s="3"/>
      <c r="K66" s="15">
        <v>0</v>
      </c>
      <c r="L66" s="71"/>
      <c r="M66" s="175">
        <f>'App 2-E'!N66</f>
        <v>0</v>
      </c>
      <c r="N66" s="34"/>
      <c r="O66" s="175">
        <f>'App 2-E'!V66</f>
        <v>0</v>
      </c>
      <c r="Q66" s="73">
        <f t="shared" si="6"/>
        <v>0</v>
      </c>
      <c r="S66" s="74" t="str">
        <f t="shared" si="2"/>
        <v> </v>
      </c>
      <c r="T66" s="90"/>
      <c r="U66" s="175">
        <f>'App 2-E'!R66</f>
        <v>0</v>
      </c>
      <c r="V66" s="34"/>
      <c r="W66" s="171">
        <f>'App 2-E'!V66</f>
        <v>0</v>
      </c>
      <c r="Y66" s="73">
        <f t="shared" si="1"/>
        <v>0</v>
      </c>
      <c r="AA66" s="74" t="str">
        <f t="shared" si="3"/>
        <v> </v>
      </c>
    </row>
    <row r="67" spans="1:27" s="1" customFormat="1" ht="15">
      <c r="A67" s="14" t="s">
        <v>120</v>
      </c>
      <c r="B67" s="32"/>
      <c r="D67" s="16"/>
      <c r="E67" s="15">
        <v>948</v>
      </c>
      <c r="F67" s="16"/>
      <c r="G67" s="15">
        <v>0</v>
      </c>
      <c r="H67" s="16"/>
      <c r="J67" s="3"/>
      <c r="K67" s="15">
        <v>0</v>
      </c>
      <c r="L67" s="71"/>
      <c r="M67" s="175">
        <f>'App 2-E'!N67</f>
        <v>0</v>
      </c>
      <c r="N67" s="34"/>
      <c r="O67" s="175">
        <f>'App 2-E'!V67</f>
        <v>0</v>
      </c>
      <c r="Q67" s="73">
        <f t="shared" si="6"/>
        <v>0</v>
      </c>
      <c r="S67" s="74" t="str">
        <f t="shared" si="2"/>
        <v> </v>
      </c>
      <c r="T67" s="90"/>
      <c r="U67" s="175">
        <f>'App 2-E'!R67</f>
        <v>0</v>
      </c>
      <c r="V67" s="34"/>
      <c r="W67" s="171">
        <f>'App 2-E'!V67</f>
        <v>0</v>
      </c>
      <c r="Y67" s="73">
        <f t="shared" si="1"/>
        <v>0</v>
      </c>
      <c r="AA67" s="74" t="str">
        <f t="shared" si="3"/>
        <v> </v>
      </c>
    </row>
    <row r="68" spans="1:27" s="1" customFormat="1" ht="15">
      <c r="A68" s="14" t="s">
        <v>122</v>
      </c>
      <c r="B68" s="32"/>
      <c r="D68" s="16"/>
      <c r="E68" s="15">
        <v>0</v>
      </c>
      <c r="F68" s="16"/>
      <c r="G68" s="15">
        <v>0</v>
      </c>
      <c r="H68" s="16"/>
      <c r="J68" s="3"/>
      <c r="K68" s="15">
        <v>0</v>
      </c>
      <c r="L68" s="71"/>
      <c r="M68" s="175">
        <f>'App 2-E'!N68</f>
        <v>0</v>
      </c>
      <c r="N68" s="34"/>
      <c r="O68" s="175">
        <f>'App 2-E'!V68</f>
        <v>0</v>
      </c>
      <c r="Q68" s="73">
        <f t="shared" si="6"/>
        <v>0</v>
      </c>
      <c r="S68" s="74" t="str">
        <f t="shared" si="2"/>
        <v> </v>
      </c>
      <c r="T68" s="90"/>
      <c r="U68" s="175">
        <f>'App 2-E'!R68</f>
        <v>0</v>
      </c>
      <c r="V68" s="34"/>
      <c r="W68" s="171">
        <f>'App 2-E'!V68</f>
        <v>0</v>
      </c>
      <c r="Y68" s="73">
        <f t="shared" si="1"/>
        <v>0</v>
      </c>
      <c r="AA68" s="74" t="str">
        <f t="shared" si="3"/>
        <v> </v>
      </c>
    </row>
    <row r="69" spans="1:27" s="1" customFormat="1" ht="15">
      <c r="A69" s="14" t="s">
        <v>124</v>
      </c>
      <c r="B69" s="32"/>
      <c r="D69" s="16"/>
      <c r="E69" s="15">
        <v>0</v>
      </c>
      <c r="F69" s="16"/>
      <c r="G69" s="15">
        <v>0</v>
      </c>
      <c r="H69" s="16"/>
      <c r="J69" s="3"/>
      <c r="K69" s="15">
        <v>0</v>
      </c>
      <c r="L69" s="71"/>
      <c r="M69" s="175">
        <f>'App 2-E'!N69</f>
        <v>0</v>
      </c>
      <c r="N69" s="34"/>
      <c r="O69" s="175">
        <f>'App 2-E'!V69</f>
        <v>0</v>
      </c>
      <c r="Q69" s="73">
        <f t="shared" si="6"/>
        <v>0</v>
      </c>
      <c r="S69" s="74" t="str">
        <f t="shared" si="2"/>
        <v> </v>
      </c>
      <c r="T69" s="90"/>
      <c r="U69" s="175">
        <f>'App 2-E'!R69</f>
        <v>0</v>
      </c>
      <c r="V69" s="34"/>
      <c r="W69" s="171">
        <f>'App 2-E'!V69</f>
        <v>0</v>
      </c>
      <c r="Y69" s="73">
        <f t="shared" si="1"/>
        <v>0</v>
      </c>
      <c r="AA69" s="74" t="str">
        <f t="shared" si="3"/>
        <v> </v>
      </c>
    </row>
    <row r="70" spans="1:27" s="1" customFormat="1" ht="15">
      <c r="A70" s="14" t="s">
        <v>127</v>
      </c>
      <c r="B70" s="32"/>
      <c r="D70" s="16"/>
      <c r="E70" s="15">
        <v>0</v>
      </c>
      <c r="F70" s="16"/>
      <c r="G70" s="15">
        <v>0</v>
      </c>
      <c r="H70" s="16"/>
      <c r="J70" s="3"/>
      <c r="K70" s="15">
        <v>0</v>
      </c>
      <c r="L70" s="71"/>
      <c r="M70" s="175">
        <f>'App 2-E'!N70</f>
        <v>0</v>
      </c>
      <c r="N70" s="34"/>
      <c r="O70" s="175">
        <f>'App 2-E'!V70</f>
        <v>0</v>
      </c>
      <c r="Q70" s="73">
        <f t="shared" si="6"/>
        <v>0</v>
      </c>
      <c r="S70" s="74" t="str">
        <f t="shared" si="2"/>
        <v> </v>
      </c>
      <c r="T70" s="90"/>
      <c r="U70" s="175">
        <f>'App 2-E'!R70</f>
        <v>0</v>
      </c>
      <c r="V70" s="34"/>
      <c r="W70" s="171">
        <f>'App 2-E'!V70</f>
        <v>0</v>
      </c>
      <c r="Y70" s="73">
        <f t="shared" si="1"/>
        <v>0</v>
      </c>
      <c r="AA70" s="74" t="str">
        <f t="shared" si="3"/>
        <v> </v>
      </c>
    </row>
    <row r="71" spans="1:27" s="20" customFormat="1" ht="15">
      <c r="A71" s="28" t="s">
        <v>60</v>
      </c>
      <c r="B71" s="29">
        <f>SUM(B64:B70)</f>
        <v>0</v>
      </c>
      <c r="D71" s="94"/>
      <c r="E71" s="30">
        <f>SUM(E64:E70)</f>
        <v>89800.9</v>
      </c>
      <c r="F71" s="94"/>
      <c r="G71" s="30">
        <f>SUM(G64:G70)</f>
        <v>52380.740000000005</v>
      </c>
      <c r="H71" s="94"/>
      <c r="J71" s="95"/>
      <c r="K71" s="30">
        <f>SUM(K64:K70)</f>
        <v>14599.935</v>
      </c>
      <c r="L71" s="77"/>
      <c r="M71" s="30">
        <f>SUM(M64:M70)</f>
        <v>8053</v>
      </c>
      <c r="N71" s="85"/>
      <c r="O71" s="30">
        <f>SUM(O64:O70)</f>
        <v>14344.648015333336</v>
      </c>
      <c r="Q71" s="78">
        <f t="shared" si="6"/>
        <v>6291.648015333336</v>
      </c>
      <c r="S71" s="76">
        <f t="shared" si="2"/>
        <v>1.7812800217724247</v>
      </c>
      <c r="T71" s="96"/>
      <c r="U71" s="30">
        <f>SUM(U64:U70)</f>
        <v>13354.54</v>
      </c>
      <c r="V71" s="85"/>
      <c r="W71" s="179">
        <f>O71</f>
        <v>14344.648015333336</v>
      </c>
      <c r="Y71" s="78">
        <f aca="true" t="shared" si="7" ref="Y71:Y95">W71-U71</f>
        <v>990.1080153333351</v>
      </c>
      <c r="AA71" s="76">
        <f t="shared" si="3"/>
        <v>1.0741401811918145</v>
      </c>
    </row>
    <row r="72" spans="1:27" s="1" customFormat="1" ht="15">
      <c r="A72" s="313"/>
      <c r="B72" s="313"/>
      <c r="C72" s="313"/>
      <c r="D72" s="313"/>
      <c r="E72" s="313"/>
      <c r="F72" s="313"/>
      <c r="G72" s="313"/>
      <c r="H72" s="13"/>
      <c r="I72" s="13"/>
      <c r="J72" s="3"/>
      <c r="K72" s="13"/>
      <c r="L72" s="13"/>
      <c r="M72" s="91"/>
      <c r="N72" s="34"/>
      <c r="O72" s="91"/>
      <c r="Q72" s="91"/>
      <c r="S72" s="91" t="str">
        <f aca="true" t="shared" si="8" ref="S72:S95">IF(M72=0," ",O72/M72)</f>
        <v> </v>
      </c>
      <c r="T72" s="90"/>
      <c r="U72" s="91"/>
      <c r="V72" s="34"/>
      <c r="W72" s="91"/>
      <c r="Y72" s="91"/>
      <c r="AA72" s="91" t="str">
        <f aca="true" t="shared" si="9" ref="AA72:AA95">IF(U72=0," ",W72/U72)</f>
        <v> </v>
      </c>
    </row>
    <row r="73" spans="1:27" s="1" customFormat="1" ht="15">
      <c r="A73" s="12" t="s">
        <v>129</v>
      </c>
      <c r="B73" s="31"/>
      <c r="C73" s="79"/>
      <c r="D73" s="16"/>
      <c r="E73" s="16"/>
      <c r="F73" s="16"/>
      <c r="G73" s="16"/>
      <c r="H73" s="16"/>
      <c r="I73" s="16"/>
      <c r="J73" s="3"/>
      <c r="K73" s="16"/>
      <c r="L73" s="16"/>
      <c r="M73" s="92"/>
      <c r="N73" s="34"/>
      <c r="O73" s="92"/>
      <c r="Q73" s="92"/>
      <c r="S73" s="92" t="str">
        <f t="shared" si="8"/>
        <v> </v>
      </c>
      <c r="T73" s="90"/>
      <c r="U73" s="92"/>
      <c r="V73" s="34"/>
      <c r="W73" s="92"/>
      <c r="Y73" s="92"/>
      <c r="AA73" s="92" t="str">
        <f t="shared" si="9"/>
        <v> </v>
      </c>
    </row>
    <row r="74" spans="1:27" s="1" customFormat="1" ht="15">
      <c r="A74" s="14" t="s">
        <v>131</v>
      </c>
      <c r="B74" s="32"/>
      <c r="D74" s="16"/>
      <c r="E74" s="15">
        <v>8147.35</v>
      </c>
      <c r="F74" s="16"/>
      <c r="G74" s="15">
        <v>6889.67</v>
      </c>
      <c r="H74" s="16"/>
      <c r="J74" s="3"/>
      <c r="K74" s="15">
        <v>6247.74</v>
      </c>
      <c r="L74" s="71"/>
      <c r="M74" s="175">
        <f>'App 2-E'!N74</f>
        <v>16612.16</v>
      </c>
      <c r="N74" s="34"/>
      <c r="O74" s="175">
        <f>'App 2-E'!V74</f>
        <v>49342.819705999995</v>
      </c>
      <c r="Q74" s="73">
        <f aca="true" t="shared" si="10" ref="Q74:Q92">O74-M74</f>
        <v>32730.659705999995</v>
      </c>
      <c r="S74" s="74">
        <f t="shared" si="8"/>
        <v>2.970283196525918</v>
      </c>
      <c r="T74" s="90"/>
      <c r="U74" s="175">
        <f>'App 2-E'!R74</f>
        <v>46510</v>
      </c>
      <c r="V74" s="34"/>
      <c r="W74" s="171">
        <f>'App 2-E'!V74</f>
        <v>49342.819705999995</v>
      </c>
      <c r="Y74" s="73">
        <f t="shared" si="7"/>
        <v>2832.8197059999948</v>
      </c>
      <c r="AA74" s="74">
        <f t="shared" si="9"/>
        <v>1.0609077554504407</v>
      </c>
    </row>
    <row r="75" spans="1:27" s="1" customFormat="1" ht="15">
      <c r="A75" s="14" t="s">
        <v>133</v>
      </c>
      <c r="B75" s="32"/>
      <c r="D75" s="16"/>
      <c r="E75" s="15">
        <v>0</v>
      </c>
      <c r="F75" s="16"/>
      <c r="G75" s="15">
        <v>0</v>
      </c>
      <c r="H75" s="16"/>
      <c r="J75" s="3"/>
      <c r="K75" s="15">
        <v>0</v>
      </c>
      <c r="L75" s="71"/>
      <c r="M75" s="175">
        <f>'App 2-E'!N75</f>
        <v>336516.18</v>
      </c>
      <c r="N75" s="34"/>
      <c r="O75" s="175">
        <f>'App 2-E'!V75</f>
        <v>494916.309412</v>
      </c>
      <c r="Q75" s="73">
        <f t="shared" si="10"/>
        <v>158400.129412</v>
      </c>
      <c r="S75" s="74">
        <f t="shared" si="8"/>
        <v>1.4707058347447068</v>
      </c>
      <c r="T75" s="90"/>
      <c r="U75" s="175">
        <f>'App 2-E'!R75</f>
        <v>426686</v>
      </c>
      <c r="V75" s="34"/>
      <c r="W75" s="171">
        <f>'App 2-E'!V75</f>
        <v>494916.309412</v>
      </c>
      <c r="Y75" s="73">
        <f t="shared" si="7"/>
        <v>68230.309412</v>
      </c>
      <c r="AA75" s="74">
        <f t="shared" si="9"/>
        <v>1.1599075418738838</v>
      </c>
    </row>
    <row r="76" spans="1:27" s="1" customFormat="1" ht="15">
      <c r="A76" s="14" t="s">
        <v>135</v>
      </c>
      <c r="B76" s="32"/>
      <c r="D76" s="16"/>
      <c r="E76" s="15">
        <v>170033.66</v>
      </c>
      <c r="F76" s="16"/>
      <c r="G76" s="15">
        <v>204545.58</v>
      </c>
      <c r="H76" s="16"/>
      <c r="J76" s="3"/>
      <c r="K76" s="15">
        <v>224837.53667</v>
      </c>
      <c r="L76" s="71"/>
      <c r="M76" s="175">
        <f>'App 2-E'!N76</f>
        <v>86694</v>
      </c>
      <c r="N76" s="34"/>
      <c r="O76" s="175">
        <f>'App 2-E'!V76</f>
        <v>143854.239352</v>
      </c>
      <c r="Q76" s="73">
        <f t="shared" si="10"/>
        <v>57160.239352000004</v>
      </c>
      <c r="S76" s="74">
        <f t="shared" si="8"/>
        <v>1.659333279719473</v>
      </c>
      <c r="T76" s="90"/>
      <c r="U76" s="175">
        <f>'App 2-E'!R76</f>
        <v>91247.28</v>
      </c>
      <c r="V76" s="34"/>
      <c r="W76" s="171">
        <f>'App 2-E'!V76</f>
        <v>143854.239352</v>
      </c>
      <c r="Y76" s="73">
        <f t="shared" si="7"/>
        <v>52606.959352000005</v>
      </c>
      <c r="AA76" s="74">
        <f t="shared" si="9"/>
        <v>1.5765318084221251</v>
      </c>
    </row>
    <row r="77" spans="1:27" s="1" customFormat="1" ht="15">
      <c r="A77" s="14" t="s">
        <v>137</v>
      </c>
      <c r="B77" s="32"/>
      <c r="D77" s="16"/>
      <c r="E77" s="15">
        <v>32062.34</v>
      </c>
      <c r="F77" s="16"/>
      <c r="G77" s="15">
        <v>34426.36</v>
      </c>
      <c r="H77" s="16"/>
      <c r="J77" s="3"/>
      <c r="K77" s="15">
        <v>106181.70944</v>
      </c>
      <c r="L77" s="71"/>
      <c r="M77" s="175">
        <f>'App 2-E'!N77</f>
        <v>77736</v>
      </c>
      <c r="N77" s="34"/>
      <c r="O77" s="175">
        <f>'App 2-E'!V77</f>
        <v>105886.20111000001</v>
      </c>
      <c r="Q77" s="73">
        <f t="shared" si="10"/>
        <v>28150.20111000001</v>
      </c>
      <c r="S77" s="74">
        <f t="shared" si="8"/>
        <v>1.3621256703457858</v>
      </c>
      <c r="T77" s="90"/>
      <c r="U77" s="175">
        <f>'App 2-E'!R77</f>
        <v>99807.9</v>
      </c>
      <c r="V77" s="34"/>
      <c r="W77" s="171">
        <f>'App 2-E'!V77</f>
        <v>105886.20111000001</v>
      </c>
      <c r="Y77" s="73">
        <f t="shared" si="7"/>
        <v>6078.301110000015</v>
      </c>
      <c r="AA77" s="74">
        <f t="shared" si="9"/>
        <v>1.0609000000000002</v>
      </c>
    </row>
    <row r="78" spans="1:27" s="1" customFormat="1" ht="15">
      <c r="A78" s="14" t="s">
        <v>138</v>
      </c>
      <c r="B78" s="32"/>
      <c r="D78" s="16"/>
      <c r="E78" s="15">
        <v>0</v>
      </c>
      <c r="F78" s="16"/>
      <c r="G78" s="15">
        <v>105513.78</v>
      </c>
      <c r="H78" s="16"/>
      <c r="J78" s="3"/>
      <c r="K78" s="15">
        <v>0</v>
      </c>
      <c r="L78" s="71"/>
      <c r="M78" s="175">
        <f>'App 2-E'!N78</f>
        <v>0</v>
      </c>
      <c r="N78" s="34"/>
      <c r="O78" s="175">
        <f>'App 2-E'!V78</f>
        <v>0</v>
      </c>
      <c r="Q78" s="73">
        <f t="shared" si="10"/>
        <v>0</v>
      </c>
      <c r="S78" s="74" t="str">
        <f t="shared" si="8"/>
        <v> </v>
      </c>
      <c r="T78" s="90"/>
      <c r="U78" s="175">
        <f>'App 2-E'!R78</f>
        <v>0</v>
      </c>
      <c r="V78" s="34"/>
      <c r="W78" s="171">
        <f>'App 2-E'!V78</f>
        <v>0</v>
      </c>
      <c r="Y78" s="73">
        <f t="shared" si="7"/>
        <v>0</v>
      </c>
      <c r="AA78" s="74" t="str">
        <f t="shared" si="9"/>
        <v> </v>
      </c>
    </row>
    <row r="79" spans="1:27" s="1" customFormat="1" ht="15">
      <c r="A79" s="14" t="s">
        <v>140</v>
      </c>
      <c r="B79" s="32"/>
      <c r="D79" s="16"/>
      <c r="E79" s="15">
        <v>124227.13</v>
      </c>
      <c r="F79" s="16"/>
      <c r="G79" s="15">
        <v>24216.07</v>
      </c>
      <c r="H79" s="16"/>
      <c r="J79" s="3"/>
      <c r="K79" s="15">
        <v>66317.26</v>
      </c>
      <c r="L79" s="71"/>
      <c r="M79" s="175">
        <f>'App 2-E'!N79</f>
        <v>7309</v>
      </c>
      <c r="N79" s="34"/>
      <c r="O79" s="175">
        <f>'App 2-E'!V79</f>
        <v>155405.477047</v>
      </c>
      <c r="Q79" s="73">
        <f t="shared" si="10"/>
        <v>148096.477047</v>
      </c>
      <c r="S79" s="74">
        <f t="shared" si="8"/>
        <v>21.262207832398413</v>
      </c>
      <c r="T79" s="90"/>
      <c r="U79" s="175">
        <f>'App 2-E'!R79</f>
        <v>70227.74</v>
      </c>
      <c r="V79" s="34"/>
      <c r="W79" s="171">
        <f>'App 2-E'!V79</f>
        <v>155405.477047</v>
      </c>
      <c r="Y79" s="73">
        <f t="shared" si="7"/>
        <v>85177.73704699999</v>
      </c>
      <c r="AA79" s="74">
        <f t="shared" si="9"/>
        <v>2.212878800414195</v>
      </c>
    </row>
    <row r="80" spans="1:27" s="1" customFormat="1" ht="15">
      <c r="A80" s="14" t="s">
        <v>142</v>
      </c>
      <c r="B80" s="32"/>
      <c r="D80" s="16"/>
      <c r="E80" s="15">
        <v>0</v>
      </c>
      <c r="F80" s="16"/>
      <c r="G80" s="15">
        <v>0</v>
      </c>
      <c r="H80" s="16"/>
      <c r="J80" s="3"/>
      <c r="K80" s="15">
        <v>0</v>
      </c>
      <c r="L80" s="71"/>
      <c r="M80" s="175">
        <f>'App 2-E'!N80</f>
        <v>20347</v>
      </c>
      <c r="N80" s="34"/>
      <c r="O80" s="175">
        <f>'App 2-E'!V80</f>
        <v>28714.786196</v>
      </c>
      <c r="Q80" s="73">
        <f t="shared" si="10"/>
        <v>8367.786196000001</v>
      </c>
      <c r="S80" s="74">
        <f t="shared" si="8"/>
        <v>1.4112540519978376</v>
      </c>
      <c r="T80" s="90"/>
      <c r="U80" s="175">
        <f>'App 2-E'!R80</f>
        <v>27066.44</v>
      </c>
      <c r="V80" s="34"/>
      <c r="W80" s="171">
        <f>'App 2-E'!V80</f>
        <v>28714.786196</v>
      </c>
      <c r="Y80" s="73">
        <f t="shared" si="7"/>
        <v>1648.3461960000022</v>
      </c>
      <c r="AA80" s="74">
        <f t="shared" si="9"/>
        <v>1.0609000000000002</v>
      </c>
    </row>
    <row r="81" spans="1:27" s="1" customFormat="1" ht="15">
      <c r="A81" s="14" t="s">
        <v>539</v>
      </c>
      <c r="B81" s="32"/>
      <c r="D81" s="16"/>
      <c r="E81" s="15">
        <v>1000</v>
      </c>
      <c r="F81" s="16"/>
      <c r="G81" s="15">
        <v>0</v>
      </c>
      <c r="H81" s="16"/>
      <c r="J81" s="3"/>
      <c r="K81" s="15">
        <v>0</v>
      </c>
      <c r="L81" s="71"/>
      <c r="M81" s="175">
        <f>'App 2-E'!N81</f>
        <v>48141</v>
      </c>
      <c r="N81" s="34"/>
      <c r="O81" s="175">
        <f>'App 2-E'!V81</f>
        <v>62374.894088</v>
      </c>
      <c r="Q81" s="73">
        <f t="shared" si="10"/>
        <v>14233.894088000001</v>
      </c>
      <c r="S81" s="74">
        <f t="shared" si="8"/>
        <v>1.2956709268191355</v>
      </c>
      <c r="T81" s="90"/>
      <c r="U81" s="175">
        <f>'App 2-E'!R81</f>
        <v>58794.32</v>
      </c>
      <c r="V81" s="34"/>
      <c r="W81" s="171">
        <f>'App 2-E'!V81</f>
        <v>62374.894088</v>
      </c>
      <c r="Y81" s="73">
        <f t="shared" si="7"/>
        <v>3580.574088000001</v>
      </c>
      <c r="AA81" s="74">
        <f t="shared" si="9"/>
        <v>1.0609</v>
      </c>
    </row>
    <row r="82" spans="1:27" s="1" customFormat="1" ht="15">
      <c r="A82" s="14" t="s">
        <v>146</v>
      </c>
      <c r="B82" s="32"/>
      <c r="D82" s="16"/>
      <c r="E82" s="15">
        <v>0</v>
      </c>
      <c r="F82" s="16"/>
      <c r="G82" s="15">
        <v>0</v>
      </c>
      <c r="H82" s="16"/>
      <c r="J82" s="3"/>
      <c r="K82" s="15">
        <v>0</v>
      </c>
      <c r="L82" s="71"/>
      <c r="M82" s="175">
        <f>'App 2-E'!N82</f>
        <v>0</v>
      </c>
      <c r="N82" s="34"/>
      <c r="O82" s="175">
        <f>'App 2-E'!V82</f>
        <v>0</v>
      </c>
      <c r="Q82" s="73">
        <f t="shared" si="10"/>
        <v>0</v>
      </c>
      <c r="S82" s="74" t="str">
        <f t="shared" si="8"/>
        <v> </v>
      </c>
      <c r="T82" s="90"/>
      <c r="U82" s="175">
        <f>'App 2-E'!R82</f>
        <v>0</v>
      </c>
      <c r="V82" s="34"/>
      <c r="W82" s="171">
        <f>'App 2-E'!V82</f>
        <v>0</v>
      </c>
      <c r="Y82" s="73">
        <f t="shared" si="7"/>
        <v>0</v>
      </c>
      <c r="AA82" s="74" t="str">
        <f t="shared" si="9"/>
        <v> </v>
      </c>
    </row>
    <row r="83" spans="1:27" s="1" customFormat="1" ht="15">
      <c r="A83" s="14" t="s">
        <v>147</v>
      </c>
      <c r="B83" s="32"/>
      <c r="D83" s="16"/>
      <c r="E83" s="15">
        <v>0</v>
      </c>
      <c r="F83" s="16"/>
      <c r="G83" s="15">
        <v>0</v>
      </c>
      <c r="H83" s="16"/>
      <c r="J83" s="3"/>
      <c r="K83" s="15">
        <v>0</v>
      </c>
      <c r="L83" s="71"/>
      <c r="M83" s="175">
        <f>'App 2-E'!N83</f>
        <v>0</v>
      </c>
      <c r="N83" s="34"/>
      <c r="O83" s="175">
        <f>'App 2-E'!V83</f>
        <v>0</v>
      </c>
      <c r="Q83" s="73">
        <f t="shared" si="10"/>
        <v>0</v>
      </c>
      <c r="S83" s="74" t="str">
        <f t="shared" si="8"/>
        <v> </v>
      </c>
      <c r="T83" s="90"/>
      <c r="U83" s="175">
        <f>'App 2-E'!R83</f>
        <v>0</v>
      </c>
      <c r="V83" s="34"/>
      <c r="W83" s="171">
        <f>'App 2-E'!V83</f>
        <v>0</v>
      </c>
      <c r="Y83" s="73">
        <f t="shared" si="7"/>
        <v>0</v>
      </c>
      <c r="AA83" s="74" t="str">
        <f t="shared" si="9"/>
        <v> </v>
      </c>
    </row>
    <row r="84" spans="1:27" s="1" customFormat="1" ht="15">
      <c r="A84" s="14" t="s">
        <v>149</v>
      </c>
      <c r="B84" s="32"/>
      <c r="D84" s="16"/>
      <c r="E84" s="15">
        <v>12109.97</v>
      </c>
      <c r="F84" s="16"/>
      <c r="G84" s="15">
        <v>38246.27</v>
      </c>
      <c r="H84" s="16"/>
      <c r="J84" s="3"/>
      <c r="K84" s="15">
        <v>54605.84702</v>
      </c>
      <c r="L84" s="71"/>
      <c r="M84" s="175">
        <f>'App 2-E'!N84</f>
        <v>85631</v>
      </c>
      <c r="N84" s="34"/>
      <c r="O84" s="175">
        <f>'App 2-E'!V84</f>
        <v>103562.33303200001</v>
      </c>
      <c r="Q84" s="73">
        <f t="shared" si="10"/>
        <v>17931.33303200001</v>
      </c>
      <c r="S84" s="74">
        <f t="shared" si="8"/>
        <v>1.2094023546612793</v>
      </c>
      <c r="T84" s="90"/>
      <c r="U84" s="175">
        <f>'App 2-E'!R84</f>
        <v>58782.48</v>
      </c>
      <c r="V84" s="34"/>
      <c r="W84" s="171">
        <f>'App 2-E'!V84</f>
        <v>103562.33303200001</v>
      </c>
      <c r="Y84" s="73">
        <f t="shared" si="7"/>
        <v>44779.853032000006</v>
      </c>
      <c r="AA84" s="74">
        <f t="shared" si="9"/>
        <v>1.7617891084554447</v>
      </c>
    </row>
    <row r="85" spans="1:27" s="1" customFormat="1" ht="15">
      <c r="A85" s="14" t="s">
        <v>151</v>
      </c>
      <c r="B85" s="32"/>
      <c r="D85" s="16"/>
      <c r="E85" s="15">
        <v>0</v>
      </c>
      <c r="F85" s="16"/>
      <c r="G85" s="15">
        <v>0</v>
      </c>
      <c r="H85" s="16"/>
      <c r="J85" s="3"/>
      <c r="K85" s="15">
        <v>0</v>
      </c>
      <c r="L85" s="71"/>
      <c r="M85" s="175">
        <f>'App 2-E'!N85</f>
        <v>2050</v>
      </c>
      <c r="N85" s="34"/>
      <c r="O85" s="175">
        <f>'App 2-E'!V85</f>
        <v>4660.390433333334</v>
      </c>
      <c r="Q85" s="73">
        <f t="shared" si="10"/>
        <v>2610.390433333334</v>
      </c>
      <c r="S85" s="74">
        <f t="shared" si="8"/>
        <v>2.2733611869918704</v>
      </c>
      <c r="T85" s="90"/>
      <c r="U85" s="175">
        <f>'App 2-E'!R85</f>
        <v>2212.81</v>
      </c>
      <c r="V85" s="34"/>
      <c r="W85" s="171">
        <f>'App 2-E'!V85</f>
        <v>4660.390433333334</v>
      </c>
      <c r="Y85" s="73">
        <f t="shared" si="7"/>
        <v>2447.580433333334</v>
      </c>
      <c r="AA85" s="74">
        <f t="shared" si="9"/>
        <v>2.1060960648828115</v>
      </c>
    </row>
    <row r="86" spans="1:27" s="1" customFormat="1" ht="15">
      <c r="A86" s="14" t="s">
        <v>153</v>
      </c>
      <c r="B86" s="32"/>
      <c r="D86" s="16"/>
      <c r="E86" s="15">
        <v>0</v>
      </c>
      <c r="F86" s="16"/>
      <c r="G86" s="15">
        <v>0</v>
      </c>
      <c r="H86" s="16"/>
      <c r="J86" s="3"/>
      <c r="K86" s="15">
        <v>17000</v>
      </c>
      <c r="L86" s="71"/>
      <c r="M86" s="175">
        <f>'App 2-E'!N86</f>
        <v>2450</v>
      </c>
      <c r="N86" s="34"/>
      <c r="O86" s="175">
        <f>'App 2-E'!V86</f>
        <v>855.3257333333333</v>
      </c>
      <c r="Q86" s="73">
        <f t="shared" si="10"/>
        <v>-1594.6742666666667</v>
      </c>
      <c r="S86" s="74">
        <f t="shared" si="8"/>
        <v>0.34911254421768706</v>
      </c>
      <c r="T86" s="90"/>
      <c r="U86" s="175">
        <f>'App 2-E'!R86</f>
        <v>0</v>
      </c>
      <c r="V86" s="34"/>
      <c r="W86" s="171">
        <f>'App 2-E'!V86</f>
        <v>855.3257333333333</v>
      </c>
      <c r="Y86" s="73">
        <f t="shared" si="7"/>
        <v>855.3257333333333</v>
      </c>
      <c r="AA86" s="74" t="str">
        <f t="shared" si="9"/>
        <v> </v>
      </c>
    </row>
    <row r="87" spans="1:27" s="1" customFormat="1" ht="15">
      <c r="A87" s="14" t="s">
        <v>155</v>
      </c>
      <c r="B87" s="32"/>
      <c r="D87" s="16"/>
      <c r="E87" s="15">
        <v>0</v>
      </c>
      <c r="F87" s="16"/>
      <c r="G87" s="15">
        <v>50351.37</v>
      </c>
      <c r="H87" s="16"/>
      <c r="J87" s="3"/>
      <c r="K87" s="15">
        <v>50599.6875</v>
      </c>
      <c r="L87" s="71"/>
      <c r="M87" s="175">
        <f>'App 2-E'!N87</f>
        <v>0</v>
      </c>
      <c r="N87" s="34"/>
      <c r="O87" s="175">
        <f>'App 2-E'!V87</f>
        <v>0</v>
      </c>
      <c r="Q87" s="73">
        <f t="shared" si="10"/>
        <v>0</v>
      </c>
      <c r="S87" s="74" t="str">
        <f t="shared" si="8"/>
        <v> </v>
      </c>
      <c r="T87" s="90"/>
      <c r="U87" s="175">
        <f>'App 2-E'!R87</f>
        <v>0</v>
      </c>
      <c r="V87" s="34"/>
      <c r="W87" s="171">
        <f>'App 2-E'!V87</f>
        <v>0</v>
      </c>
      <c r="Y87" s="73">
        <f t="shared" si="7"/>
        <v>0</v>
      </c>
      <c r="AA87" s="74" t="str">
        <f t="shared" si="9"/>
        <v> </v>
      </c>
    </row>
    <row r="88" spans="1:27" s="1" customFormat="1" ht="15">
      <c r="A88" s="14" t="s">
        <v>157</v>
      </c>
      <c r="B88" s="32"/>
      <c r="D88" s="16"/>
      <c r="E88" s="15">
        <v>0</v>
      </c>
      <c r="F88" s="16"/>
      <c r="G88" s="15">
        <v>0</v>
      </c>
      <c r="H88" s="16"/>
      <c r="J88" s="3"/>
      <c r="K88" s="15">
        <v>25385.520865384613</v>
      </c>
      <c r="L88" s="71"/>
      <c r="M88" s="175">
        <f>'App 2-E'!N88</f>
        <v>28575</v>
      </c>
      <c r="N88" s="34"/>
      <c r="O88" s="175">
        <f>'App 2-E'!V88</f>
        <v>84370.889674</v>
      </c>
      <c r="Q88" s="73">
        <f t="shared" si="10"/>
        <v>55795.889674000005</v>
      </c>
      <c r="S88" s="74">
        <f t="shared" si="8"/>
        <v>2.95261206208224</v>
      </c>
      <c r="T88" s="90"/>
      <c r="U88" s="175">
        <f>'App 2-E'!R88</f>
        <v>32397.86</v>
      </c>
      <c r="V88" s="34"/>
      <c r="W88" s="171">
        <f>'App 2-E'!V88</f>
        <v>84370.889674</v>
      </c>
      <c r="Y88" s="73">
        <f t="shared" si="7"/>
        <v>51973.029674000005</v>
      </c>
      <c r="AA88" s="74">
        <f t="shared" si="9"/>
        <v>2.604211811335687</v>
      </c>
    </row>
    <row r="89" spans="1:27" s="1" customFormat="1" ht="15">
      <c r="A89" s="14" t="s">
        <v>158</v>
      </c>
      <c r="B89" s="32"/>
      <c r="D89" s="16"/>
      <c r="E89" s="15">
        <v>0</v>
      </c>
      <c r="F89" s="16"/>
      <c r="G89" s="15">
        <v>0</v>
      </c>
      <c r="H89" s="16"/>
      <c r="J89" s="3"/>
      <c r="K89" s="15">
        <v>0</v>
      </c>
      <c r="L89" s="71"/>
      <c r="M89" s="175">
        <f>'App 2-E'!N89</f>
        <v>29704</v>
      </c>
      <c r="N89" s="34"/>
      <c r="O89" s="175">
        <f>'App 2-E'!V89</f>
        <v>47545.53363333333</v>
      </c>
      <c r="Q89" s="73">
        <f t="shared" si="10"/>
        <v>17841.533633333333</v>
      </c>
      <c r="S89" s="74">
        <f t="shared" si="8"/>
        <v>1.6006441433252536</v>
      </c>
      <c r="T89" s="90"/>
      <c r="U89" s="175">
        <f>'App 2-E'!R89</f>
        <v>53616.02</v>
      </c>
      <c r="V89" s="34"/>
      <c r="W89" s="171">
        <f>'App 2-E'!V89</f>
        <v>47545.53363333333</v>
      </c>
      <c r="Y89" s="73">
        <f t="shared" si="7"/>
        <v>-6070.486366666664</v>
      </c>
      <c r="AA89" s="74">
        <f t="shared" si="9"/>
        <v>0.8867784970487055</v>
      </c>
    </row>
    <row r="90" spans="1:27" s="1" customFormat="1" ht="15">
      <c r="A90" s="14" t="s">
        <v>342</v>
      </c>
      <c r="B90" s="32"/>
      <c r="D90" s="16"/>
      <c r="E90" s="15"/>
      <c r="F90" s="16"/>
      <c r="G90" s="15"/>
      <c r="H90" s="16"/>
      <c r="J90" s="3"/>
      <c r="K90" s="15"/>
      <c r="L90" s="71"/>
      <c r="M90" s="175">
        <f>'App 2-E'!N90</f>
        <v>0</v>
      </c>
      <c r="N90" s="34"/>
      <c r="O90" s="175">
        <f>'App 2-E'!V90</f>
        <v>0</v>
      </c>
      <c r="Q90" s="73">
        <f t="shared" si="10"/>
        <v>0</v>
      </c>
      <c r="S90" s="74" t="str">
        <f t="shared" si="8"/>
        <v> </v>
      </c>
      <c r="T90" s="90"/>
      <c r="U90" s="175">
        <f>'App 2-E'!R90</f>
        <v>106153</v>
      </c>
      <c r="V90" s="34"/>
      <c r="W90" s="171">
        <f>'App 2-E'!V90</f>
        <v>0</v>
      </c>
      <c r="Y90" s="73">
        <f t="shared" si="7"/>
        <v>-106153</v>
      </c>
      <c r="AA90" s="74">
        <f t="shared" si="9"/>
        <v>0</v>
      </c>
    </row>
    <row r="91" spans="1:27" s="1" customFormat="1" ht="15">
      <c r="A91" s="14" t="s">
        <v>159</v>
      </c>
      <c r="B91" s="32"/>
      <c r="D91" s="16"/>
      <c r="E91" s="15">
        <v>0</v>
      </c>
      <c r="F91" s="16"/>
      <c r="G91" s="15">
        <v>0</v>
      </c>
      <c r="H91" s="16"/>
      <c r="J91" s="3"/>
      <c r="K91" s="15">
        <v>0</v>
      </c>
      <c r="L91" s="71"/>
      <c r="M91" s="175">
        <f>'App 2-E'!N91</f>
        <v>0</v>
      </c>
      <c r="N91" s="34"/>
      <c r="O91" s="175">
        <f>'App 2-E'!V91</f>
        <v>0</v>
      </c>
      <c r="Q91" s="73">
        <f t="shared" si="10"/>
        <v>0</v>
      </c>
      <c r="S91" s="74" t="str">
        <f t="shared" si="8"/>
        <v> </v>
      </c>
      <c r="T91" s="90"/>
      <c r="U91" s="175">
        <f>'App 2-E'!R91</f>
        <v>0</v>
      </c>
      <c r="V91" s="34"/>
      <c r="W91" s="171">
        <f>'App 2-E'!V91</f>
        <v>0</v>
      </c>
      <c r="Y91" s="73">
        <f t="shared" si="7"/>
        <v>0</v>
      </c>
      <c r="AA91" s="74" t="str">
        <f t="shared" si="9"/>
        <v> </v>
      </c>
    </row>
    <row r="92" spans="1:27" s="1" customFormat="1" ht="15">
      <c r="A92" s="14" t="s">
        <v>343</v>
      </c>
      <c r="B92" s="32"/>
      <c r="D92" s="16"/>
      <c r="E92" s="15"/>
      <c r="F92" s="16"/>
      <c r="G92" s="15"/>
      <c r="H92" s="16"/>
      <c r="J92" s="3"/>
      <c r="K92" s="15"/>
      <c r="L92" s="71"/>
      <c r="M92" s="175">
        <f>'App 2-E'!N92</f>
        <v>0</v>
      </c>
      <c r="N92" s="34"/>
      <c r="O92" s="175">
        <f>'App 2-E'!V92</f>
        <v>0</v>
      </c>
      <c r="Q92" s="73">
        <f t="shared" si="10"/>
        <v>0</v>
      </c>
      <c r="S92" s="74" t="str">
        <f t="shared" si="8"/>
        <v> </v>
      </c>
      <c r="T92" s="90"/>
      <c r="U92" s="175">
        <f>'App 2-E'!R92</f>
        <v>-53778.14</v>
      </c>
      <c r="V92" s="34"/>
      <c r="W92" s="171">
        <f>'App 2-E'!V92</f>
        <v>0</v>
      </c>
      <c r="Y92" s="73">
        <f t="shared" si="7"/>
        <v>53778.14</v>
      </c>
      <c r="AA92" s="74">
        <f t="shared" si="9"/>
        <v>0</v>
      </c>
    </row>
    <row r="93" spans="1:27" s="20" customFormat="1" ht="15">
      <c r="A93" s="28" t="s">
        <v>60</v>
      </c>
      <c r="B93" s="29">
        <f>SUM(B74:B91)</f>
        <v>0</v>
      </c>
      <c r="D93" s="94"/>
      <c r="E93" s="30">
        <f>SUM(E74:E91)</f>
        <v>347580.44999999995</v>
      </c>
      <c r="F93" s="94"/>
      <c r="G93" s="30">
        <f>SUM(G74:G91)</f>
        <v>464189.10000000003</v>
      </c>
      <c r="H93" s="94"/>
      <c r="J93" s="95"/>
      <c r="K93" s="30">
        <f>SUM(K74:K91)</f>
        <v>551175.3014953845</v>
      </c>
      <c r="L93" s="77"/>
      <c r="M93" s="30">
        <f>SUM(M74:M92)</f>
        <v>741765.34</v>
      </c>
      <c r="N93" s="85"/>
      <c r="O93" s="30">
        <f>SUM(O74:O92)</f>
        <v>1281489.1994170004</v>
      </c>
      <c r="Q93" s="78">
        <f>O93-M93</f>
        <v>539723.8594170004</v>
      </c>
      <c r="S93" s="76">
        <f t="shared" si="8"/>
        <v>1.7276207586310253</v>
      </c>
      <c r="T93" s="96"/>
      <c r="U93" s="30">
        <f>SUM(U74:U92)</f>
        <v>1019723.7100000001</v>
      </c>
      <c r="V93" s="85"/>
      <c r="W93" s="179">
        <f>O93</f>
        <v>1281489.1994170004</v>
      </c>
      <c r="Y93" s="78">
        <f t="shared" si="7"/>
        <v>261765.48941700032</v>
      </c>
      <c r="AA93" s="76">
        <f t="shared" si="9"/>
        <v>1.2567023663860875</v>
      </c>
    </row>
    <row r="94" spans="1:27" s="1" customFormat="1" ht="15">
      <c r="A94" s="313"/>
      <c r="B94" s="313"/>
      <c r="C94" s="313"/>
      <c r="D94" s="313"/>
      <c r="E94" s="313"/>
      <c r="F94" s="313"/>
      <c r="G94" s="313"/>
      <c r="H94" s="13"/>
      <c r="J94" s="3"/>
      <c r="K94" s="13"/>
      <c r="L94" s="13"/>
      <c r="M94" s="171"/>
      <c r="N94" s="34"/>
      <c r="O94" s="171"/>
      <c r="Q94" s="72"/>
      <c r="S94" s="74" t="str">
        <f t="shared" si="8"/>
        <v> </v>
      </c>
      <c r="T94" s="90"/>
      <c r="U94" s="171"/>
      <c r="V94" s="34"/>
      <c r="W94" s="171">
        <f>O94</f>
        <v>0</v>
      </c>
      <c r="Y94" s="73"/>
      <c r="AA94" s="74" t="str">
        <f t="shared" si="9"/>
        <v> </v>
      </c>
    </row>
    <row r="95" spans="1:27" s="1" customFormat="1" ht="15">
      <c r="A95" s="12" t="s">
        <v>160</v>
      </c>
      <c r="B95" s="46">
        <f>B29+B50+B61+B71+B93</f>
        <v>0</v>
      </c>
      <c r="C95" s="93"/>
      <c r="D95" s="47"/>
      <c r="E95" s="30">
        <f>E29+E50+E61+E71+E93</f>
        <v>1109309.5899999999</v>
      </c>
      <c r="F95" s="48"/>
      <c r="G95" s="30">
        <f>G29+G50+G61+G71+G93</f>
        <v>1216113.73</v>
      </c>
      <c r="H95" s="30">
        <f>H29+H50+H61+H71+H93</f>
        <v>0</v>
      </c>
      <c r="J95" s="30">
        <f>J29+J50+J61+J71+J93</f>
        <v>0</v>
      </c>
      <c r="K95" s="30">
        <f>K29+K50+K61+K71+K93</f>
        <v>1424803.1094153845</v>
      </c>
      <c r="L95" s="77"/>
      <c r="M95" s="30">
        <f>M29+M50+M61+M71+M93</f>
        <v>1884617.3399999999</v>
      </c>
      <c r="N95" s="34"/>
      <c r="O95" s="30">
        <f>O29+O50+O61+O71+O93</f>
        <v>3067313.6851790007</v>
      </c>
      <c r="Q95" s="78">
        <f>O95-M95</f>
        <v>1182696.3451790009</v>
      </c>
      <c r="S95" s="76">
        <f t="shared" si="8"/>
        <v>1.6275525116302925</v>
      </c>
      <c r="T95" s="90"/>
      <c r="U95" s="30">
        <f>U29+U50+U61+U71+U93</f>
        <v>2099690.21</v>
      </c>
      <c r="V95" s="34"/>
      <c r="W95" s="179">
        <f>O95</f>
        <v>3067313.6851790007</v>
      </c>
      <c r="Y95" s="78">
        <f t="shared" si="7"/>
        <v>967623.4751790008</v>
      </c>
      <c r="AA95" s="76">
        <f t="shared" si="9"/>
        <v>1.4608410662537692</v>
      </c>
    </row>
    <row r="96" spans="1:25" s="1" customFormat="1" ht="15">
      <c r="A96" s="12"/>
      <c r="B96" s="49"/>
      <c r="C96" s="50"/>
      <c r="D96" s="47"/>
      <c r="E96" s="50"/>
      <c r="F96" s="47"/>
      <c r="G96" s="50"/>
      <c r="H96" s="47"/>
      <c r="I96" s="50"/>
      <c r="J96" s="13"/>
      <c r="K96" s="50"/>
      <c r="L96" s="50"/>
      <c r="M96" s="50"/>
      <c r="N96" s="34"/>
      <c r="O96" s="50"/>
      <c r="T96" s="90"/>
      <c r="U96" s="34"/>
      <c r="V96" s="34"/>
      <c r="W96" s="34"/>
      <c r="Y96" s="80"/>
    </row>
    <row r="97" spans="1:25" s="1" customFormat="1" ht="15">
      <c r="A97" s="12"/>
      <c r="B97" s="51"/>
      <c r="C97" s="79"/>
      <c r="D97" s="16"/>
      <c r="E97" s="52"/>
      <c r="F97" s="16"/>
      <c r="G97" s="52"/>
      <c r="H97" s="16"/>
      <c r="I97" s="52"/>
      <c r="J97" s="3"/>
      <c r="K97" s="52"/>
      <c r="L97" s="52"/>
      <c r="M97" s="81"/>
      <c r="N97" s="34"/>
      <c r="O97" s="81"/>
      <c r="T97" s="90"/>
      <c r="U97" s="34"/>
      <c r="V97" s="34"/>
      <c r="W97" s="34"/>
      <c r="Y97" s="80"/>
    </row>
    <row r="98" spans="1:25" s="1" customFormat="1" ht="15">
      <c r="A98" s="82"/>
      <c r="B98" s="83"/>
      <c r="C98" s="66"/>
      <c r="D98" s="47"/>
      <c r="E98" s="66">
        <v>0</v>
      </c>
      <c r="F98" s="47"/>
      <c r="G98" s="66">
        <v>0</v>
      </c>
      <c r="H98" s="47"/>
      <c r="I98" s="66">
        <v>0</v>
      </c>
      <c r="J98" s="67"/>
      <c r="K98" s="66">
        <v>0</v>
      </c>
      <c r="L98" s="66"/>
      <c r="M98" s="66"/>
      <c r="N98" s="34"/>
      <c r="O98" s="66"/>
      <c r="T98" s="90"/>
      <c r="U98" s="34"/>
      <c r="V98" s="34"/>
      <c r="W98" s="34"/>
      <c r="Y98" s="80"/>
    </row>
    <row r="99" spans="1:25" s="1" customFormat="1" ht="15">
      <c r="A99" s="84"/>
      <c r="B99" s="56">
        <f>SUM(B98)</f>
        <v>0</v>
      </c>
      <c r="C99" s="50"/>
      <c r="D99" s="47"/>
      <c r="E99" s="50">
        <f>SUM(E98)</f>
        <v>0</v>
      </c>
      <c r="F99" s="47"/>
      <c r="G99" s="50">
        <f>SUM(G98)</f>
        <v>0</v>
      </c>
      <c r="H99" s="47"/>
      <c r="I99" s="50">
        <f>SUM(I98)</f>
        <v>0</v>
      </c>
      <c r="J99" s="67"/>
      <c r="K99" s="50">
        <f>SUM(K98)</f>
        <v>0</v>
      </c>
      <c r="L99" s="50"/>
      <c r="M99" s="50"/>
      <c r="N99" s="34"/>
      <c r="O99" s="50"/>
      <c r="T99" s="90"/>
      <c r="U99" s="34"/>
      <c r="V99" s="34"/>
      <c r="W99" s="34"/>
      <c r="Y99" s="80"/>
    </row>
    <row r="100" spans="1:23" s="1" customFormat="1" ht="15">
      <c r="A100" s="316"/>
      <c r="B100" s="316"/>
      <c r="C100" s="316"/>
      <c r="D100" s="316"/>
      <c r="E100" s="316"/>
      <c r="F100" s="316"/>
      <c r="G100" s="316"/>
      <c r="H100" s="67"/>
      <c r="I100" s="67"/>
      <c r="J100" s="67"/>
      <c r="K100" s="67"/>
      <c r="L100" s="67"/>
      <c r="M100" s="67"/>
      <c r="N100" s="34"/>
      <c r="O100" s="67"/>
      <c r="T100" s="90"/>
      <c r="U100" s="34"/>
      <c r="V100" s="34"/>
      <c r="W100" s="34"/>
    </row>
    <row r="101" spans="1:23" s="1" customFormat="1" ht="15">
      <c r="A101" s="85"/>
      <c r="B101" s="86"/>
      <c r="C101" s="87"/>
      <c r="D101" s="47"/>
      <c r="E101" s="47"/>
      <c r="F101" s="47"/>
      <c r="G101" s="47"/>
      <c r="H101" s="47"/>
      <c r="I101" s="47"/>
      <c r="J101" s="67"/>
      <c r="K101" s="47"/>
      <c r="L101" s="47"/>
      <c r="M101" s="47"/>
      <c r="N101" s="34"/>
      <c r="O101" s="47"/>
      <c r="U101" s="34"/>
      <c r="V101" s="34"/>
      <c r="W101" s="34"/>
    </row>
    <row r="102" spans="1:23" s="1" customFormat="1" ht="15">
      <c r="A102" s="82"/>
      <c r="B102" s="83"/>
      <c r="C102" s="66"/>
      <c r="D102" s="81"/>
      <c r="E102" s="66">
        <v>381232.75</v>
      </c>
      <c r="F102" s="81"/>
      <c r="G102" s="66">
        <v>375674.33999999997</v>
      </c>
      <c r="H102" s="81"/>
      <c r="I102" s="66">
        <v>384027.02</v>
      </c>
      <c r="J102" s="67"/>
      <c r="K102" s="66">
        <v>350053.6642</v>
      </c>
      <c r="L102" s="66"/>
      <c r="M102" s="66"/>
      <c r="N102" s="34"/>
      <c r="O102" s="66"/>
      <c r="U102" s="34"/>
      <c r="V102" s="34"/>
      <c r="W102" s="34"/>
    </row>
    <row r="103" spans="1:23" s="1" customFormat="1" ht="15">
      <c r="A103" s="84"/>
      <c r="B103" s="56">
        <f>SUM(B102)</f>
        <v>0</v>
      </c>
      <c r="C103" s="50"/>
      <c r="D103" s="47"/>
      <c r="E103" s="50">
        <f>SUM(E102)</f>
        <v>381232.75</v>
      </c>
      <c r="F103" s="47"/>
      <c r="G103" s="50">
        <f>SUM(G102)</f>
        <v>375674.33999999997</v>
      </c>
      <c r="H103" s="47"/>
      <c r="I103" s="50">
        <f>SUM(I102)</f>
        <v>384027.02</v>
      </c>
      <c r="J103" s="67"/>
      <c r="K103" s="50">
        <f>SUM(K102)</f>
        <v>350053.6642</v>
      </c>
      <c r="L103" s="50"/>
      <c r="M103" s="50"/>
      <c r="N103" s="34"/>
      <c r="O103" s="50"/>
      <c r="U103" s="34"/>
      <c r="V103" s="34"/>
      <c r="W103" s="34"/>
    </row>
    <row r="104" spans="1:23" s="1" customFormat="1" ht="15">
      <c r="A104" s="88"/>
      <c r="B104" s="89"/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U104" s="34"/>
      <c r="V104" s="34"/>
      <c r="W104" s="34"/>
    </row>
    <row r="105" spans="1:23" s="1" customFormat="1" ht="15">
      <c r="A105" s="85"/>
      <c r="B105" s="83">
        <f>B95+B103</f>
        <v>0</v>
      </c>
      <c r="C105" s="87"/>
      <c r="D105" s="81"/>
      <c r="E105" s="87">
        <f>E95+E103</f>
        <v>1490542.3399999999</v>
      </c>
      <c r="F105" s="81"/>
      <c r="G105" s="87">
        <f>G95+G99+G103</f>
        <v>1591788.0699999998</v>
      </c>
      <c r="H105" s="81"/>
      <c r="I105" s="87">
        <f>U95+I103</f>
        <v>2483717.23</v>
      </c>
      <c r="J105" s="67"/>
      <c r="K105" s="87">
        <f>K95+K99+K103</f>
        <v>1774856.7736153845</v>
      </c>
      <c r="L105" s="87"/>
      <c r="M105" s="87"/>
      <c r="N105" s="87"/>
      <c r="O105" s="87"/>
      <c r="U105" s="34"/>
      <c r="V105" s="34"/>
      <c r="W105" s="34"/>
    </row>
    <row r="106" spans="1:23" s="1" customFormat="1" ht="15">
      <c r="A106" s="85"/>
      <c r="B106" s="83">
        <f>B105*0.01</f>
        <v>0</v>
      </c>
      <c r="C106" s="87"/>
      <c r="D106" s="81"/>
      <c r="E106" s="87">
        <f>E105*0.01</f>
        <v>14905.4234</v>
      </c>
      <c r="F106" s="81"/>
      <c r="G106" s="87">
        <f>G105*0.01</f>
        <v>15917.880699999998</v>
      </c>
      <c r="H106" s="81"/>
      <c r="I106" s="87">
        <f>I105*0.01</f>
        <v>24837.172300000002</v>
      </c>
      <c r="J106" s="67"/>
      <c r="K106" s="87">
        <f>K105*0.01</f>
        <v>17748.567736153844</v>
      </c>
      <c r="L106" s="87"/>
      <c r="M106" s="87"/>
      <c r="N106" s="87"/>
      <c r="O106" s="87"/>
      <c r="U106" s="34"/>
      <c r="V106" s="34"/>
      <c r="W106" s="34"/>
    </row>
    <row r="107" spans="1:23" s="1" customFormat="1" ht="15">
      <c r="A107" s="85"/>
      <c r="B107" s="89"/>
      <c r="C107" s="50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U107" s="34"/>
      <c r="V107" s="34"/>
      <c r="W107" s="34"/>
    </row>
    <row r="108" spans="1:23" s="1" customFormat="1" ht="15">
      <c r="A108" s="2"/>
      <c r="B108" s="6"/>
      <c r="C108" s="7"/>
      <c r="D108" s="3"/>
      <c r="E108" s="3"/>
      <c r="F108" s="3"/>
      <c r="G108" s="3"/>
      <c r="H108" s="3"/>
      <c r="I108" s="3"/>
      <c r="J108" s="3"/>
      <c r="K108" s="3"/>
      <c r="L108" s="3"/>
      <c r="M108" s="67"/>
      <c r="N108" s="67"/>
      <c r="O108" s="67"/>
      <c r="U108" s="34"/>
      <c r="V108" s="34"/>
      <c r="W108" s="34"/>
    </row>
    <row r="109" spans="1:23" s="1" customFormat="1" ht="15">
      <c r="A109" s="2"/>
      <c r="B109" s="6"/>
      <c r="C109" s="7"/>
      <c r="D109" s="3"/>
      <c r="E109" s="7">
        <v>1490542.3399999999</v>
      </c>
      <c r="F109" s="3"/>
      <c r="G109" s="7">
        <v>1591788.0700000003</v>
      </c>
      <c r="H109" s="3"/>
      <c r="I109" s="7">
        <v>1629805.59</v>
      </c>
      <c r="J109" s="3"/>
      <c r="K109" s="7">
        <v>1774856.7736153847</v>
      </c>
      <c r="L109" s="7"/>
      <c r="M109" s="66"/>
      <c r="N109" s="67"/>
      <c r="O109" s="66"/>
      <c r="U109" s="34"/>
      <c r="V109" s="34"/>
      <c r="W109" s="34"/>
    </row>
    <row r="110" spans="5:117" ht="15">
      <c r="E110" s="7">
        <f>E105-E109</f>
        <v>0</v>
      </c>
      <c r="G110" s="7">
        <f>G105-G109</f>
        <v>0</v>
      </c>
      <c r="I110" s="7">
        <f>I105-I109</f>
        <v>853911.6399999999</v>
      </c>
      <c r="K110" s="7">
        <f>K105-K109</f>
        <v>0</v>
      </c>
      <c r="L110" s="7"/>
      <c r="M110" s="176"/>
      <c r="O110" s="176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</sheetData>
  <sheetProtection/>
  <mergeCells count="8">
    <mergeCell ref="A94:G94"/>
    <mergeCell ref="A100:G100"/>
    <mergeCell ref="A1:AA1"/>
    <mergeCell ref="A2:K2"/>
    <mergeCell ref="A30:G30"/>
    <mergeCell ref="A51:G51"/>
    <mergeCell ref="A62:G62"/>
    <mergeCell ref="A72:G7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7" sqref="E7"/>
    </sheetView>
  </sheetViews>
  <sheetFormatPr defaultColWidth="32.421875" defaultRowHeight="15"/>
  <cols>
    <col min="1" max="1" width="32.28125" style="0" bestFit="1" customWidth="1"/>
    <col min="2" max="2" width="20.140625" style="101" bestFit="1" customWidth="1"/>
    <col min="3" max="5" width="14.28125" style="101" bestFit="1" customWidth="1"/>
    <col min="6" max="6" width="15.8515625" style="101" bestFit="1" customWidth="1"/>
    <col min="7" max="7" width="14.28125" style="101" bestFit="1" customWidth="1"/>
  </cols>
  <sheetData>
    <row r="1" spans="1:7" ht="15">
      <c r="A1" s="327" t="s">
        <v>190</v>
      </c>
      <c r="B1" s="327"/>
      <c r="C1" s="327"/>
      <c r="D1" s="327"/>
      <c r="E1" s="327"/>
      <c r="F1" s="327"/>
      <c r="G1" s="327"/>
    </row>
    <row r="2" spans="1:7" s="101" customFormat="1" ht="15">
      <c r="A2" s="132" t="s">
        <v>191</v>
      </c>
      <c r="B2" s="132" t="s">
        <v>176</v>
      </c>
      <c r="C2" s="132" t="s">
        <v>3</v>
      </c>
      <c r="D2" s="132" t="s">
        <v>4</v>
      </c>
      <c r="E2" s="132" t="s">
        <v>171</v>
      </c>
      <c r="F2" s="132" t="s">
        <v>192</v>
      </c>
      <c r="G2" s="132" t="s">
        <v>193</v>
      </c>
    </row>
    <row r="3" spans="1:7" ht="15">
      <c r="A3" s="133" t="s">
        <v>6</v>
      </c>
      <c r="B3" s="134">
        <f>'App 2-E'!B9</f>
        <v>620871</v>
      </c>
      <c r="C3" s="134">
        <f>'App 2-E'!C9</f>
        <v>617177</v>
      </c>
      <c r="D3" s="134">
        <f>'App 2-E'!C18</f>
        <v>505675</v>
      </c>
      <c r="E3" s="134">
        <f>'App 2-E'!C27</f>
        <v>415820.95</v>
      </c>
      <c r="F3" s="134">
        <f>'App 2-E'!B45</f>
        <v>579608.7852</v>
      </c>
      <c r="G3" s="134">
        <f>'App 2-E'!C45</f>
        <v>879396.1671413335</v>
      </c>
    </row>
    <row r="4" spans="1:7" ht="15">
      <c r="A4" s="133" t="s">
        <v>18</v>
      </c>
      <c r="B4" s="134">
        <f>'App 2-E'!B10</f>
        <v>104107</v>
      </c>
      <c r="C4" s="134">
        <f>'App 2-E'!C10</f>
        <v>77337</v>
      </c>
      <c r="D4" s="134">
        <f>'App 2-E'!C19</f>
        <v>139615</v>
      </c>
      <c r="E4" s="134">
        <f>'App 2-E'!C28</f>
        <v>225311.69</v>
      </c>
      <c r="F4" s="134">
        <f>'App 2-E'!B46</f>
        <v>306218.8626</v>
      </c>
      <c r="G4" s="134">
        <f>'App 2-E'!C46</f>
        <v>391785.52180999995</v>
      </c>
    </row>
    <row r="5" spans="1:7" ht="15">
      <c r="A5" s="133" t="s">
        <v>194</v>
      </c>
      <c r="B5" s="134">
        <f>'App 2-E'!B11</f>
        <v>428844</v>
      </c>
      <c r="C5" s="134">
        <f>'App 2-E'!C11</f>
        <v>440285</v>
      </c>
      <c r="D5" s="134">
        <f>'App 2-E'!C20</f>
        <v>407715</v>
      </c>
      <c r="E5" s="134">
        <f>'App 2-E'!C29</f>
        <v>425479.32</v>
      </c>
      <c r="F5" s="134">
        <f>'App 2-E'!B47</f>
        <v>501542.38413333334</v>
      </c>
      <c r="G5" s="134">
        <f>'App 2-E'!C47</f>
        <v>500298.1487953334</v>
      </c>
    </row>
    <row r="6" spans="1:7" ht="15">
      <c r="A6" s="133" t="s">
        <v>24</v>
      </c>
      <c r="B6" s="134">
        <f>'App 2-E'!B12</f>
        <v>19767</v>
      </c>
      <c r="C6" s="134">
        <f>'App 2-E'!C12</f>
        <v>8053</v>
      </c>
      <c r="D6" s="134">
        <f>'App 2-E'!C21</f>
        <v>-4705</v>
      </c>
      <c r="E6" s="134">
        <f>'App 2-E'!C30</f>
        <v>13354.54</v>
      </c>
      <c r="F6" s="134">
        <f>'App 2-E'!B48</f>
        <v>13926.842733333335</v>
      </c>
      <c r="G6" s="134">
        <f>'App 2-E'!C48</f>
        <v>14344.648015333336</v>
      </c>
    </row>
    <row r="7" spans="1:7" ht="15">
      <c r="A7" s="133" t="s">
        <v>195</v>
      </c>
      <c r="B7" s="134">
        <f>'App 2-E'!B13</f>
        <v>921831</v>
      </c>
      <c r="C7" s="134">
        <f>'App 2-E'!C13</f>
        <v>741765.34</v>
      </c>
      <c r="D7" s="134">
        <f>'App 2-E'!C22</f>
        <v>806923.61</v>
      </c>
      <c r="E7" s="134">
        <f>'App 2-E'!C31</f>
        <v>1019723.7100000001</v>
      </c>
      <c r="F7" s="134">
        <f>'App 2-E'!B49</f>
        <v>1047828.9739</v>
      </c>
      <c r="G7" s="134">
        <f>'App 2-E'!C49</f>
        <v>1281489.1994170004</v>
      </c>
    </row>
    <row r="8" spans="1:7" ht="15">
      <c r="A8" s="135" t="s">
        <v>196</v>
      </c>
      <c r="B8" s="136">
        <f>'App 2-E'!B14</f>
        <v>2095420</v>
      </c>
      <c r="C8" s="136">
        <f>'App 2-E'!C14</f>
        <v>1884617.3399999999</v>
      </c>
      <c r="D8" s="136">
        <f>'App 2-E'!C23</f>
        <v>1855223.6099999999</v>
      </c>
      <c r="E8" s="136">
        <f>'App 2-E'!C32</f>
        <v>2099690.21</v>
      </c>
      <c r="F8" s="136">
        <f>'App 2-E'!B50</f>
        <v>2449125.8485666667</v>
      </c>
      <c r="G8" s="136">
        <f>'App 2-E'!C50</f>
        <v>3067313.6851790007</v>
      </c>
    </row>
    <row r="9" spans="1:9" ht="15">
      <c r="A9" s="133" t="s">
        <v>197</v>
      </c>
      <c r="B9" s="137"/>
      <c r="C9" s="139">
        <f>((D8-C8)/D8)</f>
        <v>-0.01584376667133941</v>
      </c>
      <c r="D9" s="112">
        <f>((D8-C8)/D8)</f>
        <v>-0.01584376667133941</v>
      </c>
      <c r="E9" s="112">
        <f>((E8-D8)/E8)</f>
        <v>0.11642984228611519</v>
      </c>
      <c r="F9" s="112">
        <f>((F8-E8)/F8)</f>
        <v>0.14267769815551595</v>
      </c>
      <c r="G9" s="112">
        <f>((G8-F8)/G8)</f>
        <v>0.2015404683255466</v>
      </c>
      <c r="H9" s="106"/>
      <c r="I9" s="105"/>
    </row>
    <row r="10" spans="1:7" ht="26.25">
      <c r="A10" s="308" t="s">
        <v>531</v>
      </c>
      <c r="B10" s="137"/>
      <c r="C10" s="137"/>
      <c r="D10" s="137"/>
      <c r="E10" s="137"/>
      <c r="F10" s="137"/>
      <c r="G10" s="110">
        <f>((G8/B8)^(1/4))-1</f>
        <v>0.099947043866081</v>
      </c>
    </row>
    <row r="11" spans="1:8" ht="26.25">
      <c r="A11" s="308" t="s">
        <v>532</v>
      </c>
      <c r="B11" s="137"/>
      <c r="C11" s="137"/>
      <c r="D11" s="137"/>
      <c r="E11" s="137"/>
      <c r="F11" s="139"/>
      <c r="G11" s="110">
        <f>((G8/C8)^(1/4))-1</f>
        <v>0.1294935426915298</v>
      </c>
      <c r="H11" s="105"/>
    </row>
    <row r="12" spans="1:7" ht="15">
      <c r="A12" s="138" t="s">
        <v>198</v>
      </c>
      <c r="B12" s="137"/>
      <c r="C12" s="111">
        <v>0.024</v>
      </c>
      <c r="D12" s="111">
        <v>0.0031</v>
      </c>
      <c r="E12" s="111">
        <v>0.018</v>
      </c>
      <c r="F12" s="111">
        <v>0.03</v>
      </c>
      <c r="G12" s="111">
        <v>0.03</v>
      </c>
    </row>
    <row r="13" spans="1:7" ht="15">
      <c r="A13" s="140"/>
      <c r="B13" s="141"/>
      <c r="C13" s="141"/>
      <c r="D13" s="141"/>
      <c r="E13" s="141"/>
      <c r="F13" s="141"/>
      <c r="G13" s="141"/>
    </row>
    <row r="16" ht="15">
      <c r="H16" t="s">
        <v>200</v>
      </c>
    </row>
    <row r="17" spans="1:8" ht="15">
      <c r="A17" t="s">
        <v>235</v>
      </c>
      <c r="H17" t="s">
        <v>201</v>
      </c>
    </row>
    <row r="19" spans="1:6" ht="15">
      <c r="A19" s="328" t="s">
        <v>202</v>
      </c>
      <c r="B19" s="329"/>
      <c r="C19" s="329"/>
      <c r="D19" s="329"/>
      <c r="E19" s="329"/>
      <c r="F19" s="329"/>
    </row>
    <row r="20" spans="1:8" ht="17.25" thickBot="1">
      <c r="A20" s="330" t="s">
        <v>203</v>
      </c>
      <c r="B20" s="331"/>
      <c r="C20" s="331"/>
      <c r="D20" s="331"/>
      <c r="E20" s="331"/>
      <c r="F20" s="331"/>
      <c r="G20" s="109">
        <f>((4864025/4253373)^(1/3))-1</f>
        <v>0.04573291091454146</v>
      </c>
      <c r="H20" t="s">
        <v>199</v>
      </c>
    </row>
    <row r="21" spans="1:7" ht="16.5" thickBot="1" thickTop="1">
      <c r="A21" s="119"/>
      <c r="B21" s="119">
        <v>2006</v>
      </c>
      <c r="C21" s="119">
        <v>2007</v>
      </c>
      <c r="D21" s="119">
        <v>2008</v>
      </c>
      <c r="E21" s="119">
        <v>2009</v>
      </c>
      <c r="F21" s="119">
        <v>2010</v>
      </c>
      <c r="G21" s="108"/>
    </row>
    <row r="22" spans="1:6" ht="15.75" thickBot="1">
      <c r="A22" s="113"/>
      <c r="B22" s="332" t="s">
        <v>204</v>
      </c>
      <c r="C22" s="333"/>
      <c r="D22" s="333"/>
      <c r="E22" s="333"/>
      <c r="F22" s="333"/>
    </row>
    <row r="23" spans="1:8" ht="15">
      <c r="A23" s="114" t="s">
        <v>205</v>
      </c>
      <c r="B23" s="115"/>
      <c r="C23" s="115"/>
      <c r="D23" s="115"/>
      <c r="E23" s="115"/>
      <c r="F23" s="120"/>
      <c r="H23" t="s">
        <v>234</v>
      </c>
    </row>
    <row r="24" spans="1:15" ht="15" customHeight="1">
      <c r="A24" s="114" t="s">
        <v>206</v>
      </c>
      <c r="B24" s="116">
        <v>109.1</v>
      </c>
      <c r="C24" s="116">
        <v>111.5</v>
      </c>
      <c r="D24" s="116">
        <v>114.1</v>
      </c>
      <c r="E24" s="116">
        <v>114.4</v>
      </c>
      <c r="F24" s="121">
        <v>116.5</v>
      </c>
      <c r="H24" s="324" t="s">
        <v>222</v>
      </c>
      <c r="I24" s="319" t="s">
        <v>223</v>
      </c>
      <c r="J24" s="319"/>
      <c r="K24" s="318" t="s">
        <v>224</v>
      </c>
      <c r="L24" s="318" t="s">
        <v>225</v>
      </c>
      <c r="M24" s="318"/>
      <c r="N24" s="318"/>
      <c r="O24" s="318"/>
    </row>
    <row r="25" spans="1:15" ht="15" customHeight="1">
      <c r="A25" s="117" t="s">
        <v>207</v>
      </c>
      <c r="B25" s="118">
        <v>108.9</v>
      </c>
      <c r="C25" s="118">
        <v>111.8</v>
      </c>
      <c r="D25" s="118">
        <v>115.7</v>
      </c>
      <c r="E25" s="118">
        <v>121.4</v>
      </c>
      <c r="F25" s="122">
        <v>123.1</v>
      </c>
      <c r="H25" s="324"/>
      <c r="I25" s="319"/>
      <c r="J25" s="319"/>
      <c r="K25" s="318"/>
      <c r="L25" s="319" t="s">
        <v>223</v>
      </c>
      <c r="M25" s="318" t="s">
        <v>224</v>
      </c>
      <c r="N25" s="319" t="s">
        <v>226</v>
      </c>
      <c r="O25" s="319"/>
    </row>
    <row r="26" spans="1:15" ht="15">
      <c r="A26" s="117" t="s">
        <v>208</v>
      </c>
      <c r="B26" s="118">
        <v>113.1</v>
      </c>
      <c r="C26" s="118">
        <v>116.9</v>
      </c>
      <c r="D26" s="118">
        <v>122</v>
      </c>
      <c r="E26" s="118">
        <v>121.6</v>
      </c>
      <c r="F26" s="122">
        <v>123.3</v>
      </c>
      <c r="H26" s="324"/>
      <c r="I26" s="123"/>
      <c r="J26" s="123" t="s">
        <v>227</v>
      </c>
      <c r="K26" s="123"/>
      <c r="L26" s="319"/>
      <c r="M26" s="318"/>
      <c r="N26" s="124" t="s">
        <v>228</v>
      </c>
      <c r="O26" s="124" t="s">
        <v>229</v>
      </c>
    </row>
    <row r="27" spans="1:15" ht="28.5">
      <c r="A27" s="117" t="s">
        <v>209</v>
      </c>
      <c r="B27" s="118">
        <v>102.2</v>
      </c>
      <c r="C27" s="118">
        <v>103.2</v>
      </c>
      <c r="D27" s="118">
        <v>104.6</v>
      </c>
      <c r="E27" s="118">
        <v>107.3</v>
      </c>
      <c r="F27" s="122">
        <v>108.8</v>
      </c>
      <c r="H27" s="125" t="s">
        <v>230</v>
      </c>
      <c r="I27" s="107">
        <v>119.8</v>
      </c>
      <c r="J27" s="107">
        <v>119.7</v>
      </c>
      <c r="K27" s="107">
        <v>117.2</v>
      </c>
      <c r="L27" s="107">
        <v>3.3</v>
      </c>
      <c r="M27" s="107">
        <v>1.6</v>
      </c>
      <c r="N27" s="107">
        <v>1</v>
      </c>
      <c r="O27" s="107">
        <v>1.7</v>
      </c>
    </row>
    <row r="28" spans="1:15" ht="15">
      <c r="A28" s="117" t="s">
        <v>210</v>
      </c>
      <c r="B28" s="118">
        <v>95.8</v>
      </c>
      <c r="C28" s="118">
        <v>95.7</v>
      </c>
      <c r="D28" s="118">
        <v>93.8</v>
      </c>
      <c r="E28" s="118">
        <v>93.4</v>
      </c>
      <c r="F28" s="122">
        <v>91.6</v>
      </c>
      <c r="H28" s="125" t="s">
        <v>231</v>
      </c>
      <c r="I28" s="107">
        <v>119.4</v>
      </c>
      <c r="J28" s="107">
        <v>119.4</v>
      </c>
      <c r="K28" s="107">
        <v>117</v>
      </c>
      <c r="L28" s="107">
        <v>3.3</v>
      </c>
      <c r="M28" s="107">
        <v>1.7</v>
      </c>
      <c r="N28" s="107">
        <v>1.3</v>
      </c>
      <c r="O28" s="107">
        <v>1.8</v>
      </c>
    </row>
    <row r="29" spans="1:15" ht="15">
      <c r="A29" s="117" t="s">
        <v>211</v>
      </c>
      <c r="B29" s="118">
        <v>115.2</v>
      </c>
      <c r="C29" s="118">
        <v>117.1</v>
      </c>
      <c r="D29" s="118">
        <v>119.5</v>
      </c>
      <c r="E29" s="118">
        <v>113.1</v>
      </c>
      <c r="F29" s="122">
        <v>118</v>
      </c>
      <c r="H29" s="125" t="s">
        <v>232</v>
      </c>
      <c r="I29" s="107">
        <v>118.1</v>
      </c>
      <c r="J29" s="107">
        <v>118.5</v>
      </c>
      <c r="K29" s="107">
        <v>116.2</v>
      </c>
      <c r="L29" s="107">
        <v>2.2</v>
      </c>
      <c r="M29" s="107">
        <v>0.9</v>
      </c>
      <c r="N29" s="107">
        <v>0.4</v>
      </c>
      <c r="O29" s="107">
        <v>1.1</v>
      </c>
    </row>
    <row r="30" spans="1:15" ht="15">
      <c r="A30" s="117" t="s">
        <v>212</v>
      </c>
      <c r="B30" s="118">
        <v>105.9</v>
      </c>
      <c r="C30" s="118">
        <v>107.3</v>
      </c>
      <c r="D30" s="118">
        <v>108.8</v>
      </c>
      <c r="E30" s="118">
        <v>112.1</v>
      </c>
      <c r="F30" s="122">
        <v>115.1</v>
      </c>
      <c r="H30" s="125" t="s">
        <v>233</v>
      </c>
      <c r="I30" s="107">
        <v>117.8</v>
      </c>
      <c r="J30" s="107">
        <v>118.5</v>
      </c>
      <c r="K30" s="107">
        <v>116</v>
      </c>
      <c r="L30" s="107">
        <v>2.3</v>
      </c>
      <c r="M30" s="107">
        <v>1.4</v>
      </c>
      <c r="N30" s="107">
        <v>0.9</v>
      </c>
      <c r="O30" s="107">
        <v>1.2</v>
      </c>
    </row>
    <row r="31" spans="1:6" ht="28.5">
      <c r="A31" s="117" t="s">
        <v>213</v>
      </c>
      <c r="B31" s="118">
        <v>100.6</v>
      </c>
      <c r="C31" s="118">
        <v>101.8</v>
      </c>
      <c r="D31" s="118">
        <v>102.2</v>
      </c>
      <c r="E31" s="118">
        <v>103.1</v>
      </c>
      <c r="F31" s="122">
        <v>104</v>
      </c>
    </row>
    <row r="32" spans="1:6" ht="28.5">
      <c r="A32" s="117" t="s">
        <v>214</v>
      </c>
      <c r="B32" s="118">
        <v>121.7</v>
      </c>
      <c r="C32" s="118">
        <v>125.5</v>
      </c>
      <c r="D32" s="118">
        <v>127.5</v>
      </c>
      <c r="E32" s="118">
        <v>130.7</v>
      </c>
      <c r="F32" s="122">
        <v>133.1</v>
      </c>
    </row>
    <row r="33" spans="1:6" ht="15">
      <c r="A33" s="320" t="s">
        <v>215</v>
      </c>
      <c r="B33" s="320"/>
      <c r="C33" s="320"/>
      <c r="D33" s="320"/>
      <c r="E33" s="320"/>
      <c r="F33" s="320"/>
    </row>
    <row r="34" spans="1:6" ht="15">
      <c r="A34" s="117" t="s">
        <v>216</v>
      </c>
      <c r="B34" s="118">
        <v>109.2</v>
      </c>
      <c r="C34" s="118">
        <v>111.4</v>
      </c>
      <c r="D34" s="118">
        <v>113.8</v>
      </c>
      <c r="E34" s="118">
        <v>113</v>
      </c>
      <c r="F34" s="122">
        <v>115.1</v>
      </c>
    </row>
    <row r="35" spans="1:6" ht="15">
      <c r="A35" s="117" t="s">
        <v>217</v>
      </c>
      <c r="B35" s="118">
        <v>107.2</v>
      </c>
      <c r="C35" s="118">
        <v>109.5</v>
      </c>
      <c r="D35" s="118">
        <v>111.3</v>
      </c>
      <c r="E35" s="118">
        <v>113.3</v>
      </c>
      <c r="F35" s="122">
        <v>114.8</v>
      </c>
    </row>
    <row r="36" spans="1:6" ht="15.75" thickBot="1">
      <c r="A36" s="113"/>
      <c r="B36" s="325" t="s">
        <v>218</v>
      </c>
      <c r="C36" s="326"/>
      <c r="D36" s="326"/>
      <c r="E36" s="326"/>
      <c r="F36" s="326"/>
    </row>
    <row r="37" spans="1:6" ht="15">
      <c r="A37" s="114" t="s">
        <v>206</v>
      </c>
      <c r="B37" s="116">
        <v>2</v>
      </c>
      <c r="C37" s="116">
        <v>2.2</v>
      </c>
      <c r="D37" s="116">
        <v>2.3</v>
      </c>
      <c r="E37" s="116">
        <v>0.3</v>
      </c>
      <c r="F37" s="121">
        <v>1.8</v>
      </c>
    </row>
    <row r="38" spans="1:6" ht="15">
      <c r="A38" s="117" t="s">
        <v>207</v>
      </c>
      <c r="B38" s="118">
        <v>2.3</v>
      </c>
      <c r="C38" s="118">
        <v>2.7</v>
      </c>
      <c r="D38" s="118">
        <v>3.5</v>
      </c>
      <c r="E38" s="118">
        <v>4.9</v>
      </c>
      <c r="F38" s="122">
        <v>1.4</v>
      </c>
    </row>
    <row r="39" spans="1:6" ht="15">
      <c r="A39" s="117" t="s">
        <v>208</v>
      </c>
      <c r="B39" s="118">
        <v>3.6</v>
      </c>
      <c r="C39" s="118">
        <v>3.4</v>
      </c>
      <c r="D39" s="118">
        <v>4.4</v>
      </c>
      <c r="E39" s="118">
        <v>-0.3</v>
      </c>
      <c r="F39" s="122">
        <v>1.4</v>
      </c>
    </row>
    <row r="40" spans="1:6" ht="28.5">
      <c r="A40" s="117" t="s">
        <v>209</v>
      </c>
      <c r="B40" s="118">
        <v>0.5</v>
      </c>
      <c r="C40" s="118">
        <v>1</v>
      </c>
      <c r="D40" s="118">
        <v>1.4</v>
      </c>
      <c r="E40" s="118">
        <v>2.6</v>
      </c>
      <c r="F40" s="122">
        <v>1.4</v>
      </c>
    </row>
    <row r="41" spans="1:6" ht="15">
      <c r="A41" s="117" t="s">
        <v>210</v>
      </c>
      <c r="B41" s="118">
        <v>-1.8</v>
      </c>
      <c r="C41" s="118">
        <v>-0.1</v>
      </c>
      <c r="D41" s="118">
        <v>-2</v>
      </c>
      <c r="E41" s="118">
        <v>-0.4</v>
      </c>
      <c r="F41" s="122">
        <v>-1.9</v>
      </c>
    </row>
    <row r="42" spans="1:6" ht="15">
      <c r="A42" s="117" t="s">
        <v>211</v>
      </c>
      <c r="B42" s="118">
        <v>2.9</v>
      </c>
      <c r="C42" s="118">
        <v>1.6</v>
      </c>
      <c r="D42" s="118">
        <v>2</v>
      </c>
      <c r="E42" s="118">
        <v>-5.4</v>
      </c>
      <c r="F42" s="122">
        <v>4.3</v>
      </c>
    </row>
    <row r="43" spans="1:6" ht="15">
      <c r="A43" s="117" t="s">
        <v>212</v>
      </c>
      <c r="B43" s="118">
        <v>1.2</v>
      </c>
      <c r="C43" s="118">
        <v>1.3</v>
      </c>
      <c r="D43" s="118">
        <v>1.4</v>
      </c>
      <c r="E43" s="118">
        <v>3</v>
      </c>
      <c r="F43" s="122">
        <v>2.7</v>
      </c>
    </row>
    <row r="44" spans="1:6" ht="28.5">
      <c r="A44" s="117" t="s">
        <v>213</v>
      </c>
      <c r="B44" s="118">
        <v>-0.2</v>
      </c>
      <c r="C44" s="118">
        <v>1.2</v>
      </c>
      <c r="D44" s="118">
        <v>0.4</v>
      </c>
      <c r="E44" s="118">
        <v>0.9</v>
      </c>
      <c r="F44" s="122">
        <v>0.9</v>
      </c>
    </row>
    <row r="45" spans="1:6" ht="28.5">
      <c r="A45" s="117" t="s">
        <v>214</v>
      </c>
      <c r="B45" s="118">
        <v>2.2</v>
      </c>
      <c r="C45" s="118">
        <v>3.1</v>
      </c>
      <c r="D45" s="118">
        <v>1.6</v>
      </c>
      <c r="E45" s="118">
        <v>2.5</v>
      </c>
      <c r="F45" s="122">
        <v>1.8</v>
      </c>
    </row>
    <row r="46" spans="1:6" ht="15">
      <c r="A46" s="320" t="s">
        <v>215</v>
      </c>
      <c r="B46" s="320"/>
      <c r="C46" s="320"/>
      <c r="D46" s="320"/>
      <c r="E46" s="320"/>
      <c r="F46" s="320"/>
    </row>
    <row r="47" spans="1:6" ht="15">
      <c r="A47" s="117" t="s">
        <v>216</v>
      </c>
      <c r="B47" s="118">
        <v>2</v>
      </c>
      <c r="C47" s="118">
        <v>2</v>
      </c>
      <c r="D47" s="118">
        <v>2.2</v>
      </c>
      <c r="E47" s="118">
        <v>-0.7</v>
      </c>
      <c r="F47" s="122">
        <v>1.9</v>
      </c>
    </row>
    <row r="48" spans="1:6" ht="15">
      <c r="A48" s="117" t="s">
        <v>217</v>
      </c>
      <c r="B48" s="118">
        <v>1.7</v>
      </c>
      <c r="C48" s="118">
        <v>2.1</v>
      </c>
      <c r="D48" s="118">
        <v>1.6</v>
      </c>
      <c r="E48" s="118">
        <v>1.8</v>
      </c>
      <c r="F48" s="122">
        <v>1.3</v>
      </c>
    </row>
    <row r="49" spans="1:6" ht="15">
      <c r="A49" s="321" t="s">
        <v>219</v>
      </c>
      <c r="B49" s="321"/>
      <c r="C49" s="321"/>
      <c r="D49" s="321"/>
      <c r="E49" s="321"/>
      <c r="F49" s="321"/>
    </row>
    <row r="50" spans="1:6" ht="15">
      <c r="A50" s="322" t="s">
        <v>220</v>
      </c>
      <c r="B50" s="322"/>
      <c r="C50" s="322"/>
      <c r="D50" s="322"/>
      <c r="E50" s="322"/>
      <c r="F50" s="322"/>
    </row>
    <row r="51" spans="1:6" ht="15.75" thickBot="1">
      <c r="A51" s="323" t="s">
        <v>221</v>
      </c>
      <c r="B51" s="323"/>
      <c r="C51" s="323"/>
      <c r="D51" s="323"/>
      <c r="E51" s="323"/>
      <c r="F51" s="323"/>
    </row>
    <row r="52" ht="15.75" thickTop="1"/>
  </sheetData>
  <sheetProtection/>
  <mergeCells count="17">
    <mergeCell ref="I24:J25"/>
    <mergeCell ref="A1:G1"/>
    <mergeCell ref="A19:F19"/>
    <mergeCell ref="A20:F20"/>
    <mergeCell ref="B22:F22"/>
    <mergeCell ref="A46:F46"/>
    <mergeCell ref="A49:F49"/>
    <mergeCell ref="A50:F50"/>
    <mergeCell ref="A51:F51"/>
    <mergeCell ref="H24:H26"/>
    <mergeCell ref="A33:F33"/>
    <mergeCell ref="B36:F36"/>
    <mergeCell ref="K24:K25"/>
    <mergeCell ref="L24:O24"/>
    <mergeCell ref="L25:L26"/>
    <mergeCell ref="M25:M26"/>
    <mergeCell ref="N25:O25"/>
  </mergeCells>
  <hyperlinks>
    <hyperlink ref="K24" r:id="rId1" tooltip="Core CPI: The CPI excluding eight of the most volatile components (fruit, vegetables, gasoline, fuel oil, natural gas, mortgage interest, inter-city transportation and tobacco products) as well as the effect of changes in indirect taxes on the remaining c" display="footnote_1_5014"/>
    <hyperlink ref="L24" r:id="rId2" display="http://www.bankofcanada.ca/stats/assets/graphs/cpi_graphs_en.png"/>
    <hyperlink ref="M25" r:id="rId3" tooltip="Core CPI: The CPI excluding eight of the most volatile components (fruit, vegetables, gasoline, fuel oil, natural gas, mortgage interest, inter-city transportation and tobacco products) as well as the effect of changes in indirect taxes on the remaining c" display="footnote_1_5014"/>
    <hyperlink ref="N26" r:id="rId4" tooltip="CPI-XFET: The CPI excluding food, energy and the effect of changes in indirect taxes." display="footnote_2_5014"/>
    <hyperlink ref="O26" r:id="rId5" tooltip="CPIW: CPIW adjusts each CPI basket weight by a factor that is inversely proportional to the component's variability and is adjusted to exclude the effect of changes in indirect taxes. " display="footnote_3_5014"/>
  </hyperlinks>
  <printOptions/>
  <pageMargins left="0.7" right="0.7" top="0.75" bottom="0.75" header="0.3" footer="0.3"/>
  <pageSetup horizontalDpi="600" verticalDpi="600" orientation="portrait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2">
      <selection activeCell="C21" sqref="C21"/>
    </sheetView>
  </sheetViews>
  <sheetFormatPr defaultColWidth="9.140625" defaultRowHeight="15"/>
  <cols>
    <col min="1" max="1" width="32.00390625" style="0" bestFit="1" customWidth="1"/>
    <col min="2" max="2" width="14.28125" style="0" bestFit="1" customWidth="1"/>
    <col min="3" max="3" width="12.140625" style="0" bestFit="1" customWidth="1"/>
    <col min="4" max="4" width="10.140625" style="0" bestFit="1" customWidth="1"/>
    <col min="5" max="5" width="10.7109375" style="0" bestFit="1" customWidth="1"/>
    <col min="6" max="6" width="43.421875" style="0" bestFit="1" customWidth="1"/>
    <col min="7" max="7" width="10.140625" style="0" bestFit="1" customWidth="1"/>
  </cols>
  <sheetData>
    <row r="1" spans="1:7" ht="15">
      <c r="A1" s="334" t="s">
        <v>236</v>
      </c>
      <c r="B1" s="335"/>
      <c r="C1" s="335"/>
      <c r="D1" s="335"/>
      <c r="E1" s="336"/>
      <c r="F1" s="142" t="s">
        <v>239</v>
      </c>
      <c r="G1" s="142">
        <v>1.2</v>
      </c>
    </row>
    <row r="2" spans="1:5" ht="15">
      <c r="A2" s="135" t="s">
        <v>191</v>
      </c>
      <c r="B2" s="135" t="s">
        <v>237</v>
      </c>
      <c r="C2" s="135" t="s">
        <v>3</v>
      </c>
      <c r="D2" s="135" t="s">
        <v>12</v>
      </c>
      <c r="E2" s="135" t="s">
        <v>13</v>
      </c>
    </row>
    <row r="3" spans="1:8" ht="15">
      <c r="A3" s="138" t="s">
        <v>6</v>
      </c>
      <c r="B3" s="129">
        <f>'Ex.4 Table 1.1'!B3</f>
        <v>620871</v>
      </c>
      <c r="C3" s="129">
        <f>'Ex.4 Table 1.1'!C3</f>
        <v>617177</v>
      </c>
      <c r="D3" s="129">
        <f aca="true" t="shared" si="0" ref="D3:D8">C3-B3</f>
        <v>-3694</v>
      </c>
      <c r="E3" s="130">
        <f aca="true" t="shared" si="1" ref="E3:E8">D3/B3</f>
        <v>-0.005949706138634273</v>
      </c>
      <c r="H3" s="127"/>
    </row>
    <row r="4" spans="1:8" ht="15">
      <c r="A4" s="138" t="s">
        <v>18</v>
      </c>
      <c r="B4" s="129">
        <f>'Ex.4 Table 1.1'!B4</f>
        <v>104107</v>
      </c>
      <c r="C4" s="129">
        <f>'Ex.4 Table 1.1'!C4</f>
        <v>77337</v>
      </c>
      <c r="D4" s="129">
        <f t="shared" si="0"/>
        <v>-26770</v>
      </c>
      <c r="E4" s="130">
        <f t="shared" si="1"/>
        <v>-0.2571392893849597</v>
      </c>
      <c r="H4" s="105"/>
    </row>
    <row r="5" spans="1:5" ht="15">
      <c r="A5" s="138" t="s">
        <v>21</v>
      </c>
      <c r="B5" s="129">
        <f>'Ex.4 Table 1.1'!B5</f>
        <v>428844</v>
      </c>
      <c r="C5" s="129">
        <f>'Ex.4 Table 1.1'!C5</f>
        <v>440285</v>
      </c>
      <c r="D5" s="129">
        <f t="shared" si="0"/>
        <v>11441</v>
      </c>
      <c r="E5" s="130">
        <f t="shared" si="1"/>
        <v>0.026678699014093702</v>
      </c>
    </row>
    <row r="6" spans="1:5" ht="15">
      <c r="A6" s="138" t="s">
        <v>24</v>
      </c>
      <c r="B6" s="129">
        <f>'Ex.4 Table 1.1'!B6</f>
        <v>19767</v>
      </c>
      <c r="C6" s="129">
        <f>'Ex.4 Table 1.1'!C6</f>
        <v>8053</v>
      </c>
      <c r="D6" s="129">
        <f t="shared" si="0"/>
        <v>-11714</v>
      </c>
      <c r="E6" s="130">
        <f t="shared" si="1"/>
        <v>-0.5926038346739515</v>
      </c>
    </row>
    <row r="7" spans="1:5" ht="15">
      <c r="A7" s="138" t="s">
        <v>195</v>
      </c>
      <c r="B7" s="129">
        <f>'Ex.4 Table 1.1'!B7</f>
        <v>921831</v>
      </c>
      <c r="C7" s="129">
        <f>'Ex.4 Table 1.1'!C7</f>
        <v>741765.34</v>
      </c>
      <c r="D7" s="129">
        <f t="shared" si="0"/>
        <v>-180065.66000000003</v>
      </c>
      <c r="E7" s="130">
        <f t="shared" si="1"/>
        <v>-0.1953347847924403</v>
      </c>
    </row>
    <row r="8" spans="1:5" ht="15">
      <c r="A8" s="135" t="s">
        <v>238</v>
      </c>
      <c r="B8" s="131">
        <f>'Ex.4 Table 1.1'!B8</f>
        <v>2095420</v>
      </c>
      <c r="C8" s="131">
        <f>'Ex.4 Table 1.1'!C8</f>
        <v>1884617.3399999999</v>
      </c>
      <c r="D8" s="131">
        <f t="shared" si="0"/>
        <v>-210802.66000000015</v>
      </c>
      <c r="E8" s="143">
        <f t="shared" si="1"/>
        <v>-0.10060162640425316</v>
      </c>
    </row>
    <row r="9" spans="1:5" ht="15">
      <c r="A9" s="140"/>
      <c r="B9" s="140"/>
      <c r="C9" s="140"/>
      <c r="D9" s="140"/>
      <c r="E9" s="140"/>
    </row>
    <row r="10" spans="1:5" ht="15">
      <c r="A10" s="140"/>
      <c r="B10" s="140"/>
      <c r="C10" s="140"/>
      <c r="D10" s="140"/>
      <c r="E10" s="140"/>
    </row>
    <row r="11" spans="1:5" ht="15">
      <c r="A11" s="140"/>
      <c r="B11" s="140"/>
      <c r="C11" s="140"/>
      <c r="D11" s="140"/>
      <c r="E11" s="140"/>
    </row>
    <row r="12" spans="1:7" ht="15">
      <c r="A12" s="334" t="s">
        <v>240</v>
      </c>
      <c r="B12" s="335"/>
      <c r="C12" s="335"/>
      <c r="D12" s="335"/>
      <c r="E12" s="336"/>
      <c r="F12" s="142" t="s">
        <v>239</v>
      </c>
      <c r="G12" s="142">
        <v>1.3</v>
      </c>
    </row>
    <row r="13" spans="1:5" ht="15">
      <c r="A13" s="135" t="s">
        <v>191</v>
      </c>
      <c r="B13" s="135" t="s">
        <v>3</v>
      </c>
      <c r="C13" s="135" t="s">
        <v>4</v>
      </c>
      <c r="D13" s="135" t="s">
        <v>12</v>
      </c>
      <c r="E13" s="135" t="s">
        <v>13</v>
      </c>
    </row>
    <row r="14" spans="1:5" ht="15">
      <c r="A14" s="138" t="s">
        <v>6</v>
      </c>
      <c r="B14" s="129">
        <f>'Ex.4 Table 1.1'!C3</f>
        <v>617177</v>
      </c>
      <c r="C14" s="129">
        <f>'Ex.4 Table 1.1'!D3</f>
        <v>505675</v>
      </c>
      <c r="D14" s="129">
        <f aca="true" t="shared" si="2" ref="D14:D19">C14-B14</f>
        <v>-111502</v>
      </c>
      <c r="E14" s="130">
        <f aca="true" t="shared" si="3" ref="E14:E19">D14/B14</f>
        <v>-0.18066454193853626</v>
      </c>
    </row>
    <row r="15" spans="1:5" ht="15">
      <c r="A15" s="138" t="s">
        <v>18</v>
      </c>
      <c r="B15" s="129">
        <f>'Ex.4 Table 1.1'!C4</f>
        <v>77337</v>
      </c>
      <c r="C15" s="129">
        <f>'Ex.4 Table 1.1'!D4</f>
        <v>139615</v>
      </c>
      <c r="D15" s="129">
        <f t="shared" si="2"/>
        <v>62278</v>
      </c>
      <c r="E15" s="130">
        <f t="shared" si="3"/>
        <v>0.8052807841007539</v>
      </c>
    </row>
    <row r="16" spans="1:5" ht="15">
      <c r="A16" s="138" t="s">
        <v>21</v>
      </c>
      <c r="B16" s="129">
        <f>'Ex.4 Table 1.1'!C5</f>
        <v>440285</v>
      </c>
      <c r="C16" s="129">
        <f>'Ex.4 Table 1.1'!D5</f>
        <v>407715</v>
      </c>
      <c r="D16" s="129">
        <f t="shared" si="2"/>
        <v>-32570</v>
      </c>
      <c r="E16" s="130">
        <f t="shared" si="3"/>
        <v>-0.0739748117696492</v>
      </c>
    </row>
    <row r="17" spans="1:11" ht="15">
      <c r="A17" s="138" t="s">
        <v>24</v>
      </c>
      <c r="B17" s="129">
        <f>'Ex.4 Table 1.1'!C6</f>
        <v>8053</v>
      </c>
      <c r="C17" s="129">
        <f>'Ex.4 Table 1.1'!D6</f>
        <v>-4705</v>
      </c>
      <c r="D17" s="129">
        <f t="shared" si="2"/>
        <v>-12758</v>
      </c>
      <c r="E17" s="130">
        <f t="shared" si="3"/>
        <v>-1.5842543151620514</v>
      </c>
      <c r="K17" s="129"/>
    </row>
    <row r="18" spans="1:5" ht="15">
      <c r="A18" s="138" t="s">
        <v>195</v>
      </c>
      <c r="B18" s="129">
        <f>'Ex.4 Table 1.1'!C7</f>
        <v>741765.34</v>
      </c>
      <c r="C18" s="129">
        <f>'Ex.4 Table 1.1'!D7</f>
        <v>806923.61</v>
      </c>
      <c r="D18" s="129">
        <f t="shared" si="2"/>
        <v>65158.27000000002</v>
      </c>
      <c r="E18" s="130">
        <f t="shared" si="3"/>
        <v>0.08784216043310951</v>
      </c>
    </row>
    <row r="19" spans="1:6" ht="15">
      <c r="A19" s="135" t="s">
        <v>238</v>
      </c>
      <c r="B19" s="131">
        <f>'Ex.4 Table 1.1'!C8</f>
        <v>1884617.3399999999</v>
      </c>
      <c r="C19" s="131">
        <f>'Ex.4 Table 1.1'!D8</f>
        <v>1855223.6099999999</v>
      </c>
      <c r="D19" s="131">
        <f t="shared" si="2"/>
        <v>-29393.72999999998</v>
      </c>
      <c r="E19" s="143">
        <f t="shared" si="3"/>
        <v>-0.015596656878897221</v>
      </c>
      <c r="F19" s="105">
        <f>D19/C19</f>
        <v>-0.01584376667133941</v>
      </c>
    </row>
    <row r="22" spans="1:7" ht="15">
      <c r="A22" s="334" t="s">
        <v>242</v>
      </c>
      <c r="B22" s="335"/>
      <c r="C22" s="335"/>
      <c r="D22" s="335"/>
      <c r="E22" s="336"/>
      <c r="F22" s="142" t="s">
        <v>241</v>
      </c>
      <c r="G22" s="142">
        <v>1.4</v>
      </c>
    </row>
    <row r="23" spans="1:5" ht="15">
      <c r="A23" s="135" t="s">
        <v>191</v>
      </c>
      <c r="B23" s="135" t="s">
        <v>4</v>
      </c>
      <c r="C23" s="135" t="s">
        <v>171</v>
      </c>
      <c r="D23" s="135" t="s">
        <v>12</v>
      </c>
      <c r="E23" s="135" t="s">
        <v>13</v>
      </c>
    </row>
    <row r="24" spans="1:5" ht="15">
      <c r="A24" s="138" t="s">
        <v>6</v>
      </c>
      <c r="B24" s="129">
        <f>'Ex.4 Table 1.1'!D3</f>
        <v>505675</v>
      </c>
      <c r="C24" s="129">
        <f>'Ex.4 Table 1.1'!E3</f>
        <v>415820.95</v>
      </c>
      <c r="D24" s="129">
        <f aca="true" t="shared" si="4" ref="D24:D29">C24-B24</f>
        <v>-89854.04999999999</v>
      </c>
      <c r="E24" s="130">
        <f aca="true" t="shared" si="5" ref="E24:E29">D24/B24</f>
        <v>-0.17769130370297126</v>
      </c>
    </row>
    <row r="25" spans="1:5" ht="15">
      <c r="A25" s="138" t="s">
        <v>18</v>
      </c>
      <c r="B25" s="129">
        <f>'Ex.4 Table 1.1'!D4</f>
        <v>139615</v>
      </c>
      <c r="C25" s="129">
        <f>'Ex.4 Table 1.1'!E4</f>
        <v>225311.69</v>
      </c>
      <c r="D25" s="129">
        <f t="shared" si="4"/>
        <v>85696.69</v>
      </c>
      <c r="E25" s="130">
        <f t="shared" si="5"/>
        <v>0.6138071840418293</v>
      </c>
    </row>
    <row r="26" spans="1:5" ht="15">
      <c r="A26" s="138" t="s">
        <v>21</v>
      </c>
      <c r="B26" s="129">
        <f>'Ex.4 Table 1.1'!D5</f>
        <v>407715</v>
      </c>
      <c r="C26" s="129">
        <f>'Ex.4 Table 1.1'!E5</f>
        <v>425479.32</v>
      </c>
      <c r="D26" s="129">
        <f t="shared" si="4"/>
        <v>17764.320000000007</v>
      </c>
      <c r="E26" s="130">
        <f t="shared" si="5"/>
        <v>0.04357043523049191</v>
      </c>
    </row>
    <row r="27" spans="1:5" ht="15">
      <c r="A27" s="138" t="s">
        <v>24</v>
      </c>
      <c r="B27" s="129">
        <f>'Ex.4 Table 1.1'!D6</f>
        <v>-4705</v>
      </c>
      <c r="C27" s="129">
        <f>'Ex.4 Table 1.1'!E6</f>
        <v>13354.54</v>
      </c>
      <c r="D27" s="129">
        <f t="shared" si="4"/>
        <v>18059.54</v>
      </c>
      <c r="E27" s="130">
        <f t="shared" si="5"/>
        <v>-3.838371944739639</v>
      </c>
    </row>
    <row r="28" spans="1:5" ht="15">
      <c r="A28" s="138" t="s">
        <v>195</v>
      </c>
      <c r="B28" s="129">
        <f>'Ex.4 Table 1.1'!D7</f>
        <v>806923.61</v>
      </c>
      <c r="C28" s="129">
        <f>'Ex.4 Table 1.1'!E7</f>
        <v>1019723.7100000001</v>
      </c>
      <c r="D28" s="129">
        <f t="shared" si="4"/>
        <v>212800.1000000001</v>
      </c>
      <c r="E28" s="130">
        <f t="shared" si="5"/>
        <v>0.2637177762093243</v>
      </c>
    </row>
    <row r="29" spans="1:6" ht="15">
      <c r="A29" s="135" t="s">
        <v>238</v>
      </c>
      <c r="B29" s="131">
        <f>'Ex.4 Table 1.1'!D8</f>
        <v>1855223.6099999999</v>
      </c>
      <c r="C29" s="131">
        <f>'Ex.4 Table 1.1'!E8</f>
        <v>2099690.21</v>
      </c>
      <c r="D29" s="131">
        <f t="shared" si="4"/>
        <v>244466.6000000001</v>
      </c>
      <c r="E29" s="143">
        <f t="shared" si="5"/>
        <v>0.13177204013698388</v>
      </c>
      <c r="F29" s="105">
        <f>D29/C29</f>
        <v>0.11642984228611519</v>
      </c>
    </row>
    <row r="31" spans="1:7" ht="15">
      <c r="A31" s="334" t="s">
        <v>243</v>
      </c>
      <c r="B31" s="335"/>
      <c r="C31" s="335"/>
      <c r="D31" s="335"/>
      <c r="E31" s="336"/>
      <c r="F31" s="142" t="s">
        <v>241</v>
      </c>
      <c r="G31" s="142">
        <v>1.5</v>
      </c>
    </row>
    <row r="32" spans="1:5" ht="15">
      <c r="A32" s="135" t="s">
        <v>191</v>
      </c>
      <c r="B32" s="135" t="s">
        <v>171</v>
      </c>
      <c r="C32" s="135" t="s">
        <v>170</v>
      </c>
      <c r="D32" s="135" t="s">
        <v>12</v>
      </c>
      <c r="E32" s="135" t="s">
        <v>13</v>
      </c>
    </row>
    <row r="33" spans="1:5" ht="15">
      <c r="A33" s="138" t="s">
        <v>6</v>
      </c>
      <c r="B33" s="129">
        <f>'Ex.4 Table 1.1'!E3</f>
        <v>415820.95</v>
      </c>
      <c r="C33" s="129">
        <f>'Ex.4 Table 1.1'!F3</f>
        <v>579608.7852</v>
      </c>
      <c r="D33" s="129">
        <f aca="true" t="shared" si="6" ref="D33:D38">C33-B33</f>
        <v>163787.83520000003</v>
      </c>
      <c r="E33" s="130">
        <f aca="true" t="shared" si="7" ref="E33:E38">D33/B33</f>
        <v>0.39389029148242777</v>
      </c>
    </row>
    <row r="34" spans="1:5" ht="15">
      <c r="A34" s="138" t="s">
        <v>18</v>
      </c>
      <c r="B34" s="129">
        <f>'Ex.4 Table 1.1'!E4</f>
        <v>225311.69</v>
      </c>
      <c r="C34" s="129">
        <f>'Ex.4 Table 1.1'!F4</f>
        <v>306218.8626</v>
      </c>
      <c r="D34" s="129">
        <f t="shared" si="6"/>
        <v>80907.17259999999</v>
      </c>
      <c r="E34" s="130">
        <f t="shared" si="7"/>
        <v>0.3590899904039599</v>
      </c>
    </row>
    <row r="35" spans="1:5" ht="15">
      <c r="A35" s="138" t="s">
        <v>21</v>
      </c>
      <c r="B35" s="129">
        <f>'Ex.4 Table 1.1'!E5</f>
        <v>425479.32</v>
      </c>
      <c r="C35" s="129">
        <f>'Ex.4 Table 1.1'!F5</f>
        <v>501542.38413333334</v>
      </c>
      <c r="D35" s="129">
        <f t="shared" si="6"/>
        <v>76063.06413333333</v>
      </c>
      <c r="E35" s="130">
        <f t="shared" si="7"/>
        <v>0.17877029636442338</v>
      </c>
    </row>
    <row r="36" spans="1:5" ht="15">
      <c r="A36" s="138" t="s">
        <v>24</v>
      </c>
      <c r="B36" s="129">
        <f>'Ex.4 Table 1.1'!E6</f>
        <v>13354.54</v>
      </c>
      <c r="C36" s="129">
        <f>'Ex.4 Table 1.1'!F6</f>
        <v>13926.842733333335</v>
      </c>
      <c r="D36" s="129">
        <f t="shared" si="6"/>
        <v>572.3027333333339</v>
      </c>
      <c r="E36" s="130">
        <f t="shared" si="7"/>
        <v>0.0428545448464218</v>
      </c>
    </row>
    <row r="37" spans="1:5" ht="15">
      <c r="A37" s="138" t="s">
        <v>195</v>
      </c>
      <c r="B37" s="129">
        <f>'Ex.4 Table 1.1'!E7</f>
        <v>1019723.7100000001</v>
      </c>
      <c r="C37" s="129">
        <f>'Ex.4 Table 1.1'!F7</f>
        <v>1047828.9739</v>
      </c>
      <c r="D37" s="129">
        <f t="shared" si="6"/>
        <v>28105.263899999904</v>
      </c>
      <c r="E37" s="130">
        <f t="shared" si="7"/>
        <v>0.02756164598742134</v>
      </c>
    </row>
    <row r="38" spans="1:6" ht="15">
      <c r="A38" s="135" t="s">
        <v>238</v>
      </c>
      <c r="B38" s="131">
        <f>'Ex.4 Table 1.1'!E8</f>
        <v>2099690.21</v>
      </c>
      <c r="C38" s="131">
        <f>'Ex.4 Table 1.1'!F8</f>
        <v>2449125.8485666667</v>
      </c>
      <c r="D38" s="131">
        <f t="shared" si="6"/>
        <v>349435.63856666675</v>
      </c>
      <c r="E38" s="130">
        <f t="shared" si="7"/>
        <v>0.1664224736117938</v>
      </c>
      <c r="F38" s="105">
        <f>D38/C38</f>
        <v>0.14267769815551595</v>
      </c>
    </row>
    <row r="41" spans="1:7" ht="15">
      <c r="A41" s="334" t="s">
        <v>244</v>
      </c>
      <c r="B41" s="335"/>
      <c r="C41" s="335"/>
      <c r="D41" s="335"/>
      <c r="E41" s="336"/>
      <c r="F41" s="142" t="s">
        <v>241</v>
      </c>
      <c r="G41" s="142">
        <v>1.6</v>
      </c>
    </row>
    <row r="42" spans="1:5" ht="15">
      <c r="A42" s="135" t="s">
        <v>191</v>
      </c>
      <c r="B42" s="135" t="s">
        <v>170</v>
      </c>
      <c r="C42" s="135" t="s">
        <v>245</v>
      </c>
      <c r="D42" s="135" t="s">
        <v>12</v>
      </c>
      <c r="E42" s="135" t="s">
        <v>13</v>
      </c>
    </row>
    <row r="43" spans="1:5" ht="15">
      <c r="A43" s="138" t="s">
        <v>6</v>
      </c>
      <c r="B43" s="129">
        <f>'Ex.4 Table 1.1'!F3</f>
        <v>579608.7852</v>
      </c>
      <c r="C43" s="129">
        <f>'Ex.4 Table 1.1'!G3</f>
        <v>879396.1671413335</v>
      </c>
      <c r="D43" s="129">
        <f aca="true" t="shared" si="8" ref="D43:D48">C43-B43</f>
        <v>299787.3819413334</v>
      </c>
      <c r="E43" s="130">
        <f aca="true" t="shared" si="9" ref="E43:E48">D43/B43</f>
        <v>0.5172236680951767</v>
      </c>
    </row>
    <row r="44" spans="1:5" ht="15">
      <c r="A44" s="138" t="s">
        <v>18</v>
      </c>
      <c r="B44" s="129">
        <f>'Ex.4 Table 1.1'!F4</f>
        <v>306218.8626</v>
      </c>
      <c r="C44" s="129">
        <f>'Ex.4 Table 1.1'!G4</f>
        <v>391785.52180999995</v>
      </c>
      <c r="D44" s="129">
        <f t="shared" si="8"/>
        <v>85566.65920999995</v>
      </c>
      <c r="E44" s="130">
        <f t="shared" si="9"/>
        <v>0.27942974669647264</v>
      </c>
    </row>
    <row r="45" spans="1:5" ht="15">
      <c r="A45" s="138" t="s">
        <v>21</v>
      </c>
      <c r="B45" s="129">
        <f>'Ex.4 Table 1.1'!F5</f>
        <v>501542.38413333334</v>
      </c>
      <c r="C45" s="129">
        <f>'Ex.4 Table 1.1'!G5</f>
        <v>500298.1487953334</v>
      </c>
      <c r="D45" s="129">
        <f t="shared" si="8"/>
        <v>-1244.2353379999404</v>
      </c>
      <c r="E45" s="130">
        <f t="shared" si="9"/>
        <v>-0.0024808179275814996</v>
      </c>
    </row>
    <row r="46" spans="1:5" ht="15">
      <c r="A46" s="138" t="s">
        <v>24</v>
      </c>
      <c r="B46" s="129">
        <f>'Ex.4 Table 1.1'!F6</f>
        <v>13926.842733333335</v>
      </c>
      <c r="C46" s="129">
        <f>'Ex.4 Table 1.1'!G6</f>
        <v>14344.648015333336</v>
      </c>
      <c r="D46" s="129">
        <f t="shared" si="8"/>
        <v>417.80528200000117</v>
      </c>
      <c r="E46" s="130">
        <f t="shared" si="9"/>
        <v>0.030000000000000082</v>
      </c>
    </row>
    <row r="47" spans="1:5" ht="15">
      <c r="A47" s="138" t="s">
        <v>195</v>
      </c>
      <c r="B47" s="129">
        <f>'Ex.4 Table 1.1'!F7</f>
        <v>1047828.9739</v>
      </c>
      <c r="C47" s="129">
        <f>'Ex.4 Table 1.1'!G7</f>
        <v>1281489.1994170004</v>
      </c>
      <c r="D47" s="129">
        <f t="shared" si="8"/>
        <v>233660.22551700042</v>
      </c>
      <c r="E47" s="130">
        <f t="shared" si="9"/>
        <v>0.22299462158153674</v>
      </c>
    </row>
    <row r="48" spans="1:5" ht="15">
      <c r="A48" s="135" t="s">
        <v>238</v>
      </c>
      <c r="B48" s="131">
        <f>'Ex.4 Table 1.1'!F8</f>
        <v>2449125.8485666667</v>
      </c>
      <c r="C48" s="131">
        <f>'Ex.4 Table 1.1'!G8</f>
        <v>3067313.6851790007</v>
      </c>
      <c r="D48" s="131">
        <f t="shared" si="8"/>
        <v>618187.836612334</v>
      </c>
      <c r="E48" s="143">
        <f t="shared" si="9"/>
        <v>0.2524116255496319</v>
      </c>
    </row>
    <row r="53" spans="6:10" ht="15">
      <c r="F53" s="103" t="s">
        <v>110</v>
      </c>
      <c r="G53" s="103" t="s">
        <v>252</v>
      </c>
      <c r="H53" s="102" t="s">
        <v>111</v>
      </c>
      <c r="I53" s="142" t="s">
        <v>241</v>
      </c>
      <c r="J53" s="142">
        <v>1.7</v>
      </c>
    </row>
    <row r="54" spans="6:8" ht="15">
      <c r="F54" s="104" t="s">
        <v>248</v>
      </c>
      <c r="G54" s="126">
        <f>C48-C8</f>
        <v>1182696.3451790009</v>
      </c>
      <c r="H54" s="128">
        <f>G54/C48</f>
        <v>0.3855805002578279</v>
      </c>
    </row>
    <row r="55" spans="6:8" ht="15">
      <c r="F55" s="104" t="s">
        <v>249</v>
      </c>
      <c r="G55" s="126">
        <f>C48-B8</f>
        <v>971893.6851790007</v>
      </c>
      <c r="H55" s="128">
        <f>G55/C48</f>
        <v>0.31685500243261994</v>
      </c>
    </row>
    <row r="56" spans="6:8" ht="15">
      <c r="F56" s="104" t="s">
        <v>246</v>
      </c>
      <c r="G56" s="126">
        <f>C48-B29</f>
        <v>1212090.0751790009</v>
      </c>
      <c r="H56" s="128">
        <f>G56/C48</f>
        <v>0.3951633903750103</v>
      </c>
    </row>
    <row r="57" spans="6:8" ht="15">
      <c r="F57" s="104" t="s">
        <v>247</v>
      </c>
      <c r="G57" s="126">
        <f>C48-B38</f>
        <v>967623.4751790008</v>
      </c>
      <c r="H57" s="128">
        <f>G57/C48</f>
        <v>0.3154628363751889</v>
      </c>
    </row>
    <row r="58" spans="6:8" ht="15">
      <c r="F58" s="104" t="s">
        <v>250</v>
      </c>
      <c r="G58" s="126">
        <f>AVERAGE(G54:G57)</f>
        <v>1083575.8951790007</v>
      </c>
      <c r="H58" s="128">
        <f>AVERAGE(H54:H57)</f>
        <v>0.3532654323601617</v>
      </c>
    </row>
    <row r="59" spans="6:8" ht="15">
      <c r="F59" s="104" t="s">
        <v>251</v>
      </c>
      <c r="G59" s="104"/>
      <c r="H59" s="144">
        <f>'Ex.4 Table 1.1'!G11</f>
        <v>0.1294935426915298</v>
      </c>
    </row>
  </sheetData>
  <sheetProtection/>
  <mergeCells count="5">
    <mergeCell ref="A1:E1"/>
    <mergeCell ref="A12:E12"/>
    <mergeCell ref="A22:E22"/>
    <mergeCell ref="A31:E31"/>
    <mergeCell ref="A41:E41"/>
  </mergeCells>
  <conditionalFormatting sqref="E1:E65536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B3" sqref="B3"/>
    </sheetView>
  </sheetViews>
  <sheetFormatPr defaultColWidth="27.140625" defaultRowHeight="15"/>
  <sheetData>
    <row r="1" spans="1:7" ht="15">
      <c r="A1" s="272" t="s">
        <v>191</v>
      </c>
      <c r="B1" s="272" t="s">
        <v>3</v>
      </c>
      <c r="C1" s="272" t="s">
        <v>176</v>
      </c>
      <c r="D1" s="272" t="s">
        <v>4</v>
      </c>
      <c r="E1" s="272" t="s">
        <v>171</v>
      </c>
      <c r="F1" s="272" t="s">
        <v>192</v>
      </c>
      <c r="G1" s="272" t="s">
        <v>253</v>
      </c>
    </row>
    <row r="2" spans="1:8" ht="15">
      <c r="A2" s="273" t="s">
        <v>254</v>
      </c>
      <c r="B2" s="274">
        <f>'[2]Ex 3 Distribution Revenue'!$C$11</f>
        <v>3717997.9648814863</v>
      </c>
      <c r="C2" s="274">
        <f>'[2]Ex 3 Distribution Revenue'!$B$11</f>
        <v>3985246</v>
      </c>
      <c r="D2" s="274">
        <f>'[2]Ex 3 Distribution Revenue'!$F$11</f>
        <v>4005725.492359999</v>
      </c>
      <c r="E2" s="274">
        <f>'[2]Ex 3 Distribution Revenue'!$I$11</f>
        <v>4010859.3400000003</v>
      </c>
      <c r="F2" s="274">
        <f>'[2]Ex 3 Distribution Revenue'!$K$11</f>
        <v>3966786.0092115114</v>
      </c>
      <c r="G2" s="274">
        <f>'[2]Ex 3 Distribution Revenue'!$M$11</f>
        <v>4752740.397933303</v>
      </c>
      <c r="H2" s="100" t="s">
        <v>509</v>
      </c>
    </row>
    <row r="3" spans="1:8" ht="15">
      <c r="A3" s="273" t="s">
        <v>255</v>
      </c>
      <c r="B3" s="274">
        <f>B2*0.005</f>
        <v>18589.989824407432</v>
      </c>
      <c r="C3" s="274">
        <f>C2*0.005</f>
        <v>19926.23</v>
      </c>
      <c r="D3" s="274">
        <f>D2*0.005</f>
        <v>20028.627461799995</v>
      </c>
      <c r="E3" s="274">
        <f>E2*0.005</f>
        <v>20054.296700000003</v>
      </c>
      <c r="F3" s="274">
        <f>F2*0.005</f>
        <v>19833.930046057558</v>
      </c>
      <c r="G3" s="274">
        <f>G2*0.005</f>
        <v>23763.70198966652</v>
      </c>
      <c r="H3" s="100" t="s">
        <v>256</v>
      </c>
    </row>
    <row r="5" spans="1:7" ht="15">
      <c r="A5" s="103" t="s">
        <v>191</v>
      </c>
      <c r="B5" s="103" t="s">
        <v>3</v>
      </c>
      <c r="C5" s="103" t="s">
        <v>176</v>
      </c>
      <c r="D5" s="103" t="s">
        <v>4</v>
      </c>
      <c r="E5" s="103" t="s">
        <v>171</v>
      </c>
      <c r="F5" s="103" t="s">
        <v>192</v>
      </c>
      <c r="G5" s="103" t="s">
        <v>253</v>
      </c>
    </row>
    <row r="6" spans="1:7" ht="15.75" thickBot="1">
      <c r="A6" s="104" t="s">
        <v>254</v>
      </c>
      <c r="B6" s="145">
        <v>3728412</v>
      </c>
      <c r="C6" s="145">
        <v>5077842</v>
      </c>
      <c r="D6" s="145">
        <v>4041164.45</v>
      </c>
      <c r="E6" s="145">
        <v>4044942.65</v>
      </c>
      <c r="F6" s="145">
        <v>3901600.86562352</v>
      </c>
      <c r="G6" s="145">
        <v>4332383.20910267</v>
      </c>
    </row>
    <row r="7" spans="1:7" ht="15.75" thickBot="1">
      <c r="A7" s="104" t="s">
        <v>255</v>
      </c>
      <c r="B7" s="145">
        <v>50000</v>
      </c>
      <c r="C7" s="145">
        <v>50000</v>
      </c>
      <c r="D7" s="145">
        <v>50000</v>
      </c>
      <c r="E7" s="145">
        <v>50000</v>
      </c>
      <c r="F7" s="145">
        <v>50000</v>
      </c>
      <c r="G7" s="145">
        <v>50000</v>
      </c>
    </row>
    <row r="11" ht="15">
      <c r="B11" s="105"/>
    </row>
    <row r="12" ht="15">
      <c r="B12" s="2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0"/>
  <sheetViews>
    <sheetView zoomScale="70" zoomScaleNormal="70" zoomScalePageLayoutView="0" workbookViewId="0" topLeftCell="A55">
      <selection activeCell="L105" sqref="L105"/>
    </sheetView>
  </sheetViews>
  <sheetFormatPr defaultColWidth="9.140625" defaultRowHeight="15"/>
  <cols>
    <col min="1" max="1" width="9.140625" style="101" customWidth="1"/>
    <col min="2" max="2" width="69.28125" style="0" bestFit="1" customWidth="1"/>
    <col min="3" max="3" width="15.00390625" style="270" customWidth="1"/>
    <col min="4" max="4" width="15.00390625" style="0" customWidth="1"/>
    <col min="5" max="8" width="15.00390625" style="270" customWidth="1"/>
    <col min="9" max="9" width="12.57421875" style="0" customWidth="1"/>
    <col min="10" max="13" width="18.28125" style="0" bestFit="1" customWidth="1"/>
  </cols>
  <sheetData>
    <row r="1" spans="1:13" s="277" customFormat="1" ht="30">
      <c r="A1" s="278" t="s">
        <v>257</v>
      </c>
      <c r="B1" s="275" t="s">
        <v>340</v>
      </c>
      <c r="C1" s="276" t="s">
        <v>176</v>
      </c>
      <c r="D1" s="276" t="s">
        <v>3</v>
      </c>
      <c r="E1" s="276" t="s">
        <v>4</v>
      </c>
      <c r="F1" s="276" t="s">
        <v>171</v>
      </c>
      <c r="G1" s="276" t="s">
        <v>170</v>
      </c>
      <c r="H1" s="276" t="s">
        <v>326</v>
      </c>
      <c r="J1" s="277" t="s">
        <v>461</v>
      </c>
      <c r="K1" s="277" t="s">
        <v>462</v>
      </c>
      <c r="L1" s="277" t="s">
        <v>463</v>
      </c>
      <c r="M1" s="277" t="s">
        <v>464</v>
      </c>
    </row>
    <row r="2" spans="1:13" ht="15">
      <c r="A2" s="172">
        <v>5005</v>
      </c>
      <c r="B2" s="149" t="s">
        <v>258</v>
      </c>
      <c r="C2" s="146">
        <f>'App 2-E'!L6</f>
        <v>140459</v>
      </c>
      <c r="D2" s="146">
        <f>'App 2-E'!N6</f>
        <v>148399</v>
      </c>
      <c r="E2" s="146">
        <f>'App 2-E'!P6</f>
        <v>158401</v>
      </c>
      <c r="F2" s="146">
        <f>'App 2-E'!R6</f>
        <v>183439.76</v>
      </c>
      <c r="G2" s="146">
        <f>'App 2-E'!T6</f>
        <v>188942.95280000003</v>
      </c>
      <c r="H2" s="146">
        <f>'App 2-E'!V6</f>
        <v>323678.441384</v>
      </c>
      <c r="J2" s="231">
        <f>E2-D2</f>
        <v>10002</v>
      </c>
      <c r="K2" s="232">
        <f>F2-E2</f>
        <v>25038.76000000001</v>
      </c>
      <c r="L2" s="231">
        <f>G2-F2</f>
        <v>5503.192800000019</v>
      </c>
      <c r="M2" s="232">
        <f>H2-G2</f>
        <v>134735.48858399998</v>
      </c>
    </row>
    <row r="3" spans="1:13" ht="15">
      <c r="A3" s="172">
        <v>5010</v>
      </c>
      <c r="B3" s="149" t="s">
        <v>259</v>
      </c>
      <c r="C3" s="146">
        <f>'App 2-E'!L7</f>
        <v>0</v>
      </c>
      <c r="D3" s="146">
        <f>'App 2-E'!N7</f>
        <v>0</v>
      </c>
      <c r="E3" s="146">
        <f>'App 2-E'!P7</f>
        <v>0</v>
      </c>
      <c r="F3" s="146">
        <f>'App 2-E'!R7</f>
        <v>0</v>
      </c>
      <c r="G3" s="146">
        <f>'App 2-E'!T7</f>
        <v>0</v>
      </c>
      <c r="H3" s="146">
        <f>'App 2-E'!V7</f>
        <v>0</v>
      </c>
      <c r="J3" s="231">
        <f aca="true" t="shared" si="0" ref="J3:J66">E3-D3</f>
        <v>0</v>
      </c>
      <c r="K3" s="231">
        <f aca="true" t="shared" si="1" ref="K3:K66">F3-E3</f>
        <v>0</v>
      </c>
      <c r="L3" s="231">
        <f aca="true" t="shared" si="2" ref="L3:L66">G3-F3</f>
        <v>0</v>
      </c>
      <c r="M3" s="231">
        <f aca="true" t="shared" si="3" ref="M3:M66">H3-G3</f>
        <v>0</v>
      </c>
    </row>
    <row r="4" spans="1:13" ht="15">
      <c r="A4" s="172">
        <v>5012</v>
      </c>
      <c r="B4" s="149" t="s">
        <v>260</v>
      </c>
      <c r="C4" s="146">
        <f>'App 2-E'!L8</f>
        <v>0</v>
      </c>
      <c r="D4" s="146">
        <f>'App 2-E'!N8</f>
        <v>0</v>
      </c>
      <c r="E4" s="146">
        <f>'App 2-E'!P8</f>
        <v>0</v>
      </c>
      <c r="F4" s="146">
        <f>'App 2-E'!R8</f>
        <v>0</v>
      </c>
      <c r="G4" s="146">
        <f>'App 2-E'!T8</f>
        <v>0</v>
      </c>
      <c r="H4" s="146">
        <f>'App 2-E'!V8</f>
        <v>0</v>
      </c>
      <c r="J4" s="231">
        <f t="shared" si="0"/>
        <v>0</v>
      </c>
      <c r="K4" s="231">
        <f t="shared" si="1"/>
        <v>0</v>
      </c>
      <c r="L4" s="231">
        <f t="shared" si="2"/>
        <v>0</v>
      </c>
      <c r="M4" s="231">
        <f t="shared" si="3"/>
        <v>0</v>
      </c>
    </row>
    <row r="5" spans="1:13" ht="15">
      <c r="A5" s="172">
        <v>5014</v>
      </c>
      <c r="B5" s="149" t="s">
        <v>261</v>
      </c>
      <c r="C5" s="146">
        <f>'App 2-E'!L9</f>
        <v>0</v>
      </c>
      <c r="D5" s="146">
        <f>'App 2-E'!N9</f>
        <v>0</v>
      </c>
      <c r="E5" s="146">
        <f>'App 2-E'!P9</f>
        <v>0</v>
      </c>
      <c r="F5" s="146">
        <f>'App 2-E'!R9</f>
        <v>0</v>
      </c>
      <c r="G5" s="146">
        <f>'App 2-E'!T9</f>
        <v>0</v>
      </c>
      <c r="H5" s="146">
        <f>'App 2-E'!V9</f>
        <v>0</v>
      </c>
      <c r="J5" s="231">
        <f t="shared" si="0"/>
        <v>0</v>
      </c>
      <c r="K5" s="231">
        <f t="shared" si="1"/>
        <v>0</v>
      </c>
      <c r="L5" s="231">
        <f t="shared" si="2"/>
        <v>0</v>
      </c>
      <c r="M5" s="231">
        <f t="shared" si="3"/>
        <v>0</v>
      </c>
    </row>
    <row r="6" spans="1:13" ht="15">
      <c r="A6" s="172">
        <v>5015</v>
      </c>
      <c r="B6" s="149" t="s">
        <v>262</v>
      </c>
      <c r="C6" s="146">
        <f>'App 2-E'!L10</f>
        <v>0</v>
      </c>
      <c r="D6" s="146">
        <f>'App 2-E'!N10</f>
        <v>0</v>
      </c>
      <c r="E6" s="146">
        <f>'App 2-E'!P10</f>
        <v>0</v>
      </c>
      <c r="F6" s="146">
        <f>'App 2-E'!R10</f>
        <v>0</v>
      </c>
      <c r="G6" s="146">
        <f>'App 2-E'!T10</f>
        <v>0</v>
      </c>
      <c r="H6" s="146">
        <f>'App 2-E'!V10</f>
        <v>0</v>
      </c>
      <c r="J6" s="231">
        <f t="shared" si="0"/>
        <v>0</v>
      </c>
      <c r="K6" s="231">
        <f t="shared" si="1"/>
        <v>0</v>
      </c>
      <c r="L6" s="231">
        <f t="shared" si="2"/>
        <v>0</v>
      </c>
      <c r="M6" s="231">
        <f t="shared" si="3"/>
        <v>0</v>
      </c>
    </row>
    <row r="7" spans="1:13" ht="15">
      <c r="A7" s="172">
        <v>5016</v>
      </c>
      <c r="B7" s="149" t="s">
        <v>263</v>
      </c>
      <c r="C7" s="146">
        <f>'App 2-E'!L11</f>
        <v>7686</v>
      </c>
      <c r="D7" s="146">
        <f>'App 2-E'!N11</f>
        <v>1314</v>
      </c>
      <c r="E7" s="146">
        <f>'App 2-E'!P11</f>
        <v>5211</v>
      </c>
      <c r="F7" s="146">
        <f>'App 2-E'!R11</f>
        <v>1043.42</v>
      </c>
      <c r="G7" s="146">
        <f>'App 2-E'!T11</f>
        <v>2522.9106666666667</v>
      </c>
      <c r="H7" s="146">
        <f>'App 2-E'!V11</f>
        <v>2598.5979866666667</v>
      </c>
      <c r="J7" s="231">
        <f t="shared" si="0"/>
        <v>3897</v>
      </c>
      <c r="K7" s="231">
        <f t="shared" si="1"/>
        <v>-4167.58</v>
      </c>
      <c r="L7" s="231">
        <f t="shared" si="2"/>
        <v>1479.4906666666666</v>
      </c>
      <c r="M7" s="231">
        <f t="shared" si="3"/>
        <v>75.68732</v>
      </c>
    </row>
    <row r="8" spans="1:13" ht="15">
      <c r="A8" s="172">
        <v>5017</v>
      </c>
      <c r="B8" s="149" t="s">
        <v>264</v>
      </c>
      <c r="C8" s="146">
        <f>'App 2-E'!L12</f>
        <v>41527</v>
      </c>
      <c r="D8" s="146">
        <f>'App 2-E'!N12</f>
        <v>63084</v>
      </c>
      <c r="E8" s="146">
        <f>'App 2-E'!P12</f>
        <v>21690</v>
      </c>
      <c r="F8" s="146">
        <f>'App 2-E'!R12</f>
        <v>4150.81</v>
      </c>
      <c r="G8" s="146">
        <f>'App 2-E'!T12</f>
        <v>29641.71</v>
      </c>
      <c r="H8" s="146">
        <f>'App 2-E'!V12</f>
        <v>35331.28333333333</v>
      </c>
      <c r="J8" s="232">
        <f t="shared" si="0"/>
        <v>-41394</v>
      </c>
      <c r="K8" s="232">
        <f t="shared" si="1"/>
        <v>-17539.19</v>
      </c>
      <c r="L8" s="232">
        <f t="shared" si="2"/>
        <v>25490.899999999998</v>
      </c>
      <c r="M8" s="231">
        <f t="shared" si="3"/>
        <v>5689.573333333334</v>
      </c>
    </row>
    <row r="9" spans="1:13" ht="15">
      <c r="A9" s="172">
        <v>5020</v>
      </c>
      <c r="B9" s="149" t="s">
        <v>265</v>
      </c>
      <c r="C9" s="146">
        <f>'App 2-E'!L13</f>
        <v>260858</v>
      </c>
      <c r="D9" s="146">
        <f>'App 2-E'!N13</f>
        <v>223159</v>
      </c>
      <c r="E9" s="146">
        <f>'App 2-E'!P13</f>
        <v>153369</v>
      </c>
      <c r="F9" s="146">
        <f>'App 2-E'!R13</f>
        <v>160832.22</v>
      </c>
      <c r="G9" s="146">
        <f>'App 2-E'!T13</f>
        <v>178880.01</v>
      </c>
      <c r="H9" s="146">
        <f>'App 2-E'!V13</f>
        <v>309975.41030000005</v>
      </c>
      <c r="J9" s="232">
        <f t="shared" si="0"/>
        <v>-69790</v>
      </c>
      <c r="K9" s="231">
        <f t="shared" si="1"/>
        <v>7463.220000000001</v>
      </c>
      <c r="L9" s="232">
        <f t="shared" si="2"/>
        <v>18047.790000000008</v>
      </c>
      <c r="M9" s="232">
        <f t="shared" si="3"/>
        <v>131095.40030000004</v>
      </c>
    </row>
    <row r="10" spans="1:13" ht="15">
      <c r="A10" s="172">
        <v>5025</v>
      </c>
      <c r="B10" s="149" t="s">
        <v>266</v>
      </c>
      <c r="C10" s="146">
        <f>'App 2-E'!L14</f>
        <v>137134</v>
      </c>
      <c r="D10" s="146">
        <f>'App 2-E'!N14</f>
        <v>133540</v>
      </c>
      <c r="E10" s="146">
        <f>'App 2-E'!P14</f>
        <v>107960</v>
      </c>
      <c r="F10" s="146">
        <f>'App 2-E'!R14</f>
        <v>26977.19</v>
      </c>
      <c r="G10" s="146">
        <f>'App 2-E'!T14</f>
        <v>122487.91333333333</v>
      </c>
      <c r="H10" s="146">
        <f>'App 2-E'!V14</f>
        <v>126162.55073333334</v>
      </c>
      <c r="J10" s="232">
        <f t="shared" si="0"/>
        <v>-25580</v>
      </c>
      <c r="K10" s="232">
        <f t="shared" si="1"/>
        <v>-80982.81</v>
      </c>
      <c r="L10" s="232">
        <f t="shared" si="2"/>
        <v>95510.72333333333</v>
      </c>
      <c r="M10" s="231">
        <f t="shared" si="3"/>
        <v>3674.637400000007</v>
      </c>
    </row>
    <row r="11" spans="1:13" ht="15">
      <c r="A11" s="172">
        <v>5030</v>
      </c>
      <c r="B11" s="149" t="s">
        <v>267</v>
      </c>
      <c r="C11" s="146">
        <f>'App 2-E'!L15</f>
        <v>0</v>
      </c>
      <c r="D11" s="146">
        <f>'App 2-E'!N15</f>
        <v>0</v>
      </c>
      <c r="E11" s="146">
        <f>'App 2-E'!P15</f>
        <v>0</v>
      </c>
      <c r="F11" s="146">
        <f>'App 2-E'!R15</f>
        <v>0</v>
      </c>
      <c r="G11" s="146">
        <f>'App 2-E'!T15</f>
        <v>0</v>
      </c>
      <c r="H11" s="146">
        <f>'App 2-E'!V15</f>
        <v>0</v>
      </c>
      <c r="J11" s="231">
        <f t="shared" si="0"/>
        <v>0</v>
      </c>
      <c r="K11" s="231">
        <f t="shared" si="1"/>
        <v>0</v>
      </c>
      <c r="L11" s="231">
        <f t="shared" si="2"/>
        <v>0</v>
      </c>
      <c r="M11" s="231">
        <f t="shared" si="3"/>
        <v>0</v>
      </c>
    </row>
    <row r="12" spans="1:13" ht="15">
      <c r="A12" s="172">
        <v>5035</v>
      </c>
      <c r="B12" s="149" t="s">
        <v>268</v>
      </c>
      <c r="C12" s="146">
        <f>'App 2-E'!L16</f>
        <v>1558</v>
      </c>
      <c r="D12" s="146">
        <f>'App 2-E'!N16</f>
        <v>2449</v>
      </c>
      <c r="E12" s="146">
        <f>'App 2-E'!P16</f>
        <v>0</v>
      </c>
      <c r="F12" s="146">
        <f>'App 2-E'!R16</f>
        <v>0</v>
      </c>
      <c r="G12" s="146">
        <f>'App 2-E'!T16</f>
        <v>0</v>
      </c>
      <c r="H12" s="146">
        <f>'App 2-E'!V16</f>
        <v>630.6175000000001</v>
      </c>
      <c r="J12" s="231">
        <f t="shared" si="0"/>
        <v>-2449</v>
      </c>
      <c r="K12" s="231">
        <f t="shared" si="1"/>
        <v>0</v>
      </c>
      <c r="L12" s="231">
        <f t="shared" si="2"/>
        <v>0</v>
      </c>
      <c r="M12" s="231">
        <f t="shared" si="3"/>
        <v>630.6175000000001</v>
      </c>
    </row>
    <row r="13" spans="1:13" ht="15">
      <c r="A13" s="172">
        <v>5040</v>
      </c>
      <c r="B13" s="149" t="s">
        <v>269</v>
      </c>
      <c r="C13" s="146">
        <f>'App 2-E'!L17</f>
        <v>25467</v>
      </c>
      <c r="D13" s="146">
        <f>'App 2-E'!N17</f>
        <v>29339</v>
      </c>
      <c r="E13" s="146">
        <f>'App 2-E'!P17</f>
        <v>25509</v>
      </c>
      <c r="F13" s="146">
        <f>'App 2-E'!R17</f>
        <v>17497.72</v>
      </c>
      <c r="G13" s="146">
        <f>'App 2-E'!T17</f>
        <v>18022.6516</v>
      </c>
      <c r="H13" s="146">
        <f>'App 2-E'!V17</f>
        <v>25000</v>
      </c>
      <c r="J13" s="231">
        <f t="shared" si="0"/>
        <v>-3830</v>
      </c>
      <c r="K13" s="231">
        <f t="shared" si="1"/>
        <v>-8011.279999999999</v>
      </c>
      <c r="L13" s="231">
        <f t="shared" si="2"/>
        <v>524.9315999999999</v>
      </c>
      <c r="M13" s="231">
        <f t="shared" si="3"/>
        <v>6977.348399999999</v>
      </c>
    </row>
    <row r="14" spans="1:13" ht="15">
      <c r="A14" s="172">
        <v>5045</v>
      </c>
      <c r="B14" s="149" t="s">
        <v>270</v>
      </c>
      <c r="C14" s="146">
        <f>'App 2-E'!L18</f>
        <v>3966</v>
      </c>
      <c r="D14" s="146">
        <f>'App 2-E'!N18</f>
        <v>15286</v>
      </c>
      <c r="E14" s="146">
        <f>'App 2-E'!P18</f>
        <v>25314</v>
      </c>
      <c r="F14" s="146">
        <f>'App 2-E'!R18</f>
        <v>17456.27</v>
      </c>
      <c r="G14" s="146">
        <f>'App 2-E'!T18</f>
        <v>19352.37</v>
      </c>
      <c r="H14" s="146">
        <f>'App 2-E'!V18</f>
        <v>19932.9411</v>
      </c>
      <c r="J14" s="231">
        <f t="shared" si="0"/>
        <v>10028</v>
      </c>
      <c r="K14" s="231">
        <f t="shared" si="1"/>
        <v>-7857.73</v>
      </c>
      <c r="L14" s="231">
        <f t="shared" si="2"/>
        <v>1896.0999999999985</v>
      </c>
      <c r="M14" s="231">
        <f t="shared" si="3"/>
        <v>580.571100000001</v>
      </c>
    </row>
    <row r="15" spans="1:13" ht="15">
      <c r="A15" s="172">
        <v>5050</v>
      </c>
      <c r="B15" s="149" t="s">
        <v>271</v>
      </c>
      <c r="C15" s="146">
        <f>'App 2-E'!L19</f>
        <v>0</v>
      </c>
      <c r="D15" s="146">
        <f>'App 2-E'!N19</f>
        <v>0</v>
      </c>
      <c r="E15" s="146">
        <f>'App 2-E'!P19</f>
        <v>0</v>
      </c>
      <c r="F15" s="146">
        <f>'App 2-E'!R19</f>
        <v>0</v>
      </c>
      <c r="G15" s="146">
        <f>'App 2-E'!T19</f>
        <v>0</v>
      </c>
      <c r="H15" s="146">
        <f>'App 2-E'!V19</f>
        <v>0</v>
      </c>
      <c r="J15" s="231">
        <f t="shared" si="0"/>
        <v>0</v>
      </c>
      <c r="K15" s="231">
        <f t="shared" si="1"/>
        <v>0</v>
      </c>
      <c r="L15" s="231">
        <f t="shared" si="2"/>
        <v>0</v>
      </c>
      <c r="M15" s="231">
        <f t="shared" si="3"/>
        <v>0</v>
      </c>
    </row>
    <row r="16" spans="1:13" ht="15">
      <c r="A16" s="172">
        <v>5055</v>
      </c>
      <c r="B16" s="149" t="s">
        <v>272</v>
      </c>
      <c r="C16" s="146">
        <f>'App 2-E'!L20</f>
        <v>0</v>
      </c>
      <c r="D16" s="146">
        <f>'App 2-E'!N20</f>
        <v>0</v>
      </c>
      <c r="E16" s="146">
        <f>'App 2-E'!P20</f>
        <v>0</v>
      </c>
      <c r="F16" s="146">
        <f>'App 2-E'!R20</f>
        <v>0</v>
      </c>
      <c r="G16" s="146">
        <f>'App 2-E'!T20</f>
        <v>0</v>
      </c>
      <c r="H16" s="146">
        <f>'App 2-E'!V20</f>
        <v>0</v>
      </c>
      <c r="J16" s="231">
        <f t="shared" si="0"/>
        <v>0</v>
      </c>
      <c r="K16" s="231">
        <f t="shared" si="1"/>
        <v>0</v>
      </c>
      <c r="L16" s="231">
        <f t="shared" si="2"/>
        <v>0</v>
      </c>
      <c r="M16" s="231">
        <f t="shared" si="3"/>
        <v>0</v>
      </c>
    </row>
    <row r="17" spans="1:13" ht="15">
      <c r="A17" s="172">
        <v>5060</v>
      </c>
      <c r="B17" s="149" t="s">
        <v>273</v>
      </c>
      <c r="C17" s="146">
        <f>'App 2-E'!L21</f>
        <v>0</v>
      </c>
      <c r="D17" s="146">
        <f>'App 2-E'!N21</f>
        <v>0</v>
      </c>
      <c r="E17" s="146">
        <f>'App 2-E'!P21</f>
        <v>0</v>
      </c>
      <c r="F17" s="146">
        <f>'App 2-E'!R21</f>
        <v>0</v>
      </c>
      <c r="G17" s="146">
        <f>'App 2-E'!T21</f>
        <v>0</v>
      </c>
      <c r="H17" s="146">
        <f>'App 2-E'!V21</f>
        <v>0</v>
      </c>
      <c r="J17" s="231">
        <f t="shared" si="0"/>
        <v>0</v>
      </c>
      <c r="K17" s="231">
        <f t="shared" si="1"/>
        <v>0</v>
      </c>
      <c r="L17" s="231">
        <f t="shared" si="2"/>
        <v>0</v>
      </c>
      <c r="M17" s="231">
        <f t="shared" si="3"/>
        <v>0</v>
      </c>
    </row>
    <row r="18" spans="1:13" ht="15">
      <c r="A18" s="172">
        <v>5065</v>
      </c>
      <c r="B18" s="149" t="s">
        <v>274</v>
      </c>
      <c r="C18" s="146">
        <f>'App 2-E'!L22</f>
        <v>0</v>
      </c>
      <c r="D18" s="146">
        <f>'App 2-E'!N22</f>
        <v>0</v>
      </c>
      <c r="E18" s="146">
        <f>'App 2-E'!P22</f>
        <v>0</v>
      </c>
      <c r="F18" s="146">
        <f>'App 2-E'!R22</f>
        <v>0</v>
      </c>
      <c r="G18" s="146">
        <f>'App 2-E'!T22</f>
        <v>15202</v>
      </c>
      <c r="H18" s="146">
        <f>'App 2-E'!V22</f>
        <v>31316.120000000003</v>
      </c>
      <c r="J18" s="231">
        <f t="shared" si="0"/>
        <v>0</v>
      </c>
      <c r="K18" s="231">
        <f t="shared" si="1"/>
        <v>0</v>
      </c>
      <c r="L18" s="232">
        <f t="shared" si="2"/>
        <v>15202</v>
      </c>
      <c r="M18" s="232">
        <f t="shared" si="3"/>
        <v>16114.120000000003</v>
      </c>
    </row>
    <row r="19" spans="1:13" ht="15">
      <c r="A19" s="172">
        <v>5070</v>
      </c>
      <c r="B19" s="149" t="s">
        <v>275</v>
      </c>
      <c r="C19" s="146">
        <f>'App 2-E'!L23</f>
        <v>0</v>
      </c>
      <c r="D19" s="146">
        <f>'App 2-E'!N23</f>
        <v>0</v>
      </c>
      <c r="E19" s="146">
        <f>'App 2-E'!P23</f>
        <v>300</v>
      </c>
      <c r="F19" s="146">
        <f>'App 2-E'!R23</f>
        <v>0</v>
      </c>
      <c r="G19" s="146">
        <f>'App 2-E'!T23</f>
        <v>0</v>
      </c>
      <c r="H19" s="146">
        <f>'App 2-E'!V23</f>
        <v>0</v>
      </c>
      <c r="J19" s="231">
        <f t="shared" si="0"/>
        <v>300</v>
      </c>
      <c r="K19" s="231">
        <f t="shared" si="1"/>
        <v>-300</v>
      </c>
      <c r="L19" s="231">
        <f t="shared" si="2"/>
        <v>0</v>
      </c>
      <c r="M19" s="231">
        <f t="shared" si="3"/>
        <v>0</v>
      </c>
    </row>
    <row r="20" spans="1:13" ht="15">
      <c r="A20" s="172">
        <v>5075</v>
      </c>
      <c r="B20" s="149" t="s">
        <v>276</v>
      </c>
      <c r="C20" s="146">
        <f>'App 2-E'!L24</f>
        <v>0</v>
      </c>
      <c r="D20" s="146">
        <f>'App 2-E'!N24</f>
        <v>0</v>
      </c>
      <c r="E20" s="146">
        <f>'App 2-E'!P24</f>
        <v>0</v>
      </c>
      <c r="F20" s="146">
        <f>'App 2-E'!R24</f>
        <v>0</v>
      </c>
      <c r="G20" s="146">
        <f>'App 2-E'!T24</f>
        <v>0</v>
      </c>
      <c r="H20" s="146">
        <f>'App 2-E'!V24</f>
        <v>77.25</v>
      </c>
      <c r="J20" s="231">
        <f t="shared" si="0"/>
        <v>0</v>
      </c>
      <c r="K20" s="231">
        <f t="shared" si="1"/>
        <v>0</v>
      </c>
      <c r="L20" s="231">
        <f t="shared" si="2"/>
        <v>0</v>
      </c>
      <c r="M20" s="231">
        <f t="shared" si="3"/>
        <v>77.25</v>
      </c>
    </row>
    <row r="21" spans="1:13" ht="15">
      <c r="A21" s="172">
        <v>5085</v>
      </c>
      <c r="B21" s="149" t="s">
        <v>277</v>
      </c>
      <c r="C21" s="146">
        <f>'App 2-E'!L25</f>
        <v>2216</v>
      </c>
      <c r="D21" s="146">
        <f>'App 2-E'!N25</f>
        <v>607</v>
      </c>
      <c r="E21" s="146">
        <f>'App 2-E'!P25</f>
        <v>7921</v>
      </c>
      <c r="F21" s="146">
        <f>'App 2-E'!R25</f>
        <v>4423.56</v>
      </c>
      <c r="G21" s="146">
        <f>'App 2-E'!T25</f>
        <v>4556.266799999999</v>
      </c>
      <c r="H21" s="146">
        <f>'App 2-E'!V25</f>
        <v>4692.954804</v>
      </c>
      <c r="J21" s="231">
        <f t="shared" si="0"/>
        <v>7314</v>
      </c>
      <c r="K21" s="231">
        <f t="shared" si="1"/>
        <v>-3497.4399999999996</v>
      </c>
      <c r="L21" s="231">
        <f t="shared" si="2"/>
        <v>132.70679999999902</v>
      </c>
      <c r="M21" s="231">
        <f t="shared" si="3"/>
        <v>136.68800400000055</v>
      </c>
    </row>
    <row r="22" spans="1:13" ht="15">
      <c r="A22" s="172">
        <v>5090</v>
      </c>
      <c r="B22" s="149" t="s">
        <v>278</v>
      </c>
      <c r="C22" s="146">
        <f>'App 2-E'!L26</f>
        <v>0</v>
      </c>
      <c r="D22" s="146">
        <f>'App 2-E'!N26</f>
        <v>0</v>
      </c>
      <c r="E22" s="146">
        <f>'App 2-E'!P26</f>
        <v>0</v>
      </c>
      <c r="F22" s="146">
        <f>'App 2-E'!R26</f>
        <v>0</v>
      </c>
      <c r="G22" s="146">
        <f>'App 2-E'!T26</f>
        <v>0</v>
      </c>
      <c r="H22" s="146">
        <f>'App 2-E'!V26</f>
        <v>0</v>
      </c>
      <c r="J22" s="231">
        <f t="shared" si="0"/>
        <v>0</v>
      </c>
      <c r="K22" s="231">
        <f t="shared" si="1"/>
        <v>0</v>
      </c>
      <c r="L22" s="231">
        <f t="shared" si="2"/>
        <v>0</v>
      </c>
      <c r="M22" s="231">
        <f t="shared" si="3"/>
        <v>0</v>
      </c>
    </row>
    <row r="23" spans="1:13" ht="15">
      <c r="A23" s="279">
        <v>5095</v>
      </c>
      <c r="B23" s="150" t="s">
        <v>279</v>
      </c>
      <c r="C23" s="146">
        <f>'App 2-E'!L27</f>
        <v>0</v>
      </c>
      <c r="D23" s="146">
        <f>'App 2-E'!N27</f>
        <v>0</v>
      </c>
      <c r="E23" s="146">
        <f>'App 2-E'!P27</f>
        <v>0</v>
      </c>
      <c r="F23" s="146">
        <f>'App 2-E'!R27</f>
        <v>0</v>
      </c>
      <c r="G23" s="146">
        <f>'App 2-E'!T27</f>
        <v>0</v>
      </c>
      <c r="H23" s="146">
        <f>'App 2-E'!V27</f>
        <v>0</v>
      </c>
      <c r="J23" s="231">
        <f t="shared" si="0"/>
        <v>0</v>
      </c>
      <c r="K23" s="231">
        <f t="shared" si="1"/>
        <v>0</v>
      </c>
      <c r="L23" s="231">
        <f t="shared" si="2"/>
        <v>0</v>
      </c>
      <c r="M23" s="231">
        <f t="shared" si="3"/>
        <v>0</v>
      </c>
    </row>
    <row r="24" spans="1:13" ht="15">
      <c r="A24" s="172">
        <v>5096</v>
      </c>
      <c r="B24" s="149" t="s">
        <v>280</v>
      </c>
      <c r="C24" s="146">
        <f>'App 2-E'!L28</f>
        <v>0</v>
      </c>
      <c r="D24" s="146">
        <f>'App 2-E'!N28</f>
        <v>0</v>
      </c>
      <c r="E24" s="146">
        <f>'App 2-E'!P28</f>
        <v>0</v>
      </c>
      <c r="F24" s="146">
        <f>'App 2-E'!R28</f>
        <v>0</v>
      </c>
      <c r="G24" s="146">
        <f>'App 2-E'!T28</f>
        <v>0</v>
      </c>
      <c r="H24" s="146">
        <f>'App 2-E'!V28</f>
        <v>0</v>
      </c>
      <c r="J24" s="231">
        <f t="shared" si="0"/>
        <v>0</v>
      </c>
      <c r="K24" s="231">
        <f t="shared" si="1"/>
        <v>0</v>
      </c>
      <c r="L24" s="231">
        <f t="shared" si="2"/>
        <v>0</v>
      </c>
      <c r="M24" s="231">
        <f t="shared" si="3"/>
        <v>0</v>
      </c>
    </row>
    <row r="25" spans="1:13" ht="15">
      <c r="A25" s="181"/>
      <c r="B25" s="103" t="s">
        <v>325</v>
      </c>
      <c r="C25" s="147">
        <f aca="true" t="shared" si="4" ref="C25:H25">SUM(C2:C24)</f>
        <v>620871</v>
      </c>
      <c r="D25" s="147">
        <f t="shared" si="4"/>
        <v>617177</v>
      </c>
      <c r="E25" s="147">
        <f t="shared" si="4"/>
        <v>505675</v>
      </c>
      <c r="F25" s="147">
        <f t="shared" si="4"/>
        <v>415820.95</v>
      </c>
      <c r="G25" s="147">
        <f t="shared" si="4"/>
        <v>579608.7852</v>
      </c>
      <c r="H25" s="147">
        <f t="shared" si="4"/>
        <v>879396.1671413335</v>
      </c>
      <c r="J25" s="231">
        <f t="shared" si="0"/>
        <v>-111502</v>
      </c>
      <c r="K25" s="231">
        <f t="shared" si="1"/>
        <v>-89854.04999999999</v>
      </c>
      <c r="L25" s="231">
        <f t="shared" si="2"/>
        <v>163787.83520000003</v>
      </c>
      <c r="M25" s="231">
        <f t="shared" si="3"/>
        <v>299787.3819413334</v>
      </c>
    </row>
    <row r="26" spans="10:13" ht="19.5" customHeight="1">
      <c r="J26" s="231">
        <f t="shared" si="0"/>
        <v>0</v>
      </c>
      <c r="K26" s="231">
        <f t="shared" si="1"/>
        <v>0</v>
      </c>
      <c r="L26" s="231">
        <f t="shared" si="2"/>
        <v>0</v>
      </c>
      <c r="M26" s="231">
        <f t="shared" si="3"/>
        <v>0</v>
      </c>
    </row>
    <row r="27" spans="10:13" ht="15">
      <c r="J27" s="231">
        <f t="shared" si="0"/>
        <v>0</v>
      </c>
      <c r="K27" s="231">
        <f t="shared" si="1"/>
        <v>0</v>
      </c>
      <c r="L27" s="231">
        <f t="shared" si="2"/>
        <v>0</v>
      </c>
      <c r="M27" s="231">
        <f t="shared" si="3"/>
        <v>0</v>
      </c>
    </row>
    <row r="28" spans="10:13" ht="15">
      <c r="J28" s="231">
        <f t="shared" si="0"/>
        <v>0</v>
      </c>
      <c r="K28" s="231">
        <f t="shared" si="1"/>
        <v>0</v>
      </c>
      <c r="L28" s="231">
        <f t="shared" si="2"/>
        <v>0</v>
      </c>
      <c r="M28" s="231">
        <f t="shared" si="3"/>
        <v>0</v>
      </c>
    </row>
    <row r="29" spans="1:13" ht="30">
      <c r="A29" s="280" t="s">
        <v>257</v>
      </c>
      <c r="B29" s="148" t="s">
        <v>339</v>
      </c>
      <c r="C29" s="265" t="s">
        <v>176</v>
      </c>
      <c r="D29" s="10" t="s">
        <v>3</v>
      </c>
      <c r="E29" s="265" t="s">
        <v>4</v>
      </c>
      <c r="F29" s="265" t="s">
        <v>171</v>
      </c>
      <c r="G29" s="265" t="s">
        <v>170</v>
      </c>
      <c r="H29" s="265" t="s">
        <v>328</v>
      </c>
      <c r="J29" s="231" t="e">
        <f t="shared" si="0"/>
        <v>#VALUE!</v>
      </c>
      <c r="K29" s="231" t="e">
        <f t="shared" si="1"/>
        <v>#VALUE!</v>
      </c>
      <c r="L29" s="231" t="e">
        <f t="shared" si="2"/>
        <v>#VALUE!</v>
      </c>
      <c r="M29" s="231" t="e">
        <f t="shared" si="3"/>
        <v>#VALUE!</v>
      </c>
    </row>
    <row r="30" spans="1:13" ht="15">
      <c r="A30" s="181">
        <v>5105</v>
      </c>
      <c r="B30" s="104" t="s">
        <v>281</v>
      </c>
      <c r="C30" s="146">
        <f>'App 2-E'!L32</f>
        <v>0</v>
      </c>
      <c r="D30" s="146">
        <f>'App 2-E'!N32</f>
        <v>0</v>
      </c>
      <c r="E30" s="146">
        <f>'App 2-E'!P32</f>
        <v>0</v>
      </c>
      <c r="F30" s="146">
        <f>'App 2-E'!R32</f>
        <v>0</v>
      </c>
      <c r="G30" s="146">
        <f>'App 2-E'!T32</f>
        <v>34875</v>
      </c>
      <c r="H30" s="146">
        <f>'App 2-E'!V32</f>
        <v>52312.5</v>
      </c>
      <c r="J30" s="231">
        <f t="shared" si="0"/>
        <v>0</v>
      </c>
      <c r="K30" s="231">
        <f t="shared" si="1"/>
        <v>0</v>
      </c>
      <c r="L30" s="232">
        <f t="shared" si="2"/>
        <v>34875</v>
      </c>
      <c r="M30" s="232">
        <f t="shared" si="3"/>
        <v>17437.5</v>
      </c>
    </row>
    <row r="31" spans="1:13" ht="15">
      <c r="A31" s="181">
        <v>5110</v>
      </c>
      <c r="B31" s="104" t="s">
        <v>329</v>
      </c>
      <c r="C31" s="146">
        <f>'App 2-E'!L33</f>
        <v>0</v>
      </c>
      <c r="D31" s="146">
        <f>'App 2-E'!N33</f>
        <v>0</v>
      </c>
      <c r="E31" s="146">
        <f>'App 2-E'!P33</f>
        <v>0</v>
      </c>
      <c r="F31" s="146">
        <f>'App 2-E'!R33</f>
        <v>0</v>
      </c>
      <c r="G31" s="146">
        <f>'App 2-E'!T33</f>
        <v>0</v>
      </c>
      <c r="H31" s="146">
        <f>'App 2-E'!V33</f>
        <v>0</v>
      </c>
      <c r="J31" s="231">
        <f t="shared" si="0"/>
        <v>0</v>
      </c>
      <c r="K31" s="231">
        <f t="shared" si="1"/>
        <v>0</v>
      </c>
      <c r="L31" s="231">
        <f t="shared" si="2"/>
        <v>0</v>
      </c>
      <c r="M31" s="231">
        <f t="shared" si="3"/>
        <v>0</v>
      </c>
    </row>
    <row r="32" spans="1:13" ht="15">
      <c r="A32" s="181">
        <v>5112</v>
      </c>
      <c r="B32" s="104" t="s">
        <v>282</v>
      </c>
      <c r="C32" s="146">
        <f>'App 2-E'!L34</f>
        <v>0</v>
      </c>
      <c r="D32" s="146">
        <f>'App 2-E'!N34</f>
        <v>0</v>
      </c>
      <c r="E32" s="146">
        <f>'App 2-E'!P34</f>
        <v>0</v>
      </c>
      <c r="F32" s="146">
        <f>'App 2-E'!R34</f>
        <v>0</v>
      </c>
      <c r="G32" s="146">
        <f>'App 2-E'!T34</f>
        <v>0</v>
      </c>
      <c r="H32" s="146">
        <f>'App 2-E'!V34</f>
        <v>0</v>
      </c>
      <c r="J32" s="231">
        <f t="shared" si="0"/>
        <v>0</v>
      </c>
      <c r="K32" s="231">
        <f t="shared" si="1"/>
        <v>0</v>
      </c>
      <c r="L32" s="231">
        <f t="shared" si="2"/>
        <v>0</v>
      </c>
      <c r="M32" s="231">
        <f t="shared" si="3"/>
        <v>0</v>
      </c>
    </row>
    <row r="33" spans="1:13" ht="15">
      <c r="A33" s="181">
        <v>5114</v>
      </c>
      <c r="B33" s="104" t="s">
        <v>283</v>
      </c>
      <c r="C33" s="146">
        <f>'App 2-E'!L35</f>
        <v>0</v>
      </c>
      <c r="D33" s="146">
        <f>'App 2-E'!N35</f>
        <v>0</v>
      </c>
      <c r="E33" s="146">
        <f>'App 2-E'!P35</f>
        <v>0</v>
      </c>
      <c r="F33" s="146">
        <f>'App 2-E'!R35</f>
        <v>0</v>
      </c>
      <c r="G33" s="146">
        <f>'App 2-E'!T35</f>
        <v>0</v>
      </c>
      <c r="H33" s="146">
        <f>'App 2-E'!V35</f>
        <v>0</v>
      </c>
      <c r="J33" s="231">
        <f t="shared" si="0"/>
        <v>0</v>
      </c>
      <c r="K33" s="231">
        <f t="shared" si="1"/>
        <v>0</v>
      </c>
      <c r="L33" s="231">
        <f t="shared" si="2"/>
        <v>0</v>
      </c>
      <c r="M33" s="231">
        <f t="shared" si="3"/>
        <v>0</v>
      </c>
    </row>
    <row r="34" spans="1:13" ht="15">
      <c r="A34" s="181">
        <v>5120</v>
      </c>
      <c r="B34" s="104" t="s">
        <v>284</v>
      </c>
      <c r="C34" s="146">
        <f>'App 2-E'!L36</f>
        <v>3124</v>
      </c>
      <c r="D34" s="146">
        <f>'App 2-E'!N36</f>
        <v>3033</v>
      </c>
      <c r="E34" s="146">
        <f>'App 2-E'!P36</f>
        <v>8375</v>
      </c>
      <c r="F34" s="146">
        <f>'App 2-E'!R36</f>
        <v>36678.38</v>
      </c>
      <c r="G34" s="146">
        <f>'App 2-E'!T36</f>
        <v>40569.7314</v>
      </c>
      <c r="H34" s="146">
        <f>'App 2-E'!V36</f>
        <v>41786.823342</v>
      </c>
      <c r="J34" s="231">
        <f t="shared" si="0"/>
        <v>5342</v>
      </c>
      <c r="K34" s="232">
        <f t="shared" si="1"/>
        <v>28303.379999999997</v>
      </c>
      <c r="L34" s="231">
        <f t="shared" si="2"/>
        <v>3891.3513999999996</v>
      </c>
      <c r="M34" s="231">
        <f t="shared" si="3"/>
        <v>1217.0919420000064</v>
      </c>
    </row>
    <row r="35" spans="1:13" ht="15">
      <c r="A35" s="181">
        <v>5125</v>
      </c>
      <c r="B35" s="104" t="s">
        <v>285</v>
      </c>
      <c r="C35" s="146">
        <f>'App 2-E'!L37</f>
        <v>0</v>
      </c>
      <c r="D35" s="146">
        <f>'App 2-E'!N37</f>
        <v>0</v>
      </c>
      <c r="E35" s="146">
        <f>'App 2-E'!P37</f>
        <v>0</v>
      </c>
      <c r="F35" s="146">
        <f>'App 2-E'!R37</f>
        <v>0</v>
      </c>
      <c r="G35" s="146">
        <f>'App 2-E'!T37</f>
        <v>0</v>
      </c>
      <c r="H35" s="146">
        <f>'App 2-E'!V37</f>
        <v>10000</v>
      </c>
      <c r="J35" s="231">
        <f t="shared" si="0"/>
        <v>0</v>
      </c>
      <c r="K35" s="231">
        <f t="shared" si="1"/>
        <v>0</v>
      </c>
      <c r="L35" s="231">
        <f t="shared" si="2"/>
        <v>0</v>
      </c>
      <c r="M35" s="232">
        <f t="shared" si="3"/>
        <v>10000</v>
      </c>
    </row>
    <row r="36" spans="1:13" ht="15">
      <c r="A36" s="181">
        <v>5130</v>
      </c>
      <c r="B36" s="104" t="s">
        <v>286</v>
      </c>
      <c r="C36" s="146">
        <f>'App 2-E'!L38</f>
        <v>0</v>
      </c>
      <c r="D36" s="146">
        <f>'App 2-E'!N38</f>
        <v>0</v>
      </c>
      <c r="E36" s="146">
        <f>'App 2-E'!P38</f>
        <v>0</v>
      </c>
      <c r="F36" s="146">
        <f>'App 2-E'!R38</f>
        <v>0</v>
      </c>
      <c r="G36" s="146">
        <f>'App 2-E'!T38</f>
        <v>0</v>
      </c>
      <c r="H36" s="146">
        <f>'App 2-E'!V38</f>
        <v>3000</v>
      </c>
      <c r="J36" s="231">
        <f t="shared" si="0"/>
        <v>0</v>
      </c>
      <c r="K36" s="231">
        <f t="shared" si="1"/>
        <v>0</v>
      </c>
      <c r="L36" s="231">
        <f t="shared" si="2"/>
        <v>0</v>
      </c>
      <c r="M36" s="231">
        <f t="shared" si="3"/>
        <v>3000</v>
      </c>
    </row>
    <row r="37" spans="1:13" ht="15">
      <c r="A37" s="181">
        <v>5135</v>
      </c>
      <c r="B37" s="104" t="s">
        <v>330</v>
      </c>
      <c r="C37" s="146">
        <f>'App 2-E'!L39</f>
        <v>18016</v>
      </c>
      <c r="D37" s="146">
        <f>'App 2-E'!N39</f>
        <v>24233</v>
      </c>
      <c r="E37" s="146">
        <f>'App 2-E'!P39</f>
        <v>39912</v>
      </c>
      <c r="F37" s="146">
        <f>'App 2-E'!R39</f>
        <v>69204.25</v>
      </c>
      <c r="G37" s="146">
        <f>'App 2-E'!T39</f>
        <v>44862.8075</v>
      </c>
      <c r="H37" s="146">
        <f>'App 2-E'!V39</f>
        <v>45053.931725</v>
      </c>
      <c r="J37" s="232">
        <f t="shared" si="0"/>
        <v>15679</v>
      </c>
      <c r="K37" s="232">
        <f t="shared" si="1"/>
        <v>29292.25</v>
      </c>
      <c r="L37" s="232">
        <f t="shared" si="2"/>
        <v>-24341.442499999997</v>
      </c>
      <c r="M37" s="231">
        <f t="shared" si="3"/>
        <v>191.12422499999957</v>
      </c>
    </row>
    <row r="38" spans="1:13" ht="15">
      <c r="A38" s="181">
        <v>5145</v>
      </c>
      <c r="B38" s="104" t="s">
        <v>287</v>
      </c>
      <c r="C38" s="146">
        <f>'App 2-E'!L40</f>
        <v>0</v>
      </c>
      <c r="D38" s="146">
        <f>'App 2-E'!N40</f>
        <v>0</v>
      </c>
      <c r="E38" s="146">
        <f>'App 2-E'!P40</f>
        <v>0</v>
      </c>
      <c r="F38" s="146">
        <f>'App 2-E'!R40</f>
        <v>0</v>
      </c>
      <c r="G38" s="146">
        <f>'App 2-E'!T40</f>
        <v>0</v>
      </c>
      <c r="H38" s="146">
        <f>'App 2-E'!V40</f>
        <v>0</v>
      </c>
      <c r="J38" s="231">
        <f t="shared" si="0"/>
        <v>0</v>
      </c>
      <c r="K38" s="231">
        <f t="shared" si="1"/>
        <v>0</v>
      </c>
      <c r="L38" s="231">
        <f t="shared" si="2"/>
        <v>0</v>
      </c>
      <c r="M38" s="231">
        <f t="shared" si="3"/>
        <v>0</v>
      </c>
    </row>
    <row r="39" spans="1:13" ht="15">
      <c r="A39" s="181">
        <v>5150</v>
      </c>
      <c r="B39" s="104" t="s">
        <v>288</v>
      </c>
      <c r="C39" s="146">
        <f>'App 2-E'!L41</f>
        <v>0</v>
      </c>
      <c r="D39" s="146">
        <f>'App 2-E'!N41</f>
        <v>0</v>
      </c>
      <c r="E39" s="146">
        <f>'App 2-E'!P41</f>
        <v>0</v>
      </c>
      <c r="F39" s="146">
        <f>'App 2-E'!R41</f>
        <v>0</v>
      </c>
      <c r="G39" s="146">
        <f>'App 2-E'!T41</f>
        <v>0</v>
      </c>
      <c r="H39" s="146">
        <f>'App 2-E'!V41</f>
        <v>0</v>
      </c>
      <c r="J39" s="231">
        <f t="shared" si="0"/>
        <v>0</v>
      </c>
      <c r="K39" s="231">
        <f t="shared" si="1"/>
        <v>0</v>
      </c>
      <c r="L39" s="231">
        <f t="shared" si="2"/>
        <v>0</v>
      </c>
      <c r="M39" s="231">
        <f t="shared" si="3"/>
        <v>0</v>
      </c>
    </row>
    <row r="40" spans="1:13" ht="15">
      <c r="A40" s="181">
        <v>5155</v>
      </c>
      <c r="B40" s="104" t="s">
        <v>289</v>
      </c>
      <c r="C40" s="146">
        <f>'App 2-E'!L42</f>
        <v>214</v>
      </c>
      <c r="D40" s="146">
        <f>'App 2-E'!N42</f>
        <v>1197</v>
      </c>
      <c r="E40" s="146">
        <f>'App 2-E'!P42</f>
        <v>9015</v>
      </c>
      <c r="F40" s="146">
        <f>'App 2-E'!R42</f>
        <v>8699.33</v>
      </c>
      <c r="G40" s="146">
        <f>'App 2-E'!T42</f>
        <v>8960.309899999998</v>
      </c>
      <c r="H40" s="146">
        <f>'App 2-E'!V42</f>
        <v>9229.119197</v>
      </c>
      <c r="J40" s="231">
        <f t="shared" si="0"/>
        <v>7818</v>
      </c>
      <c r="K40" s="231">
        <f t="shared" si="1"/>
        <v>-315.6700000000001</v>
      </c>
      <c r="L40" s="231">
        <f t="shared" si="2"/>
        <v>260.97989999999845</v>
      </c>
      <c r="M40" s="231">
        <f t="shared" si="3"/>
        <v>268.8092970000016</v>
      </c>
    </row>
    <row r="41" spans="1:13" ht="15">
      <c r="A41" s="181">
        <v>5160</v>
      </c>
      <c r="B41" s="104" t="s">
        <v>290</v>
      </c>
      <c r="C41" s="146">
        <f>'App 2-E'!L43</f>
        <v>65522</v>
      </c>
      <c r="D41" s="146">
        <f>'App 2-E'!N43</f>
        <v>35904</v>
      </c>
      <c r="E41" s="146">
        <f>'App 2-E'!P43</f>
        <v>42096</v>
      </c>
      <c r="F41" s="146">
        <f>'App 2-E'!R43</f>
        <v>30881.41</v>
      </c>
      <c r="G41" s="146">
        <f>'App 2-E'!T43</f>
        <v>35674.4174</v>
      </c>
      <c r="H41" s="146">
        <f>'App 2-E'!V43</f>
        <v>36138.89685</v>
      </c>
      <c r="J41" s="231">
        <f t="shared" si="0"/>
        <v>6192</v>
      </c>
      <c r="K41" s="231">
        <f t="shared" si="1"/>
        <v>-11214.59</v>
      </c>
      <c r="L41" s="231">
        <f t="shared" si="2"/>
        <v>4793.007399999999</v>
      </c>
      <c r="M41" s="231">
        <f t="shared" si="3"/>
        <v>464.4794499999989</v>
      </c>
    </row>
    <row r="42" spans="1:13" ht="15">
      <c r="A42" s="181">
        <v>5165</v>
      </c>
      <c r="B42" s="104" t="s">
        <v>291</v>
      </c>
      <c r="C42" s="146">
        <f>'App 2-E'!L44</f>
        <v>0</v>
      </c>
      <c r="D42" s="146">
        <f>'App 2-E'!N44</f>
        <v>0</v>
      </c>
      <c r="E42" s="146">
        <f>'App 2-E'!P44</f>
        <v>0</v>
      </c>
      <c r="F42" s="146">
        <f>'App 2-E'!R44</f>
        <v>0</v>
      </c>
      <c r="G42" s="146">
        <f>'App 2-E'!T44</f>
        <v>0</v>
      </c>
      <c r="H42" s="146">
        <f>'App 2-E'!V44</f>
        <v>0</v>
      </c>
      <c r="J42" s="231">
        <f t="shared" si="0"/>
        <v>0</v>
      </c>
      <c r="K42" s="231">
        <f t="shared" si="1"/>
        <v>0</v>
      </c>
      <c r="L42" s="231">
        <f t="shared" si="2"/>
        <v>0</v>
      </c>
      <c r="M42" s="231">
        <f t="shared" si="3"/>
        <v>0</v>
      </c>
    </row>
    <row r="43" spans="1:13" ht="15">
      <c r="A43" s="181">
        <v>5170</v>
      </c>
      <c r="B43" s="104" t="s">
        <v>331</v>
      </c>
      <c r="C43" s="146">
        <f>'App 2-E'!L45</f>
        <v>0</v>
      </c>
      <c r="D43" s="146">
        <f>'App 2-E'!N45</f>
        <v>0</v>
      </c>
      <c r="E43" s="146">
        <f>'App 2-E'!P45</f>
        <v>0</v>
      </c>
      <c r="F43" s="146">
        <f>'App 2-E'!R45</f>
        <v>0</v>
      </c>
      <c r="G43" s="146">
        <f>'App 2-E'!T45</f>
        <v>0</v>
      </c>
      <c r="H43" s="146">
        <f>'App 2-E'!V45</f>
        <v>0</v>
      </c>
      <c r="J43" s="231">
        <f t="shared" si="0"/>
        <v>0</v>
      </c>
      <c r="K43" s="231">
        <f t="shared" si="1"/>
        <v>0</v>
      </c>
      <c r="L43" s="231">
        <f t="shared" si="2"/>
        <v>0</v>
      </c>
      <c r="M43" s="231">
        <f t="shared" si="3"/>
        <v>0</v>
      </c>
    </row>
    <row r="44" spans="1:13" ht="15">
      <c r="A44" s="181">
        <v>5172</v>
      </c>
      <c r="B44" s="104" t="s">
        <v>332</v>
      </c>
      <c r="C44" s="146">
        <f>'App 2-E'!L46</f>
        <v>0</v>
      </c>
      <c r="D44" s="146">
        <f>'App 2-E'!N46</f>
        <v>0</v>
      </c>
      <c r="E44" s="146">
        <f>'App 2-E'!P46</f>
        <v>0</v>
      </c>
      <c r="F44" s="146">
        <f>'App 2-E'!R46</f>
        <v>0</v>
      </c>
      <c r="G44" s="146">
        <f>'App 2-E'!T46</f>
        <v>0</v>
      </c>
      <c r="H44" s="146">
        <f>'App 2-E'!V46</f>
        <v>0</v>
      </c>
      <c r="J44" s="231">
        <f t="shared" si="0"/>
        <v>0</v>
      </c>
      <c r="K44" s="231">
        <f t="shared" si="1"/>
        <v>0</v>
      </c>
      <c r="L44" s="231">
        <f t="shared" si="2"/>
        <v>0</v>
      </c>
      <c r="M44" s="231">
        <f t="shared" si="3"/>
        <v>0</v>
      </c>
    </row>
    <row r="45" spans="1:13" ht="15">
      <c r="A45" s="181">
        <v>5175</v>
      </c>
      <c r="B45" s="104" t="s">
        <v>292</v>
      </c>
      <c r="C45" s="146">
        <f>'App 2-E'!L47</f>
        <v>17231</v>
      </c>
      <c r="D45" s="146">
        <f>'App 2-E'!N47</f>
        <v>12970</v>
      </c>
      <c r="E45" s="146">
        <f>'App 2-E'!P47</f>
        <v>40217</v>
      </c>
      <c r="F45" s="146">
        <f>'App 2-E'!R47</f>
        <v>79848.32</v>
      </c>
      <c r="G45" s="146">
        <f>'App 2-E'!T47</f>
        <v>141276.5964</v>
      </c>
      <c r="H45" s="146">
        <f>'App 2-E'!V47</f>
        <v>194264.250696</v>
      </c>
      <c r="J45" s="232">
        <f t="shared" si="0"/>
        <v>27247</v>
      </c>
      <c r="K45" s="232">
        <f t="shared" si="1"/>
        <v>39631.32000000001</v>
      </c>
      <c r="L45" s="232">
        <f t="shared" si="2"/>
        <v>61428.2764</v>
      </c>
      <c r="M45" s="232">
        <f t="shared" si="3"/>
        <v>52987.65429599999</v>
      </c>
    </row>
    <row r="46" spans="1:13" ht="15">
      <c r="A46" s="181">
        <v>5178</v>
      </c>
      <c r="B46" s="104" t="s">
        <v>333</v>
      </c>
      <c r="C46" s="146">
        <f>'App 2-E'!L48</f>
        <v>0</v>
      </c>
      <c r="D46" s="146">
        <f>'App 2-E'!N48</f>
        <v>0</v>
      </c>
      <c r="E46" s="146">
        <f>'App 2-E'!P48</f>
        <v>0</v>
      </c>
      <c r="F46" s="146">
        <f>'App 2-E'!R48</f>
        <v>0</v>
      </c>
      <c r="G46" s="146">
        <f>'App 2-E'!T48</f>
        <v>0</v>
      </c>
      <c r="H46" s="146">
        <f>'App 2-E'!V48</f>
        <v>0</v>
      </c>
      <c r="J46" s="231">
        <f t="shared" si="0"/>
        <v>0</v>
      </c>
      <c r="K46" s="231">
        <f t="shared" si="1"/>
        <v>0</v>
      </c>
      <c r="L46" s="231">
        <f t="shared" si="2"/>
        <v>0</v>
      </c>
      <c r="M46" s="231">
        <f t="shared" si="3"/>
        <v>0</v>
      </c>
    </row>
    <row r="47" spans="1:13" ht="15">
      <c r="A47" s="181">
        <v>5195</v>
      </c>
      <c r="B47" s="104" t="s">
        <v>293</v>
      </c>
      <c r="C47" s="146">
        <f>'App 2-E'!L49</f>
        <v>0</v>
      </c>
      <c r="D47" s="146">
        <f>'App 2-E'!N49</f>
        <v>0</v>
      </c>
      <c r="E47" s="146">
        <f>'App 2-E'!P49</f>
        <v>0</v>
      </c>
      <c r="F47" s="146">
        <f>'App 2-E'!R49</f>
        <v>0</v>
      </c>
      <c r="G47" s="146">
        <f>'App 2-E'!T49</f>
        <v>0</v>
      </c>
      <c r="H47" s="146">
        <v>0</v>
      </c>
      <c r="J47" s="231">
        <f t="shared" si="0"/>
        <v>0</v>
      </c>
      <c r="K47" s="231">
        <f t="shared" si="1"/>
        <v>0</v>
      </c>
      <c r="L47" s="231">
        <f t="shared" si="2"/>
        <v>0</v>
      </c>
      <c r="M47" s="231">
        <f t="shared" si="3"/>
        <v>0</v>
      </c>
    </row>
    <row r="48" spans="1:13" ht="15">
      <c r="A48" s="181"/>
      <c r="B48" s="103" t="s">
        <v>327</v>
      </c>
      <c r="C48" s="147">
        <f aca="true" t="shared" si="5" ref="C48:H48">SUM(C30:C47)</f>
        <v>104107</v>
      </c>
      <c r="D48" s="147">
        <f t="shared" si="5"/>
        <v>77337</v>
      </c>
      <c r="E48" s="147">
        <f t="shared" si="5"/>
        <v>139615</v>
      </c>
      <c r="F48" s="147">
        <f t="shared" si="5"/>
        <v>225311.69</v>
      </c>
      <c r="G48" s="147">
        <f t="shared" si="5"/>
        <v>306218.8626</v>
      </c>
      <c r="H48" s="147">
        <f t="shared" si="5"/>
        <v>391785.52180999995</v>
      </c>
      <c r="J48" s="231">
        <f t="shared" si="0"/>
        <v>62278</v>
      </c>
      <c r="K48" s="231">
        <f t="shared" si="1"/>
        <v>85696.69</v>
      </c>
      <c r="L48" s="231">
        <f t="shared" si="2"/>
        <v>80907.17259999999</v>
      </c>
      <c r="M48" s="231">
        <f t="shared" si="3"/>
        <v>85566.65920999995</v>
      </c>
    </row>
    <row r="49" spans="10:13" ht="15">
      <c r="J49" s="231">
        <f t="shared" si="0"/>
        <v>0</v>
      </c>
      <c r="K49" s="231">
        <f t="shared" si="1"/>
        <v>0</v>
      </c>
      <c r="L49" s="231">
        <f t="shared" si="2"/>
        <v>0</v>
      </c>
      <c r="M49" s="231">
        <f t="shared" si="3"/>
        <v>0</v>
      </c>
    </row>
    <row r="50" spans="10:13" ht="15">
      <c r="J50" s="231">
        <f t="shared" si="0"/>
        <v>0</v>
      </c>
      <c r="K50" s="231">
        <f t="shared" si="1"/>
        <v>0</v>
      </c>
      <c r="L50" s="231">
        <f t="shared" si="2"/>
        <v>0</v>
      </c>
      <c r="M50" s="231">
        <f t="shared" si="3"/>
        <v>0</v>
      </c>
    </row>
    <row r="51" spans="10:13" ht="15">
      <c r="J51" s="231">
        <f t="shared" si="0"/>
        <v>0</v>
      </c>
      <c r="K51" s="231">
        <f t="shared" si="1"/>
        <v>0</v>
      </c>
      <c r="L51" s="231">
        <f t="shared" si="2"/>
        <v>0</v>
      </c>
      <c r="M51" s="231">
        <f t="shared" si="3"/>
        <v>0</v>
      </c>
    </row>
    <row r="52" spans="1:13" ht="30">
      <c r="A52" s="280" t="s">
        <v>257</v>
      </c>
      <c r="B52" s="148" t="s">
        <v>338</v>
      </c>
      <c r="C52" s="265" t="s">
        <v>176</v>
      </c>
      <c r="D52" s="265" t="s">
        <v>3</v>
      </c>
      <c r="E52" s="265" t="s">
        <v>4</v>
      </c>
      <c r="F52" s="265" t="s">
        <v>171</v>
      </c>
      <c r="G52" s="265" t="s">
        <v>170</v>
      </c>
      <c r="H52" s="265" t="s">
        <v>328</v>
      </c>
      <c r="J52" s="231" t="e">
        <f t="shared" si="0"/>
        <v>#VALUE!</v>
      </c>
      <c r="K52" s="231" t="e">
        <f t="shared" si="1"/>
        <v>#VALUE!</v>
      </c>
      <c r="L52" s="231" t="e">
        <f t="shared" si="2"/>
        <v>#VALUE!</v>
      </c>
      <c r="M52" s="231" t="e">
        <f t="shared" si="3"/>
        <v>#VALUE!</v>
      </c>
    </row>
    <row r="53" spans="1:13" ht="15">
      <c r="A53" s="181">
        <v>5305</v>
      </c>
      <c r="B53" s="104" t="s">
        <v>294</v>
      </c>
      <c r="C53" s="146">
        <f>'App 2-E'!L53</f>
        <v>0</v>
      </c>
      <c r="D53" s="146">
        <f>'App 2-E'!N53</f>
        <v>0</v>
      </c>
      <c r="E53" s="146">
        <f>'App 2-E'!P53</f>
        <v>0</v>
      </c>
      <c r="F53" s="146">
        <f>'App 2-E'!R53</f>
        <v>0</v>
      </c>
      <c r="G53" s="146">
        <f>'App 2-E'!T53</f>
        <v>0</v>
      </c>
      <c r="H53" s="146">
        <f>'App 2-E'!V53</f>
        <v>0</v>
      </c>
      <c r="J53" s="231">
        <f t="shared" si="0"/>
        <v>0</v>
      </c>
      <c r="K53" s="231">
        <f t="shared" si="1"/>
        <v>0</v>
      </c>
      <c r="L53" s="231">
        <f t="shared" si="2"/>
        <v>0</v>
      </c>
      <c r="M53" s="231">
        <f t="shared" si="3"/>
        <v>0</v>
      </c>
    </row>
    <row r="54" spans="1:13" ht="15">
      <c r="A54" s="181">
        <v>5310</v>
      </c>
      <c r="B54" s="104" t="s">
        <v>295</v>
      </c>
      <c r="C54" s="146">
        <f>'App 2-E'!L54</f>
        <v>65533</v>
      </c>
      <c r="D54" s="146">
        <f>'App 2-E'!N54</f>
        <v>64970</v>
      </c>
      <c r="E54" s="146">
        <f>'App 2-E'!P54</f>
        <v>63778</v>
      </c>
      <c r="F54" s="146">
        <f>'App 2-E'!R54</f>
        <v>62889.54</v>
      </c>
      <c r="G54" s="146">
        <f>'App 2-E'!T54</f>
        <v>134191.21</v>
      </c>
      <c r="H54" s="146">
        <f>'App 2-E'!V54</f>
        <v>17191.9512</v>
      </c>
      <c r="J54" s="231">
        <f t="shared" si="0"/>
        <v>-1192</v>
      </c>
      <c r="K54" s="231">
        <f t="shared" si="1"/>
        <v>-888.4599999999991</v>
      </c>
      <c r="L54" s="232">
        <f t="shared" si="2"/>
        <v>71301.66999999998</v>
      </c>
      <c r="M54" s="232">
        <f t="shared" si="3"/>
        <v>-116999.2588</v>
      </c>
    </row>
    <row r="55" spans="1:13" ht="15">
      <c r="A55" s="181">
        <v>5315</v>
      </c>
      <c r="B55" s="104" t="s">
        <v>296</v>
      </c>
      <c r="C55" s="146">
        <f>'App 2-E'!L55</f>
        <v>122846</v>
      </c>
      <c r="D55" s="146">
        <f>'App 2-E'!N55</f>
        <v>122411</v>
      </c>
      <c r="E55" s="146">
        <f>'App 2-E'!P55</f>
        <v>129841</v>
      </c>
      <c r="F55" s="146">
        <f>'App 2-E'!R55</f>
        <v>126867.12</v>
      </c>
      <c r="G55" s="146">
        <f>'App 2-E'!T55</f>
        <v>130575.2836</v>
      </c>
      <c r="H55" s="146">
        <f>'App 2-E'!V55</f>
        <v>131000</v>
      </c>
      <c r="J55" s="231">
        <f t="shared" si="0"/>
        <v>7430</v>
      </c>
      <c r="K55" s="231">
        <f t="shared" si="1"/>
        <v>-2973.8800000000047</v>
      </c>
      <c r="L55" s="231">
        <f t="shared" si="2"/>
        <v>3708.1636</v>
      </c>
      <c r="M55" s="231">
        <f t="shared" si="3"/>
        <v>424.7164000000048</v>
      </c>
    </row>
    <row r="56" spans="1:13" ht="15">
      <c r="A56" s="181">
        <v>5320</v>
      </c>
      <c r="B56" s="104" t="s">
        <v>297</v>
      </c>
      <c r="C56" s="146">
        <f>'App 2-E'!L56</f>
        <v>97303</v>
      </c>
      <c r="D56" s="146">
        <f>'App 2-E'!N56</f>
        <v>97641</v>
      </c>
      <c r="E56" s="146">
        <f>'App 2-E'!P56</f>
        <v>92675</v>
      </c>
      <c r="F56" s="146">
        <f>'App 2-E'!R56</f>
        <v>103730.38</v>
      </c>
      <c r="G56" s="146">
        <f>'App 2-E'!T56</f>
        <v>106842.2914</v>
      </c>
      <c r="H56" s="146">
        <f>'App 2-E'!V56</f>
        <v>130277.17214200002</v>
      </c>
      <c r="J56" s="231">
        <f t="shared" si="0"/>
        <v>-4966</v>
      </c>
      <c r="K56" s="232">
        <f t="shared" si="1"/>
        <v>11055.380000000005</v>
      </c>
      <c r="L56" s="231">
        <f t="shared" si="2"/>
        <v>3111.9113999999972</v>
      </c>
      <c r="M56" s="232">
        <f t="shared" si="3"/>
        <v>23434.880742000023</v>
      </c>
    </row>
    <row r="57" spans="1:13" ht="15">
      <c r="A57" s="181">
        <v>5325</v>
      </c>
      <c r="B57" s="104" t="s">
        <v>298</v>
      </c>
      <c r="C57" s="146">
        <f>'App 2-E'!L57</f>
        <v>-17</v>
      </c>
      <c r="D57" s="146">
        <f>'App 2-E'!N57</f>
        <v>5</v>
      </c>
      <c r="E57" s="146">
        <f>'App 2-E'!P57</f>
        <v>128</v>
      </c>
      <c r="F57" s="146">
        <f>'App 2-E'!R57</f>
        <v>-16.85</v>
      </c>
      <c r="G57" s="146">
        <f>'App 2-E'!T57</f>
        <v>0</v>
      </c>
      <c r="H57" s="146">
        <f>'App 2-E'!V57</f>
        <v>0</v>
      </c>
      <c r="J57" s="231">
        <f t="shared" si="0"/>
        <v>123</v>
      </c>
      <c r="K57" s="231">
        <f t="shared" si="1"/>
        <v>-144.85</v>
      </c>
      <c r="L57" s="231">
        <f t="shared" si="2"/>
        <v>16.85</v>
      </c>
      <c r="M57" s="231">
        <f t="shared" si="3"/>
        <v>0</v>
      </c>
    </row>
    <row r="58" spans="1:13" ht="15">
      <c r="A58" s="181">
        <v>5330</v>
      </c>
      <c r="B58" s="104" t="s">
        <v>299</v>
      </c>
      <c r="C58" s="146">
        <f>'App 2-E'!L58</f>
        <v>516</v>
      </c>
      <c r="D58" s="146">
        <f>'App 2-E'!N58</f>
        <v>4440</v>
      </c>
      <c r="E58" s="146">
        <f>'App 2-E'!P58</f>
        <v>8925</v>
      </c>
      <c r="F58" s="146">
        <f>'App 2-E'!R58</f>
        <v>4067.17</v>
      </c>
      <c r="G58" s="146">
        <f>'App 2-E'!T58</f>
        <v>4050.32</v>
      </c>
      <c r="H58" s="146">
        <f>'App 2-E'!V58</f>
        <v>4171.8296</v>
      </c>
      <c r="J58" s="231">
        <f t="shared" si="0"/>
        <v>4485</v>
      </c>
      <c r="K58" s="231">
        <f t="shared" si="1"/>
        <v>-4857.83</v>
      </c>
      <c r="L58" s="231">
        <f t="shared" si="2"/>
        <v>-16.84999999999991</v>
      </c>
      <c r="M58" s="231">
        <f t="shared" si="3"/>
        <v>121.50959999999986</v>
      </c>
    </row>
    <row r="59" spans="1:13" ht="15">
      <c r="A59" s="181">
        <v>5335</v>
      </c>
      <c r="B59" s="104" t="s">
        <v>300</v>
      </c>
      <c r="C59" s="146">
        <f>'App 2-E'!L59</f>
        <v>21344</v>
      </c>
      <c r="D59" s="146">
        <f>'App 2-E'!N59</f>
        <v>29693</v>
      </c>
      <c r="E59" s="146">
        <f>'App 2-E'!P59</f>
        <v>13290</v>
      </c>
      <c r="F59" s="146">
        <f>'App 2-E'!R59</f>
        <v>22681.1</v>
      </c>
      <c r="G59" s="146">
        <f>'App 2-E'!T59</f>
        <v>21888.063333333335</v>
      </c>
      <c r="H59" s="146">
        <f>'App 2-E'!V59</f>
        <v>22544.705233333338</v>
      </c>
      <c r="J59" s="232">
        <f t="shared" si="0"/>
        <v>-16403</v>
      </c>
      <c r="K59" s="231">
        <f t="shared" si="1"/>
        <v>9391.099999999999</v>
      </c>
      <c r="L59" s="231">
        <f t="shared" si="2"/>
        <v>-793.0366666666632</v>
      </c>
      <c r="M59" s="231">
        <f t="shared" si="3"/>
        <v>656.6419000000024</v>
      </c>
    </row>
    <row r="60" spans="1:13" ht="15">
      <c r="A60" s="181">
        <v>5340</v>
      </c>
      <c r="B60" s="104" t="s">
        <v>301</v>
      </c>
      <c r="C60" s="146">
        <f>'App 2-E'!L60</f>
        <v>121319</v>
      </c>
      <c r="D60" s="146">
        <f>'App 2-E'!N60</f>
        <v>121125</v>
      </c>
      <c r="E60" s="146">
        <f>'App 2-E'!P60</f>
        <v>99078</v>
      </c>
      <c r="F60" s="146">
        <f>'App 2-E'!R60</f>
        <v>105260.86</v>
      </c>
      <c r="G60" s="146">
        <f>'App 2-E'!T60</f>
        <v>103995.2158</v>
      </c>
      <c r="H60" s="146">
        <f>'App 2-E'!V60</f>
        <v>195112.49062</v>
      </c>
      <c r="J60" s="232">
        <f t="shared" si="0"/>
        <v>-22047</v>
      </c>
      <c r="K60" s="231">
        <f t="shared" si="1"/>
        <v>6182.860000000001</v>
      </c>
      <c r="L60" s="231">
        <f t="shared" si="2"/>
        <v>-1265.6441999999952</v>
      </c>
      <c r="M60" s="232">
        <f t="shared" si="3"/>
        <v>91117.27481999999</v>
      </c>
    </row>
    <row r="61" spans="1:13" ht="15">
      <c r="A61" s="181"/>
      <c r="B61" s="103" t="s">
        <v>334</v>
      </c>
      <c r="C61" s="147">
        <f aca="true" t="shared" si="6" ref="C61:H61">SUM(C53:C60)</f>
        <v>428844</v>
      </c>
      <c r="D61" s="147">
        <f t="shared" si="6"/>
        <v>440285</v>
      </c>
      <c r="E61" s="147">
        <f t="shared" si="6"/>
        <v>407715</v>
      </c>
      <c r="F61" s="147">
        <f t="shared" si="6"/>
        <v>425479.32</v>
      </c>
      <c r="G61" s="147">
        <f t="shared" si="6"/>
        <v>501542.38413333334</v>
      </c>
      <c r="H61" s="147">
        <f t="shared" si="6"/>
        <v>500298.1487953334</v>
      </c>
      <c r="J61" s="231">
        <f t="shared" si="0"/>
        <v>-32570</v>
      </c>
      <c r="K61" s="233">
        <f t="shared" si="1"/>
        <v>17764.320000000007</v>
      </c>
      <c r="L61" s="233">
        <f t="shared" si="2"/>
        <v>76063.06413333333</v>
      </c>
      <c r="M61" s="231">
        <f t="shared" si="3"/>
        <v>-1244.2353379999404</v>
      </c>
    </row>
    <row r="62" spans="10:13" ht="15">
      <c r="J62" s="231">
        <f t="shared" si="0"/>
        <v>0</v>
      </c>
      <c r="K62" s="233">
        <f t="shared" si="1"/>
        <v>0</v>
      </c>
      <c r="L62" s="233">
        <f t="shared" si="2"/>
        <v>0</v>
      </c>
      <c r="M62" s="231">
        <f t="shared" si="3"/>
        <v>0</v>
      </c>
    </row>
    <row r="63" spans="10:13" ht="15">
      <c r="J63" s="231">
        <f t="shared" si="0"/>
        <v>0</v>
      </c>
      <c r="K63" s="231">
        <f t="shared" si="1"/>
        <v>0</v>
      </c>
      <c r="L63" s="231">
        <f t="shared" si="2"/>
        <v>0</v>
      </c>
      <c r="M63" s="231">
        <f t="shared" si="3"/>
        <v>0</v>
      </c>
    </row>
    <row r="64" spans="1:13" ht="30">
      <c r="A64" s="280" t="s">
        <v>257</v>
      </c>
      <c r="B64" s="148" t="s">
        <v>335</v>
      </c>
      <c r="C64" s="265" t="s">
        <v>176</v>
      </c>
      <c r="D64" s="10" t="s">
        <v>3</v>
      </c>
      <c r="E64" s="265" t="s">
        <v>4</v>
      </c>
      <c r="F64" s="265" t="s">
        <v>171</v>
      </c>
      <c r="G64" s="265" t="s">
        <v>170</v>
      </c>
      <c r="H64" s="265" t="s">
        <v>328</v>
      </c>
      <c r="J64" s="231" t="e">
        <f t="shared" si="0"/>
        <v>#VALUE!</v>
      </c>
      <c r="K64" s="231" t="e">
        <f t="shared" si="1"/>
        <v>#VALUE!</v>
      </c>
      <c r="L64" s="231" t="e">
        <f t="shared" si="2"/>
        <v>#VALUE!</v>
      </c>
      <c r="M64" s="231" t="e">
        <f t="shared" si="3"/>
        <v>#VALUE!</v>
      </c>
    </row>
    <row r="65" spans="1:13" ht="15">
      <c r="A65" s="181">
        <v>5405</v>
      </c>
      <c r="B65" s="104" t="s">
        <v>294</v>
      </c>
      <c r="C65" s="146">
        <f>'App 2-E'!L64</f>
        <v>0</v>
      </c>
      <c r="D65" s="146">
        <f>'App 2-E'!N64</f>
        <v>0</v>
      </c>
      <c r="E65" s="146">
        <f>'App 2-E'!P64</f>
        <v>0</v>
      </c>
      <c r="F65" s="146">
        <f>'App 2-E'!R64</f>
        <v>0</v>
      </c>
      <c r="G65" s="146">
        <f>'App 2-E'!T64</f>
        <v>0</v>
      </c>
      <c r="H65" s="146">
        <f>'App 2-E'!V64</f>
        <v>0</v>
      </c>
      <c r="J65" s="231">
        <f t="shared" si="0"/>
        <v>0</v>
      </c>
      <c r="K65" s="231">
        <f t="shared" si="1"/>
        <v>0</v>
      </c>
      <c r="L65" s="231">
        <f t="shared" si="2"/>
        <v>0</v>
      </c>
      <c r="M65" s="231">
        <f t="shared" si="3"/>
        <v>0</v>
      </c>
    </row>
    <row r="66" spans="1:13" ht="15">
      <c r="A66" s="181">
        <v>5410</v>
      </c>
      <c r="B66" s="104" t="s">
        <v>302</v>
      </c>
      <c r="C66" s="146">
        <f>'App 2-E'!L65</f>
        <v>19767</v>
      </c>
      <c r="D66" s="146">
        <f>'App 2-E'!N65</f>
        <v>8053</v>
      </c>
      <c r="E66" s="146">
        <f>'App 2-E'!P65</f>
        <v>-4705</v>
      </c>
      <c r="F66" s="146">
        <f>'App 2-E'!R65</f>
        <v>13354.54</v>
      </c>
      <c r="G66" s="146">
        <f>'App 2-E'!T65</f>
        <v>13926.842733333335</v>
      </c>
      <c r="H66" s="146">
        <f>'App 2-E'!V65</f>
        <v>14344.648015333336</v>
      </c>
      <c r="J66" s="232">
        <f t="shared" si="0"/>
        <v>-12758</v>
      </c>
      <c r="K66" s="232">
        <f t="shared" si="1"/>
        <v>18059.54</v>
      </c>
      <c r="L66" s="231">
        <f t="shared" si="2"/>
        <v>572.3027333333339</v>
      </c>
      <c r="M66" s="231">
        <f t="shared" si="3"/>
        <v>417.80528200000117</v>
      </c>
    </row>
    <row r="67" spans="1:13" ht="15">
      <c r="A67" s="181">
        <v>5415</v>
      </c>
      <c r="B67" s="104" t="s">
        <v>303</v>
      </c>
      <c r="C67" s="146">
        <f>'App 2-E'!L66</f>
        <v>0</v>
      </c>
      <c r="D67" s="146">
        <f>'App 2-E'!N66</f>
        <v>0</v>
      </c>
      <c r="E67" s="146">
        <f>'App 2-E'!P66</f>
        <v>0</v>
      </c>
      <c r="F67" s="146">
        <f>'App 2-E'!R66</f>
        <v>0</v>
      </c>
      <c r="G67" s="146">
        <f>'App 2-E'!T66</f>
        <v>0</v>
      </c>
      <c r="H67" s="146">
        <f>'App 2-E'!V66</f>
        <v>0</v>
      </c>
      <c r="J67" s="231">
        <f aca="true" t="shared" si="7" ref="J67:J97">E67-D67</f>
        <v>0</v>
      </c>
      <c r="K67" s="231">
        <f aca="true" t="shared" si="8" ref="K67:K97">F67-E67</f>
        <v>0</v>
      </c>
      <c r="L67" s="231">
        <f aca="true" t="shared" si="9" ref="L67:L97">G67-F67</f>
        <v>0</v>
      </c>
      <c r="M67" s="231">
        <f aca="true" t="shared" si="10" ref="M67:M97">H67-G67</f>
        <v>0</v>
      </c>
    </row>
    <row r="68" spans="1:13" ht="15">
      <c r="A68" s="181">
        <v>5420</v>
      </c>
      <c r="B68" s="104" t="s">
        <v>304</v>
      </c>
      <c r="C68" s="146">
        <f>'App 2-E'!L67</f>
        <v>0</v>
      </c>
      <c r="D68" s="146">
        <f>'App 2-E'!N67</f>
        <v>0</v>
      </c>
      <c r="E68" s="146">
        <f>'App 2-E'!P67</f>
        <v>0</v>
      </c>
      <c r="F68" s="146">
        <f>'App 2-E'!R67</f>
        <v>0</v>
      </c>
      <c r="G68" s="146">
        <f>'App 2-E'!T67</f>
        <v>0</v>
      </c>
      <c r="H68" s="146">
        <f>'App 2-E'!V67</f>
        <v>0</v>
      </c>
      <c r="J68" s="231">
        <f t="shared" si="7"/>
        <v>0</v>
      </c>
      <c r="K68" s="231">
        <f t="shared" si="8"/>
        <v>0</v>
      </c>
      <c r="L68" s="231">
        <f t="shared" si="9"/>
        <v>0</v>
      </c>
      <c r="M68" s="231">
        <f t="shared" si="10"/>
        <v>0</v>
      </c>
    </row>
    <row r="69" spans="1:13" ht="15">
      <c r="A69" s="181">
        <v>5510</v>
      </c>
      <c r="B69" s="104" t="s">
        <v>305</v>
      </c>
      <c r="C69" s="146">
        <f>'App 2-E'!L68</f>
        <v>0</v>
      </c>
      <c r="D69" s="146">
        <f>'App 2-E'!N68</f>
        <v>0</v>
      </c>
      <c r="E69" s="146">
        <f>'App 2-E'!P68</f>
        <v>0</v>
      </c>
      <c r="F69" s="146">
        <f>'App 2-E'!R68</f>
        <v>0</v>
      </c>
      <c r="G69" s="146">
        <f>'App 2-E'!T68</f>
        <v>0</v>
      </c>
      <c r="H69" s="146">
        <f>'App 2-E'!V68</f>
        <v>0</v>
      </c>
      <c r="J69" s="231">
        <f t="shared" si="7"/>
        <v>0</v>
      </c>
      <c r="K69" s="231">
        <f t="shared" si="8"/>
        <v>0</v>
      </c>
      <c r="L69" s="231">
        <f t="shared" si="9"/>
        <v>0</v>
      </c>
      <c r="M69" s="231">
        <f t="shared" si="10"/>
        <v>0</v>
      </c>
    </row>
    <row r="70" spans="1:13" ht="15">
      <c r="A70" s="181">
        <v>5515</v>
      </c>
      <c r="B70" s="104" t="s">
        <v>306</v>
      </c>
      <c r="C70" s="146">
        <f>'App 2-E'!L69</f>
        <v>0</v>
      </c>
      <c r="D70" s="146">
        <f>'App 2-E'!N69</f>
        <v>0</v>
      </c>
      <c r="E70" s="146">
        <f>'App 2-E'!P69</f>
        <v>0</v>
      </c>
      <c r="F70" s="146">
        <f>'App 2-E'!R69</f>
        <v>0</v>
      </c>
      <c r="G70" s="146">
        <f>'App 2-E'!T69</f>
        <v>0</v>
      </c>
      <c r="H70" s="146">
        <f>'App 2-E'!V69</f>
        <v>0</v>
      </c>
      <c r="J70" s="231">
        <f t="shared" si="7"/>
        <v>0</v>
      </c>
      <c r="K70" s="231">
        <f t="shared" si="8"/>
        <v>0</v>
      </c>
      <c r="L70" s="231">
        <f t="shared" si="9"/>
        <v>0</v>
      </c>
      <c r="M70" s="231">
        <f t="shared" si="10"/>
        <v>0</v>
      </c>
    </row>
    <row r="71" spans="1:13" ht="15">
      <c r="A71" s="181">
        <v>5520</v>
      </c>
      <c r="B71" s="104" t="s">
        <v>307</v>
      </c>
      <c r="C71" s="146">
        <f>'App 2-E'!L70</f>
        <v>0</v>
      </c>
      <c r="D71" s="146">
        <f>'App 2-E'!N70</f>
        <v>0</v>
      </c>
      <c r="E71" s="146">
        <f>'App 2-E'!P70</f>
        <v>0</v>
      </c>
      <c r="F71" s="146">
        <f>'App 2-E'!R70</f>
        <v>0</v>
      </c>
      <c r="G71" s="146">
        <f>'App 2-E'!T70</f>
        <v>0</v>
      </c>
      <c r="H71" s="146">
        <f>'App 2-E'!V70</f>
        <v>0</v>
      </c>
      <c r="J71" s="231">
        <f t="shared" si="7"/>
        <v>0</v>
      </c>
      <c r="K71" s="231">
        <f t="shared" si="8"/>
        <v>0</v>
      </c>
      <c r="L71" s="231">
        <f t="shared" si="9"/>
        <v>0</v>
      </c>
      <c r="M71" s="231">
        <f t="shared" si="10"/>
        <v>0</v>
      </c>
    </row>
    <row r="72" spans="1:13" ht="15">
      <c r="A72" s="181"/>
      <c r="B72" s="103" t="s">
        <v>336</v>
      </c>
      <c r="C72" s="147">
        <f aca="true" t="shared" si="11" ref="C72:H72">SUM(C65:C71)</f>
        <v>19767</v>
      </c>
      <c r="D72" s="147">
        <f t="shared" si="11"/>
        <v>8053</v>
      </c>
      <c r="E72" s="147">
        <f t="shared" si="11"/>
        <v>-4705</v>
      </c>
      <c r="F72" s="147">
        <f t="shared" si="11"/>
        <v>13354.54</v>
      </c>
      <c r="G72" s="147">
        <f t="shared" si="11"/>
        <v>13926.842733333335</v>
      </c>
      <c r="H72" s="147">
        <f t="shared" si="11"/>
        <v>14344.648015333336</v>
      </c>
      <c r="J72" s="231">
        <f t="shared" si="7"/>
        <v>-12758</v>
      </c>
      <c r="K72" s="231">
        <f t="shared" si="8"/>
        <v>18059.54</v>
      </c>
      <c r="L72" s="231">
        <f t="shared" si="9"/>
        <v>572.3027333333339</v>
      </c>
      <c r="M72" s="231">
        <f t="shared" si="10"/>
        <v>417.80528200000117</v>
      </c>
    </row>
    <row r="73" spans="10:13" ht="15">
      <c r="J73" s="231">
        <f t="shared" si="7"/>
        <v>0</v>
      </c>
      <c r="K73" s="231">
        <f t="shared" si="8"/>
        <v>0</v>
      </c>
      <c r="L73" s="231">
        <f t="shared" si="9"/>
        <v>0</v>
      </c>
      <c r="M73" s="231">
        <f t="shared" si="10"/>
        <v>0</v>
      </c>
    </row>
    <row r="74" spans="10:13" ht="15">
      <c r="J74" s="231">
        <f t="shared" si="7"/>
        <v>0</v>
      </c>
      <c r="K74" s="231">
        <f t="shared" si="8"/>
        <v>0</v>
      </c>
      <c r="L74" s="231">
        <f t="shared" si="9"/>
        <v>0</v>
      </c>
      <c r="M74" s="231">
        <f t="shared" si="10"/>
        <v>0</v>
      </c>
    </row>
    <row r="75" spans="10:13" ht="15">
      <c r="J75" s="231">
        <f t="shared" si="7"/>
        <v>0</v>
      </c>
      <c r="K75" s="231">
        <f t="shared" si="8"/>
        <v>0</v>
      </c>
      <c r="L75" s="231">
        <f t="shared" si="9"/>
        <v>0</v>
      </c>
      <c r="M75" s="231">
        <f t="shared" si="10"/>
        <v>0</v>
      </c>
    </row>
    <row r="76" spans="10:13" ht="15">
      <c r="J76" s="231">
        <f t="shared" si="7"/>
        <v>0</v>
      </c>
      <c r="K76" s="231">
        <f t="shared" si="8"/>
        <v>0</v>
      </c>
      <c r="L76" s="231">
        <f t="shared" si="9"/>
        <v>0</v>
      </c>
      <c r="M76" s="231">
        <f t="shared" si="10"/>
        <v>0</v>
      </c>
    </row>
    <row r="77" spans="10:13" ht="15">
      <c r="J77" s="231">
        <f t="shared" si="7"/>
        <v>0</v>
      </c>
      <c r="K77" s="231">
        <f t="shared" si="8"/>
        <v>0</v>
      </c>
      <c r="L77" s="231">
        <f t="shared" si="9"/>
        <v>0</v>
      </c>
      <c r="M77" s="231">
        <f t="shared" si="10"/>
        <v>0</v>
      </c>
    </row>
    <row r="78" spans="10:13" ht="15">
      <c r="J78" s="231">
        <f t="shared" si="7"/>
        <v>0</v>
      </c>
      <c r="K78" s="231">
        <f t="shared" si="8"/>
        <v>0</v>
      </c>
      <c r="L78" s="231">
        <f t="shared" si="9"/>
        <v>0</v>
      </c>
      <c r="M78" s="231">
        <f t="shared" si="10"/>
        <v>0</v>
      </c>
    </row>
    <row r="79" spans="10:13" ht="15">
      <c r="J79" s="231">
        <f t="shared" si="7"/>
        <v>0</v>
      </c>
      <c r="K79" s="231">
        <f t="shared" si="8"/>
        <v>0</v>
      </c>
      <c r="L79" s="231">
        <f t="shared" si="9"/>
        <v>0</v>
      </c>
      <c r="M79" s="231">
        <f t="shared" si="10"/>
        <v>0</v>
      </c>
    </row>
    <row r="80" spans="1:13" ht="30">
      <c r="A80" s="280" t="s">
        <v>257</v>
      </c>
      <c r="B80" s="148" t="s">
        <v>337</v>
      </c>
      <c r="C80" s="265" t="s">
        <v>176</v>
      </c>
      <c r="D80" s="10" t="s">
        <v>3</v>
      </c>
      <c r="E80" s="265" t="s">
        <v>4</v>
      </c>
      <c r="F80" s="265" t="s">
        <v>171</v>
      </c>
      <c r="G80" s="265" t="s">
        <v>170</v>
      </c>
      <c r="H80" s="265" t="s">
        <v>328</v>
      </c>
      <c r="J80" s="231" t="s">
        <v>535</v>
      </c>
      <c r="K80" s="231" t="s">
        <v>536</v>
      </c>
      <c r="L80" s="231" t="s">
        <v>537</v>
      </c>
      <c r="M80" s="231" t="s">
        <v>538</v>
      </c>
    </row>
    <row r="81" spans="1:13" ht="15">
      <c r="A81" s="181">
        <v>5605</v>
      </c>
      <c r="B81" s="104" t="s">
        <v>308</v>
      </c>
      <c r="C81" s="146">
        <f>'App 2-E'!L74</f>
        <v>17657</v>
      </c>
      <c r="D81" s="146">
        <f>'App 2-E'!N74</f>
        <v>16612.16</v>
      </c>
      <c r="E81" s="146">
        <f>'App 2-E'!P74</f>
        <v>33309.87</v>
      </c>
      <c r="F81" s="146">
        <f>'App 2-E'!R74</f>
        <v>46510</v>
      </c>
      <c r="G81" s="146">
        <f>'App 2-E'!T74</f>
        <v>47905.6502</v>
      </c>
      <c r="H81" s="146">
        <f>'App 2-E'!V74</f>
        <v>49342.819705999995</v>
      </c>
      <c r="J81" s="232">
        <f t="shared" si="7"/>
        <v>16697.710000000003</v>
      </c>
      <c r="K81" s="232">
        <f t="shared" si="8"/>
        <v>13200.129999999997</v>
      </c>
      <c r="L81" s="231">
        <f t="shared" si="9"/>
        <v>1395.6501999999964</v>
      </c>
      <c r="M81" s="231">
        <f t="shared" si="10"/>
        <v>1437.1695059999984</v>
      </c>
    </row>
    <row r="82" spans="1:13" ht="15">
      <c r="A82" s="181">
        <v>5610</v>
      </c>
      <c r="B82" s="104" t="s">
        <v>309</v>
      </c>
      <c r="C82" s="146">
        <f>'App 2-E'!L75</f>
        <v>312318</v>
      </c>
      <c r="D82" s="146">
        <f>'App 2-E'!N75</f>
        <v>336516.18</v>
      </c>
      <c r="E82" s="146">
        <f>'App 2-E'!P75</f>
        <v>365366.74</v>
      </c>
      <c r="F82" s="146">
        <f>'App 2-E'!R75</f>
        <v>426686</v>
      </c>
      <c r="G82" s="146">
        <f>'App 2-E'!T75</f>
        <v>449700.3004</v>
      </c>
      <c r="H82" s="146">
        <f>'App 2-E'!V75</f>
        <v>494916.309412</v>
      </c>
      <c r="J82" s="232">
        <f t="shared" si="7"/>
        <v>28850.559999999998</v>
      </c>
      <c r="K82" s="232">
        <f t="shared" si="8"/>
        <v>61319.26000000001</v>
      </c>
      <c r="L82" s="232">
        <f t="shared" si="9"/>
        <v>23014.300400000007</v>
      </c>
      <c r="M82" s="232">
        <f t="shared" si="10"/>
        <v>45216.009011999995</v>
      </c>
    </row>
    <row r="83" spans="1:13" ht="15">
      <c r="A83" s="181">
        <v>5615</v>
      </c>
      <c r="B83" s="104" t="s">
        <v>310</v>
      </c>
      <c r="C83" s="146">
        <f>'App 2-E'!L76</f>
        <v>148698</v>
      </c>
      <c r="D83" s="146">
        <f>'App 2-E'!N76</f>
        <v>86694</v>
      </c>
      <c r="E83" s="146">
        <f>'App 2-E'!P76</f>
        <v>77739</v>
      </c>
      <c r="F83" s="146">
        <f>'App 2-E'!R76</f>
        <v>91247.28</v>
      </c>
      <c r="G83" s="146">
        <f>'App 2-E'!T76</f>
        <v>93984.69840000001</v>
      </c>
      <c r="H83" s="146">
        <f>'App 2-E'!V76</f>
        <v>143854.239352</v>
      </c>
      <c r="J83" s="231">
        <f t="shared" si="7"/>
        <v>-8955</v>
      </c>
      <c r="K83" s="232">
        <f t="shared" si="8"/>
        <v>13508.279999999999</v>
      </c>
      <c r="L83" s="231">
        <f t="shared" si="9"/>
        <v>2737.4184000000096</v>
      </c>
      <c r="M83" s="232">
        <f t="shared" si="10"/>
        <v>49869.540951999996</v>
      </c>
    </row>
    <row r="84" spans="1:13" ht="15">
      <c r="A84" s="181">
        <v>5620</v>
      </c>
      <c r="B84" s="104" t="s">
        <v>311</v>
      </c>
      <c r="C84" s="146">
        <f>'App 2-E'!L77</f>
        <v>93931</v>
      </c>
      <c r="D84" s="146">
        <f>'App 2-E'!N77</f>
        <v>77736</v>
      </c>
      <c r="E84" s="146">
        <f>'App 2-E'!P77</f>
        <v>95090</v>
      </c>
      <c r="F84" s="146">
        <f>'App 2-E'!R77</f>
        <v>99807.9</v>
      </c>
      <c r="G84" s="146">
        <f>'App 2-E'!T77</f>
        <v>102802.137</v>
      </c>
      <c r="H84" s="146">
        <f>'App 2-E'!V77</f>
        <v>105886.20111000001</v>
      </c>
      <c r="J84" s="232">
        <f t="shared" si="7"/>
        <v>17354</v>
      </c>
      <c r="K84" s="231">
        <f t="shared" si="8"/>
        <v>4717.899999999994</v>
      </c>
      <c r="L84" s="231">
        <f t="shared" si="9"/>
        <v>2994.2370000000083</v>
      </c>
      <c r="M84" s="231">
        <f t="shared" si="10"/>
        <v>3084.0641100000066</v>
      </c>
    </row>
    <row r="85" spans="1:13" ht="15">
      <c r="A85" s="181">
        <v>5625</v>
      </c>
      <c r="B85" s="104" t="s">
        <v>312</v>
      </c>
      <c r="C85" s="146">
        <f>'App 2-E'!L78</f>
        <v>0</v>
      </c>
      <c r="D85" s="146">
        <f>'App 2-E'!N78</f>
        <v>0</v>
      </c>
      <c r="E85" s="146">
        <f>'App 2-E'!P78</f>
        <v>0</v>
      </c>
      <c r="F85" s="146">
        <f>'App 2-E'!R78</f>
        <v>0</v>
      </c>
      <c r="G85" s="146">
        <f>'App 2-E'!T78</f>
        <v>0</v>
      </c>
      <c r="H85" s="146">
        <f>'App 2-E'!V78</f>
        <v>0</v>
      </c>
      <c r="J85" s="231">
        <f t="shared" si="7"/>
        <v>0</v>
      </c>
      <c r="K85" s="231">
        <f t="shared" si="8"/>
        <v>0</v>
      </c>
      <c r="L85" s="231">
        <f t="shared" si="9"/>
        <v>0</v>
      </c>
      <c r="M85" s="231">
        <f t="shared" si="10"/>
        <v>0</v>
      </c>
    </row>
    <row r="86" spans="1:13" ht="15">
      <c r="A86" s="181">
        <v>5630</v>
      </c>
      <c r="B86" s="104" t="s">
        <v>313</v>
      </c>
      <c r="C86" s="146">
        <f>'App 2-E'!L79</f>
        <v>138624</v>
      </c>
      <c r="D86" s="146">
        <f>'App 2-E'!N79</f>
        <v>7309</v>
      </c>
      <c r="E86" s="146">
        <f>'App 2-E'!P79</f>
        <v>62428</v>
      </c>
      <c r="F86" s="146">
        <f>'App 2-E'!R79</f>
        <v>70227.74</v>
      </c>
      <c r="G86" s="146">
        <f>'App 2-E'!T79</f>
        <v>101364.19489999999</v>
      </c>
      <c r="H86" s="146">
        <f>'App 2-E'!V79</f>
        <v>155405.477047</v>
      </c>
      <c r="J86" s="232">
        <f t="shared" si="7"/>
        <v>55119</v>
      </c>
      <c r="K86" s="231">
        <f t="shared" si="8"/>
        <v>7799.740000000005</v>
      </c>
      <c r="L86" s="232">
        <f t="shared" si="9"/>
        <v>31136.454899999982</v>
      </c>
      <c r="M86" s="232">
        <f t="shared" si="10"/>
        <v>54041.282147000005</v>
      </c>
    </row>
    <row r="87" spans="1:13" ht="15">
      <c r="A87" s="181">
        <v>5635</v>
      </c>
      <c r="B87" s="104" t="s">
        <v>314</v>
      </c>
      <c r="C87" s="146">
        <f>'App 2-E'!L80</f>
        <v>19915</v>
      </c>
      <c r="D87" s="146">
        <f>'App 2-E'!N80</f>
        <v>20347</v>
      </c>
      <c r="E87" s="146">
        <f>'App 2-E'!P80</f>
        <v>24675</v>
      </c>
      <c r="F87" s="146">
        <f>'App 2-E'!R80</f>
        <v>27066.44</v>
      </c>
      <c r="G87" s="146">
        <f>'App 2-E'!T80</f>
        <v>27878.4332</v>
      </c>
      <c r="H87" s="146">
        <f>'App 2-E'!V80</f>
        <v>28714.786196</v>
      </c>
      <c r="J87" s="231">
        <f t="shared" si="7"/>
        <v>4328</v>
      </c>
      <c r="K87" s="231">
        <f t="shared" si="8"/>
        <v>2391.4399999999987</v>
      </c>
      <c r="L87" s="231">
        <f t="shared" si="9"/>
        <v>811.9932000000008</v>
      </c>
      <c r="M87" s="231">
        <f t="shared" si="10"/>
        <v>836.3529960000014</v>
      </c>
    </row>
    <row r="88" spans="1:13" ht="15">
      <c r="A88" s="181">
        <v>5640</v>
      </c>
      <c r="B88" s="104" t="s">
        <v>315</v>
      </c>
      <c r="C88" s="146">
        <f>'App 2-E'!L81</f>
        <v>39556</v>
      </c>
      <c r="D88" s="146">
        <f>'App 2-E'!N81</f>
        <v>48141</v>
      </c>
      <c r="E88" s="146">
        <f>'App 2-E'!P81</f>
        <v>48045</v>
      </c>
      <c r="F88" s="146">
        <f>'App 2-E'!R81</f>
        <v>58794.32</v>
      </c>
      <c r="G88" s="146">
        <f>'App 2-E'!T81</f>
        <v>60558.149600000004</v>
      </c>
      <c r="H88" s="146">
        <f>'App 2-E'!V81</f>
        <v>62374.894088</v>
      </c>
      <c r="J88" s="231">
        <f t="shared" si="7"/>
        <v>-96</v>
      </c>
      <c r="K88" s="232">
        <f t="shared" si="8"/>
        <v>10749.32</v>
      </c>
      <c r="L88" s="231">
        <f t="shared" si="9"/>
        <v>1763.8296000000046</v>
      </c>
      <c r="M88" s="231">
        <f t="shared" si="10"/>
        <v>1816.7444879999966</v>
      </c>
    </row>
    <row r="89" spans="1:13" ht="15">
      <c r="A89" s="181">
        <v>5645</v>
      </c>
      <c r="B89" s="104" t="s">
        <v>316</v>
      </c>
      <c r="C89" s="146">
        <f>'App 2-E'!L82</f>
        <v>0</v>
      </c>
      <c r="D89" s="146">
        <f>'App 2-E'!N82</f>
        <v>0</v>
      </c>
      <c r="E89" s="146">
        <f>'App 2-E'!P82</f>
        <v>0</v>
      </c>
      <c r="F89" s="146">
        <f>'App 2-E'!R82</f>
        <v>0</v>
      </c>
      <c r="G89" s="146">
        <f>'App 2-E'!T82</f>
        <v>0</v>
      </c>
      <c r="H89" s="146">
        <f>'App 2-E'!V82</f>
        <v>0</v>
      </c>
      <c r="J89" s="231">
        <f t="shared" si="7"/>
        <v>0</v>
      </c>
      <c r="K89" s="231">
        <f t="shared" si="8"/>
        <v>0</v>
      </c>
      <c r="L89" s="231">
        <f t="shared" si="9"/>
        <v>0</v>
      </c>
      <c r="M89" s="231">
        <f t="shared" si="10"/>
        <v>0</v>
      </c>
    </row>
    <row r="90" spans="1:13" ht="15">
      <c r="A90" s="181">
        <v>5650</v>
      </c>
      <c r="B90" s="104" t="s">
        <v>317</v>
      </c>
      <c r="C90" s="146">
        <f>'App 2-E'!L83</f>
        <v>0</v>
      </c>
      <c r="D90" s="146">
        <f>'App 2-E'!N83</f>
        <v>0</v>
      </c>
      <c r="E90" s="146">
        <f>'App 2-E'!P83</f>
        <v>0</v>
      </c>
      <c r="F90" s="146">
        <f>'App 2-E'!R83</f>
        <v>0</v>
      </c>
      <c r="G90" s="146">
        <f>'App 2-E'!T83</f>
        <v>0</v>
      </c>
      <c r="H90" s="146">
        <f>'App 2-E'!V83</f>
        <v>0</v>
      </c>
      <c r="J90" s="231">
        <f t="shared" si="7"/>
        <v>0</v>
      </c>
      <c r="K90" s="231">
        <f t="shared" si="8"/>
        <v>0</v>
      </c>
      <c r="L90" s="231">
        <f t="shared" si="9"/>
        <v>0</v>
      </c>
      <c r="M90" s="231">
        <f t="shared" si="10"/>
        <v>0</v>
      </c>
    </row>
    <row r="91" spans="1:13" ht="15">
      <c r="A91" s="181">
        <v>5655</v>
      </c>
      <c r="B91" s="104" t="s">
        <v>318</v>
      </c>
      <c r="C91" s="146">
        <f>'App 2-E'!L84</f>
        <v>82531</v>
      </c>
      <c r="D91" s="146">
        <f>'App 2-E'!N84</f>
        <v>85631</v>
      </c>
      <c r="E91" s="146">
        <f>'App 2-E'!P84</f>
        <v>33127</v>
      </c>
      <c r="F91" s="146">
        <f>'App 2-E'!R84</f>
        <v>58782.48</v>
      </c>
      <c r="G91" s="146">
        <f>'App 2-E'!T84</f>
        <v>85545.9544</v>
      </c>
      <c r="H91" s="146">
        <f>'App 2-E'!V84</f>
        <v>103562.33303200001</v>
      </c>
      <c r="J91" s="232">
        <f t="shared" si="7"/>
        <v>-52504</v>
      </c>
      <c r="K91" s="232">
        <f t="shared" si="8"/>
        <v>25655.480000000003</v>
      </c>
      <c r="L91" s="232">
        <f t="shared" si="9"/>
        <v>26763.4744</v>
      </c>
      <c r="M91" s="232">
        <f t="shared" si="10"/>
        <v>18016.378632000007</v>
      </c>
    </row>
    <row r="92" spans="1:13" ht="15">
      <c r="A92" s="181">
        <v>5660</v>
      </c>
      <c r="B92" s="104" t="s">
        <v>319</v>
      </c>
      <c r="C92" s="146">
        <f>'App 2-E'!L85</f>
        <v>5025</v>
      </c>
      <c r="D92" s="146">
        <f>'App 2-E'!N85</f>
        <v>2050</v>
      </c>
      <c r="E92" s="146">
        <f>'App 2-E'!P85</f>
        <v>3486</v>
      </c>
      <c r="F92" s="146">
        <f>'App 2-E'!R85</f>
        <v>2212.81</v>
      </c>
      <c r="G92" s="146">
        <f>'App 2-E'!T85</f>
        <v>2582.903333333333</v>
      </c>
      <c r="H92" s="146">
        <f>'App 2-E'!V85</f>
        <v>4660.390433333334</v>
      </c>
      <c r="J92" s="231">
        <f t="shared" si="7"/>
        <v>1436</v>
      </c>
      <c r="K92" s="231">
        <f t="shared" si="8"/>
        <v>-1273.19</v>
      </c>
      <c r="L92" s="231">
        <f t="shared" si="9"/>
        <v>370.09333333333325</v>
      </c>
      <c r="M92" s="231">
        <f t="shared" si="10"/>
        <v>2077.4871000000007</v>
      </c>
    </row>
    <row r="93" spans="1:13" ht="15">
      <c r="A93" s="181">
        <v>5665</v>
      </c>
      <c r="B93" s="104" t="s">
        <v>320</v>
      </c>
      <c r="C93" s="146">
        <f>'App 2-E'!L86</f>
        <v>3524</v>
      </c>
      <c r="D93" s="146">
        <f>'App 2-E'!N86</f>
        <v>2450</v>
      </c>
      <c r="E93" s="146">
        <f>'App 2-E'!P86</f>
        <v>40</v>
      </c>
      <c r="F93" s="146">
        <f>'App 2-E'!R86</f>
        <v>0</v>
      </c>
      <c r="G93" s="146">
        <f>'App 2-E'!T86</f>
        <v>830.4133333333333</v>
      </c>
      <c r="H93" s="146">
        <f>'App 2-E'!V86</f>
        <v>855.3257333333333</v>
      </c>
      <c r="J93" s="231">
        <f t="shared" si="7"/>
        <v>-2410</v>
      </c>
      <c r="K93" s="231">
        <f t="shared" si="8"/>
        <v>-40</v>
      </c>
      <c r="L93" s="231">
        <f t="shared" si="9"/>
        <v>830.4133333333333</v>
      </c>
      <c r="M93" s="231">
        <f t="shared" si="10"/>
        <v>24.912400000000048</v>
      </c>
    </row>
    <row r="94" spans="1:13" ht="15">
      <c r="A94" s="181">
        <v>5670</v>
      </c>
      <c r="B94" s="104" t="s">
        <v>321</v>
      </c>
      <c r="C94" s="146">
        <f>'App 2-E'!L87</f>
        <v>0</v>
      </c>
      <c r="D94" s="146">
        <f>'App 2-E'!N87</f>
        <v>0</v>
      </c>
      <c r="E94" s="146">
        <f>'App 2-E'!P87</f>
        <v>0</v>
      </c>
      <c r="F94" s="146">
        <f>'App 2-E'!R87</f>
        <v>0</v>
      </c>
      <c r="G94" s="146">
        <f>'App 2-E'!T87</f>
        <v>0</v>
      </c>
      <c r="H94" s="146">
        <f>'App 2-E'!V87</f>
        <v>0</v>
      </c>
      <c r="J94" s="231">
        <f t="shared" si="7"/>
        <v>0</v>
      </c>
      <c r="K94" s="231">
        <f t="shared" si="8"/>
        <v>0</v>
      </c>
      <c r="L94" s="231">
        <f t="shared" si="9"/>
        <v>0</v>
      </c>
      <c r="M94" s="231">
        <f t="shared" si="10"/>
        <v>0</v>
      </c>
    </row>
    <row r="95" spans="1:13" ht="15">
      <c r="A95" s="181">
        <v>5675</v>
      </c>
      <c r="B95" s="104" t="s">
        <v>322</v>
      </c>
      <c r="C95" s="146">
        <f>'App 2-E'!L88</f>
        <v>32464</v>
      </c>
      <c r="D95" s="146">
        <f>'App 2-E'!N88</f>
        <v>28575</v>
      </c>
      <c r="E95" s="146">
        <f>'App 2-E'!P88</f>
        <v>44930</v>
      </c>
      <c r="F95" s="146">
        <f>'App 2-E'!R88</f>
        <v>32397.86</v>
      </c>
      <c r="G95" s="146">
        <f>'App 2-E'!T88</f>
        <v>33369.7958</v>
      </c>
      <c r="H95" s="146">
        <f>'App 2-E'!V88</f>
        <v>84370.889674</v>
      </c>
      <c r="J95" s="232">
        <f t="shared" si="7"/>
        <v>16355</v>
      </c>
      <c r="K95" s="232">
        <f t="shared" si="8"/>
        <v>-12532.14</v>
      </c>
      <c r="L95" s="231">
        <f t="shared" si="9"/>
        <v>971.9357999999993</v>
      </c>
      <c r="M95" s="232">
        <f t="shared" si="10"/>
        <v>51001.093874000006</v>
      </c>
    </row>
    <row r="96" spans="1:13" ht="15">
      <c r="A96" s="181">
        <v>5680</v>
      </c>
      <c r="B96" s="104" t="s">
        <v>323</v>
      </c>
      <c r="C96" s="146">
        <f>'App 2-E'!L89</f>
        <v>27588</v>
      </c>
      <c r="D96" s="146">
        <f>'App 2-E'!N89</f>
        <v>29704</v>
      </c>
      <c r="E96" s="146">
        <f>'App 2-E'!P89</f>
        <v>40600</v>
      </c>
      <c r="F96" s="146">
        <f>'App 2-E'!R89</f>
        <v>53616.02</v>
      </c>
      <c r="G96" s="146">
        <f>'App 2-E'!T89</f>
        <v>41306.34333333333</v>
      </c>
      <c r="H96" s="146">
        <f>'App 2-E'!V89</f>
        <v>47545.53363333333</v>
      </c>
      <c r="J96" s="232">
        <f t="shared" si="7"/>
        <v>10896</v>
      </c>
      <c r="K96" s="232">
        <f t="shared" si="8"/>
        <v>13016.019999999997</v>
      </c>
      <c r="L96" s="232">
        <f t="shared" si="9"/>
        <v>-12309.676666666666</v>
      </c>
      <c r="M96" s="231">
        <f t="shared" si="10"/>
        <v>6239.190300000002</v>
      </c>
    </row>
    <row r="97" spans="1:13" ht="15">
      <c r="A97" s="181">
        <v>5685</v>
      </c>
      <c r="B97" s="104" t="s">
        <v>324</v>
      </c>
      <c r="C97" s="146">
        <f>'App 2-E'!L91</f>
        <v>0</v>
      </c>
      <c r="D97" s="146">
        <f>'App 2-E'!N91</f>
        <v>0</v>
      </c>
      <c r="E97" s="146">
        <f>'App 2-E'!P91</f>
        <v>0</v>
      </c>
      <c r="F97" s="146">
        <f>'App 2-E'!R91</f>
        <v>0</v>
      </c>
      <c r="G97" s="146">
        <f>'App 2-E'!T91</f>
        <v>0</v>
      </c>
      <c r="H97" s="146">
        <f>'App 2-E'!V91</f>
        <v>0</v>
      </c>
      <c r="J97" s="231">
        <f t="shared" si="7"/>
        <v>0</v>
      </c>
      <c r="K97" s="231">
        <f t="shared" si="8"/>
        <v>0</v>
      </c>
      <c r="L97" s="231">
        <f t="shared" si="9"/>
        <v>0</v>
      </c>
      <c r="M97" s="231">
        <f t="shared" si="10"/>
        <v>0</v>
      </c>
    </row>
    <row r="98" spans="1:13" ht="15">
      <c r="A98" s="181">
        <v>5695</v>
      </c>
      <c r="B98" s="149" t="s">
        <v>533</v>
      </c>
      <c r="C98" s="146">
        <f>'App 2-E'!L92</f>
        <v>0</v>
      </c>
      <c r="D98" s="146">
        <f>'App 2-E'!N92</f>
        <v>0</v>
      </c>
      <c r="E98" s="146">
        <f>'App 2-E'!P92</f>
        <v>-21913</v>
      </c>
      <c r="F98" s="146">
        <f>'App 2-E'!R92</f>
        <v>-53778.14</v>
      </c>
      <c r="G98" s="146">
        <f>'App 2-E'!T92</f>
        <v>0</v>
      </c>
      <c r="H98" s="146">
        <f>'App 2-E'!V92</f>
        <v>0</v>
      </c>
      <c r="J98" s="231">
        <f>E100-D100</f>
        <v>65158.27000000002</v>
      </c>
      <c r="K98" s="231">
        <f>F100-E100</f>
        <v>212800.09999999998</v>
      </c>
      <c r="L98" s="231">
        <f>G100-F100</f>
        <v>28105.26390000002</v>
      </c>
      <c r="M98" s="231">
        <f>H100-G100</f>
        <v>233660.22551700042</v>
      </c>
    </row>
    <row r="99" spans="1:13" s="307" customFormat="1" ht="15">
      <c r="A99" s="181">
        <v>5681</v>
      </c>
      <c r="B99" s="149" t="s">
        <v>534</v>
      </c>
      <c r="C99" s="146">
        <f>'App 2-E'!L90</f>
        <v>0</v>
      </c>
      <c r="D99" s="146">
        <f>'App 2-E'!N90</f>
        <v>0</v>
      </c>
      <c r="E99" s="146">
        <f>'App 2-E'!P90</f>
        <v>0</v>
      </c>
      <c r="F99" s="146">
        <f>'App 2-E'!R90</f>
        <v>106153</v>
      </c>
      <c r="G99" s="146">
        <f>'App 2-E'!T90</f>
        <v>0</v>
      </c>
      <c r="H99" s="146">
        <f>'App 2-E'!V90</f>
        <v>0</v>
      </c>
      <c r="J99" s="231"/>
      <c r="K99" s="231"/>
      <c r="L99" s="231"/>
      <c r="M99" s="231"/>
    </row>
    <row r="100" spans="1:8" ht="15">
      <c r="A100" s="181"/>
      <c r="B100" s="103" t="s">
        <v>341</v>
      </c>
      <c r="C100" s="147">
        <f>SUM(C81:C99)</f>
        <v>921831</v>
      </c>
      <c r="D100" s="147">
        <f>SUM(D81:D99)</f>
        <v>741765.34</v>
      </c>
      <c r="E100" s="147">
        <f>SUM(E81:E99)</f>
        <v>806923.61</v>
      </c>
      <c r="F100" s="147">
        <f>SUM(F81:F99)</f>
        <v>1019723.71</v>
      </c>
      <c r="G100" s="147">
        <f>SUM(G81:G99)</f>
        <v>1047828.9739</v>
      </c>
      <c r="H100" s="147">
        <f>SUM(H81:H99)</f>
        <v>1281489.1994170004</v>
      </c>
    </row>
  </sheetData>
  <sheetProtection/>
  <autoFilter ref="A1:M1"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2" sqref="A2:J11"/>
    </sheetView>
  </sheetViews>
  <sheetFormatPr defaultColWidth="9.140625" defaultRowHeight="15"/>
  <cols>
    <col min="1" max="1" width="7.8515625" style="154" customWidth="1"/>
    <col min="2" max="2" width="7.00390625" style="154" customWidth="1"/>
    <col min="3" max="3" width="48.00390625" style="155" customWidth="1"/>
    <col min="4" max="4" width="13.8515625" style="154" customWidth="1"/>
    <col min="5" max="5" width="17.7109375" style="182" customWidth="1"/>
    <col min="6" max="6" width="13.140625" style="151" customWidth="1"/>
    <col min="7" max="10" width="13.140625" style="281" customWidth="1"/>
    <col min="11" max="16384" width="9.140625" style="151" customWidth="1"/>
  </cols>
  <sheetData>
    <row r="1" spans="3:5" s="140" customFormat="1" ht="15">
      <c r="C1" s="197"/>
      <c r="E1" s="141"/>
    </row>
    <row r="2" spans="1:10" s="140" customFormat="1" ht="29.25" customHeight="1">
      <c r="A2" s="338" t="s">
        <v>344</v>
      </c>
      <c r="B2" s="339"/>
      <c r="C2" s="340" t="s">
        <v>345</v>
      </c>
      <c r="D2" s="341" t="s">
        <v>346</v>
      </c>
      <c r="E2" s="343" t="s">
        <v>423</v>
      </c>
      <c r="F2" s="337" t="s">
        <v>358</v>
      </c>
      <c r="G2" s="337" t="s">
        <v>359</v>
      </c>
      <c r="H2" s="337" t="s">
        <v>360</v>
      </c>
      <c r="I2" s="337" t="s">
        <v>361</v>
      </c>
      <c r="J2" s="337" t="s">
        <v>422</v>
      </c>
    </row>
    <row r="3" spans="1:10" s="140" customFormat="1" ht="15">
      <c r="A3" s="226" t="s">
        <v>347</v>
      </c>
      <c r="B3" s="226" t="s">
        <v>348</v>
      </c>
      <c r="C3" s="340"/>
      <c r="D3" s="342"/>
      <c r="E3" s="344"/>
      <c r="F3" s="337"/>
      <c r="G3" s="337"/>
      <c r="H3" s="337"/>
      <c r="I3" s="337"/>
      <c r="J3" s="337"/>
    </row>
    <row r="4" spans="1:10" ht="15">
      <c r="A4" s="104" t="s">
        <v>350</v>
      </c>
      <c r="B4" s="104" t="s">
        <v>349</v>
      </c>
      <c r="C4" s="152" t="s">
        <v>364</v>
      </c>
      <c r="D4" s="104" t="s">
        <v>352</v>
      </c>
      <c r="E4" s="181">
        <v>4205</v>
      </c>
      <c r="F4" s="180">
        <f>4000*12</f>
        <v>48000</v>
      </c>
      <c r="G4" s="180">
        <f>4000*12</f>
        <v>48000</v>
      </c>
      <c r="H4" s="180">
        <f>4000*12</f>
        <v>48000</v>
      </c>
      <c r="I4" s="180">
        <f>4000*12</f>
        <v>48000</v>
      </c>
      <c r="J4" s="180">
        <f>4000*12</f>
        <v>48000</v>
      </c>
    </row>
    <row r="5" spans="1:10" ht="15">
      <c r="A5" s="104" t="s">
        <v>350</v>
      </c>
      <c r="B5" s="104" t="s">
        <v>363</v>
      </c>
      <c r="C5" s="152" t="s">
        <v>364</v>
      </c>
      <c r="D5" s="104" t="s">
        <v>352</v>
      </c>
      <c r="E5" s="181">
        <v>4205</v>
      </c>
      <c r="F5" s="180">
        <f>300*12</f>
        <v>3600</v>
      </c>
      <c r="G5" s="180">
        <f>300*12</f>
        <v>3600</v>
      </c>
      <c r="H5" s="180">
        <f>300*12</f>
        <v>3600</v>
      </c>
      <c r="I5" s="180">
        <f>300*12</f>
        <v>3600</v>
      </c>
      <c r="J5" s="180">
        <f>300*12</f>
        <v>3600</v>
      </c>
    </row>
    <row r="6" spans="1:10" ht="15">
      <c r="A6" s="104" t="s">
        <v>363</v>
      </c>
      <c r="B6" s="104" t="s">
        <v>350</v>
      </c>
      <c r="C6" s="152" t="s">
        <v>356</v>
      </c>
      <c r="D6" s="104" t="s">
        <v>352</v>
      </c>
      <c r="E6" s="181">
        <v>5620</v>
      </c>
      <c r="F6" s="180">
        <f>250*12</f>
        <v>3000</v>
      </c>
      <c r="G6" s="180">
        <f>250*12</f>
        <v>3000</v>
      </c>
      <c r="H6" s="180">
        <f>250*12</f>
        <v>3000</v>
      </c>
      <c r="I6" s="180">
        <f>250*12</f>
        <v>3000</v>
      </c>
      <c r="J6" s="180">
        <f>250*12</f>
        <v>3000</v>
      </c>
    </row>
    <row r="7" spans="1:10" ht="15">
      <c r="A7" s="104" t="s">
        <v>349</v>
      </c>
      <c r="B7" s="104" t="s">
        <v>350</v>
      </c>
      <c r="C7" s="152" t="s">
        <v>354</v>
      </c>
      <c r="D7" s="104" t="s">
        <v>355</v>
      </c>
      <c r="E7" s="181">
        <v>4236</v>
      </c>
      <c r="F7" s="180">
        <v>30000</v>
      </c>
      <c r="G7" s="180">
        <v>30000</v>
      </c>
      <c r="H7" s="180">
        <v>30000</v>
      </c>
      <c r="I7" s="180">
        <v>30000</v>
      </c>
      <c r="J7" s="180">
        <v>30000</v>
      </c>
    </row>
    <row r="8" spans="1:10" ht="15">
      <c r="A8" s="104" t="s">
        <v>349</v>
      </c>
      <c r="B8" s="104" t="s">
        <v>350</v>
      </c>
      <c r="C8" s="152" t="s">
        <v>353</v>
      </c>
      <c r="D8" s="104" t="s">
        <v>352</v>
      </c>
      <c r="E8" s="181">
        <v>5630</v>
      </c>
      <c r="F8" s="180">
        <v>7309.17</v>
      </c>
      <c r="G8" s="180">
        <v>62427</v>
      </c>
      <c r="H8" s="180">
        <v>70227.74</v>
      </c>
      <c r="I8" s="180">
        <f>H15*2</f>
        <v>125422.84</v>
      </c>
      <c r="J8" s="180">
        <f>AVERAGE(F8:I8)</f>
        <v>66346.6875</v>
      </c>
    </row>
    <row r="9" spans="1:10" ht="15">
      <c r="A9" s="104" t="s">
        <v>349</v>
      </c>
      <c r="B9" s="104" t="s">
        <v>350</v>
      </c>
      <c r="C9" s="152" t="s">
        <v>351</v>
      </c>
      <c r="D9" s="104" t="s">
        <v>352</v>
      </c>
      <c r="E9" s="181" t="s">
        <v>425</v>
      </c>
      <c r="F9" s="180">
        <v>315825.44</v>
      </c>
      <c r="G9" s="180">
        <v>343623</v>
      </c>
      <c r="H9" s="180">
        <v>411752.62</v>
      </c>
      <c r="I9" s="180">
        <f>H16*2</f>
        <v>410387.8</v>
      </c>
      <c r="J9" s="180">
        <f>AVERAGE(F9:I9)</f>
        <v>370397.215</v>
      </c>
    </row>
    <row r="10" spans="1:10" ht="15" customHeight="1">
      <c r="A10" s="104" t="s">
        <v>349</v>
      </c>
      <c r="B10" s="104" t="s">
        <v>350</v>
      </c>
      <c r="C10" s="152" t="s">
        <v>362</v>
      </c>
      <c r="D10" s="104" t="s">
        <v>352</v>
      </c>
      <c r="E10" s="181" t="s">
        <v>424</v>
      </c>
      <c r="F10" s="180">
        <f>16612.12+31320</f>
        <v>47932.119999999995</v>
      </c>
      <c r="G10" s="180">
        <f>33309.87+6782.4</f>
        <v>40092.270000000004</v>
      </c>
      <c r="H10" s="180">
        <f>46510.34+6782.4-19717.18</f>
        <v>33575.56</v>
      </c>
      <c r="I10" s="180">
        <f>AVERAGE(F10:H10)</f>
        <v>40533.316666666666</v>
      </c>
      <c r="J10" s="180">
        <f>AVERAGE(F10:I10)</f>
        <v>40533.316666666666</v>
      </c>
    </row>
    <row r="11" spans="1:10" ht="15">
      <c r="A11" s="104" t="s">
        <v>349</v>
      </c>
      <c r="B11" s="104" t="s">
        <v>350</v>
      </c>
      <c r="C11" s="152" t="s">
        <v>357</v>
      </c>
      <c r="D11" s="104" t="s">
        <v>352</v>
      </c>
      <c r="E11" s="181">
        <v>5605</v>
      </c>
      <c r="F11" s="180">
        <v>0</v>
      </c>
      <c r="G11" s="180">
        <v>0</v>
      </c>
      <c r="H11" s="180">
        <v>19717</v>
      </c>
      <c r="I11" s="180">
        <v>20000</v>
      </c>
      <c r="J11" s="180">
        <v>20000</v>
      </c>
    </row>
    <row r="14" spans="8:9" ht="15">
      <c r="H14" s="281" t="s">
        <v>428</v>
      </c>
      <c r="I14" s="281" t="s">
        <v>429</v>
      </c>
    </row>
    <row r="15" ht="15">
      <c r="H15" s="281">
        <v>62711.42</v>
      </c>
    </row>
    <row r="16" spans="8:9" ht="15">
      <c r="H16" s="281">
        <v>205193.9</v>
      </c>
      <c r="I16" s="281" t="s">
        <v>426</v>
      </c>
    </row>
    <row r="17" spans="8:10" ht="15">
      <c r="H17" s="281">
        <f>900+6908</f>
        <v>7808</v>
      </c>
      <c r="J17" s="281" t="s">
        <v>427</v>
      </c>
    </row>
  </sheetData>
  <sheetProtection/>
  <mergeCells count="9">
    <mergeCell ref="H2:H3"/>
    <mergeCell ref="I2:I3"/>
    <mergeCell ref="J2:J3"/>
    <mergeCell ref="G2:G3"/>
    <mergeCell ref="A2:B2"/>
    <mergeCell ref="C2:C3"/>
    <mergeCell ref="D2:D3"/>
    <mergeCell ref="F2:F3"/>
    <mergeCell ref="E2:E3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Greg Nutt</cp:lastModifiedBy>
  <cp:lastPrinted>2011-07-28T13:45:33Z</cp:lastPrinted>
  <dcterms:created xsi:type="dcterms:W3CDTF">2011-03-11T21:52:19Z</dcterms:created>
  <dcterms:modified xsi:type="dcterms:W3CDTF">2011-10-15T01:01:32Z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