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Deanne</author>
  </authors>
  <commentList>
    <comment ref="K13" authorId="0">
      <text>
        <r>
          <rPr>
            <b/>
            <sz val="8"/>
            <rFont val="Tahoma"/>
            <family val="2"/>
          </rPr>
          <t>Deanne:</t>
        </r>
        <r>
          <rPr>
            <sz val="8"/>
            <rFont val="Tahoma"/>
            <family val="2"/>
          </rPr>
          <t xml:space="preserve">
2005 PILs Proxy = 49365</t>
        </r>
      </text>
    </comment>
  </commentList>
</comments>
</file>

<file path=xl/sharedStrings.xml><?xml version="1.0" encoding="utf-8"?>
<sst xmlns="http://schemas.openxmlformats.org/spreadsheetml/2006/main" count="885" uniqueCount="508">
  <si>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</si>
  <si>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</si>
  <si>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</si>
  <si>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</si>
  <si>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</si>
  <si>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</si>
  <si>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</si>
  <si>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</si>
  <si>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</si>
  <si>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</si>
  <si>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</si>
  <si>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</si>
  <si>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</si>
  <si>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</si>
  <si>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</si>
  <si>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</si>
  <si>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</si>
  <si>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</si>
  <si>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</si>
  <si>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</si>
  <si>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</si>
  <si>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</si>
  <si>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</si>
  <si>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</si>
  <si>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</si>
  <si>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</si>
  <si>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</si>
  <si>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</si>
  <si>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</si>
  <si>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</si>
  <si>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</si>
  <si>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</si>
  <si>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</si>
  <si>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</si>
  <si>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</si>
  <si>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</si>
  <si>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</si>
  <si>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</si>
  <si>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</si>
  <si>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</si>
  <si>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</si>
  <si>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</si>
  <si>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</si>
  <si>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</si>
  <si>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</si>
  <si>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</si>
  <si>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</si>
  <si>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</si>
  <si>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</si>
  <si>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</si>
  <si>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</si>
  <si>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</si>
  <si>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</si>
  <si>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</si>
  <si>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</si>
  <si>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</si>
  <si>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</si>
  <si>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</si>
  <si>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</si>
  <si>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</si>
  <si>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</si>
  <si>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</si>
  <si>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</si>
  <si>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</si>
  <si>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</si>
  <si>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</si>
  <si>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</si>
  <si>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</si>
  <si>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</si>
  <si>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</si>
  <si>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</si>
  <si>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</si>
  <si>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</si>
  <si>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</si>
  <si>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</si>
  <si>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</si>
  <si>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</si>
  <si>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</si>
  <si>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</si>
  <si>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</si>
  <si>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</si>
  <si>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</si>
  <si>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</si>
  <si>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</si>
  <si>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</si>
  <si>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</si>
  <si>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</si>
  <si>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</si>
  <si>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</si>
  <si>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</si>
  <si>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</si>
  <si>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</si>
  <si>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</si>
  <si>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</si>
  <si>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</si>
  <si>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</si>
  <si>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</si>
  <si>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</si>
  <si>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</si>
  <si>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</si>
  <si>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</si>
  <si>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</si>
  <si>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</si>
  <si>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</si>
  <si>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</si>
  <si>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</si>
  <si>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</si>
  <si>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</si>
  <si>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</si>
  <si>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</si>
  <si>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</si>
  <si>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</si>
  <si>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</si>
  <si>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</si>
  <si>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</si>
  <si>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</si>
  <si>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</si>
  <si>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</si>
  <si>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</si>
  <si>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</si>
  <si>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</si>
  <si>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</si>
  <si>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</si>
  <si>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</si>
  <si>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</si>
  <si>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</si>
  <si>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</si>
  <si>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</si>
  <si>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</si>
  <si>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</si>
  <si>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</si>
  <si>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</si>
  <si>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</si>
  <si>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</si>
  <si>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</si>
  <si>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</si>
  <si>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</si>
  <si>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</si>
  <si>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</si>
  <si>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</si>
  <si>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</si>
  <si>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</si>
  <si>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</si>
  <si>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</si>
  <si>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</si>
  <si>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</si>
  <si>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</si>
  <si>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</si>
  <si>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</si>
  <si>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</si>
  <si>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</si>
  <si>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</si>
  <si>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</si>
  <si>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</si>
  <si>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</si>
  <si>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</si>
  <si>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</si>
  <si>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</si>
  <si>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</si>
  <si>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</si>
  <si>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</si>
  <si>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</si>
  <si>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</si>
  <si>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</si>
  <si>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</si>
  <si>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</si>
  <si>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</si>
  <si>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</si>
  <si>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</si>
  <si>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</si>
  <si>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</si>
  <si>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</si>
  <si>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</si>
  <si>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</si>
  <si>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</si>
  <si>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</si>
  <si>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</si>
  <si>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</si>
  <si>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</si>
  <si>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</si>
  <si>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</si>
  <si>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</si>
  <si>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</si>
  <si>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</si>
  <si>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</si>
  <si>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</si>
  <si>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</si>
  <si>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</si>
  <si>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</si>
  <si>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</si>
  <si>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</si>
  <si>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</si>
  <si>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</si>
  <si>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</si>
  <si>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</si>
  <si>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</si>
  <si>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</si>
  <si>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</si>
  <si>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</si>
  <si>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</si>
  <si>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</si>
  <si>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</si>
  <si>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</si>
  <si>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</si>
  <si>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</si>
  <si>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</si>
  <si>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</si>
  <si>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</si>
  <si>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</si>
  <si>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</si>
  <si>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</si>
  <si>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</si>
  <si>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</si>
  <si>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</si>
  <si>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</si>
  <si>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</si>
  <si>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</si>
  <si>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</si>
  <si>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</si>
  <si>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</si>
  <si>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</si>
  <si>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</si>
  <si>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</si>
  <si>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</si>
  <si>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</si>
  <si>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</si>
  <si>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</si>
  <si>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</si>
  <si>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</si>
  <si>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</si>
  <si>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</si>
  <si>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</si>
  <si>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</si>
  <si>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</si>
  <si>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</si>
  <si>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</si>
  <si>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</si>
  <si>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</si>
  <si>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</si>
  <si>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</si>
  <si>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</si>
  <si>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</si>
  <si>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</si>
  <si>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</si>
  <si>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</si>
  <si>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</si>
  <si>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</si>
  <si>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</si>
  <si>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</si>
  <si>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</si>
  <si>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</si>
  <si>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</si>
  <si>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</si>
  <si>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</si>
  <si>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</si>
  <si>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</si>
  <si>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</si>
  <si>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</si>
  <si>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</si>
  <si>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</si>
  <si>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</si>
  <si>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</si>
  <si>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</si>
  <si>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</si>
  <si>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</si>
  <si>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</si>
  <si>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</si>
  <si>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</si>
  <si>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</si>
  <si>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</si>
  <si>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</si>
  <si>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</si>
  <si>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</si>
  <si>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</si>
  <si>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</si>
  <si>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</si>
  <si>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</si>
  <si>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</si>
  <si>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</si>
  <si>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</si>
  <si>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</si>
  <si>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</si>
  <si>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</si>
  <si>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</si>
  <si>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</si>
  <si>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</si>
  <si>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</si>
  <si>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</si>
  <si>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</si>
  <si>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</si>
  <si>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</si>
  <si>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</si>
  <si>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</si>
  <si>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</si>
  <si>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</si>
  <si>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</si>
  <si>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</si>
  <si>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</si>
  <si>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</si>
  <si>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</si>
  <si>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</si>
  <si>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</si>
  <si>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</si>
  <si>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</si>
  <si>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</si>
  <si>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</si>
  <si>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</si>
  <si>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</si>
  <si>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</si>
  <si>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</si>
  <si>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</si>
  <si>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</si>
  <si>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</si>
  <si>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</si>
  <si>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</si>
  <si>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</si>
  <si>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</si>
  <si>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</si>
  <si>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</si>
  <si>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</si>
  <si>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</si>
  <si>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</si>
  <si>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</si>
  <si>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</si>
  <si>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</si>
  <si>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</si>
  <si>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</si>
  <si>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</si>
  <si>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</si>
  <si>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</si>
  <si>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</si>
  <si>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</si>
  <si>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</si>
  <si>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</si>
  <si>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</si>
  <si>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</si>
  <si>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</si>
  <si>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</si>
  <si>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</si>
  <si>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</si>
  <si>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</si>
  <si>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</si>
  <si>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</si>
  <si>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</si>
  <si>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</si>
  <si>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</si>
  <si>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</si>
  <si>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</si>
  <si>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</si>
  <si>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</si>
  <si>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</si>
  <si>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</si>
  <si>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</si>
  <si>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</si>
  <si>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</si>
  <si>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</si>
  <si>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</si>
  <si>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</si>
  <si>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</si>
  <si>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</si>
  <si>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</si>
  <si>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</si>
  <si>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</si>
  <si>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</si>
  <si>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</si>
  <si>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</si>
  <si>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</si>
  <si>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</si>
  <si>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</si>
  <si>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</si>
  <si>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</si>
  <si>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</si>
  <si>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</si>
  <si>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</si>
  <si>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</si>
  <si>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</si>
  <si>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</si>
  <si>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</si>
  <si>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</si>
  <si>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</si>
  <si>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</si>
  <si>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</si>
  <si>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</si>
  <si>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</si>
  <si>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</si>
  <si>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</si>
  <si>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</si>
  <si>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</si>
  <si>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</si>
  <si>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</si>
  <si>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</si>
  <si>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</si>
  <si>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</si>
  <si>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</si>
  <si>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</si>
  <si>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</si>
  <si>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</si>
  <si>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</si>
  <si>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</si>
  <si>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</si>
  <si>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</si>
  <si>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</si>
  <si>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</si>
  <si>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</si>
  <si>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</si>
  <si>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</si>
  <si>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</si>
  <si>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</si>
  <si>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</si>
  <si>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</si>
  <si>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</si>
  <si>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</si>
  <si>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</si>
  <si>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</si>
  <si>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</si>
  <si>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</si>
  <si>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</si>
  <si>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</si>
  <si>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</si>
  <si>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</si>
  <si>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</si>
  <si>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</si>
  <si>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</si>
  <si>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</si>
  <si>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</si>
  <si>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</si>
  <si>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</si>
  <si>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</si>
  <si>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</si>
  <si>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</si>
  <si>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</si>
  <si>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</si>
  <si>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</si>
  <si>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</si>
  <si>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</si>
  <si>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</si>
  <si>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</si>
  <si>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</si>
  <si>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</si>
  <si>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</si>
  <si>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</si>
  <si>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</si>
  <si>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</si>
  <si>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</si>
  <si>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</si>
  <si>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</si>
  <si>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</si>
  <si>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</si>
  <si>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</si>
  <si>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</si>
  <si>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</si>
  <si>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</si>
  <si>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</si>
  <si>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</si>
  <si>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</si>
  <si>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</si>
  <si>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</si>
  <si>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</si>
  <si>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</si>
  <si>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</si>
  <si>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</si>
  <si>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</si>
  <si>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</si>
  <si>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</si>
  <si>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</si>
  <si>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</si>
  <si>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</si>
  <si>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</si>
  <si>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</si>
  <si>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</si>
  <si>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</si>
  <si>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</si>
  <si>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</si>
  <si>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</si>
  <si>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</si>
  <si>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</si>
  <si>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</si>
  <si>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</si>
  <si>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</si>
  <si>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</si>
  <si>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</si>
  <si>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</si>
  <si>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</si>
  <si>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</si>
  <si>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</si>
  <si>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</si>
  <si>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</si>
  <si>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</si>
  <si>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</si>
  <si>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</si>
  <si>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</si>
  <si>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</si>
  <si>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</si>
  <si>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</si>
  <si>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</si>
  <si>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</si>
  <si>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</si>
  <si>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</si>
  <si>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</si>
  <si>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</si>
  <si>
    <t>Utility Name: Sioux Lookout Hydro Inc.</t>
  </si>
  <si>
    <t>Y</t>
  </si>
  <si>
    <t>N</t>
  </si>
  <si>
    <t>Net Change in vested sick leave accrual</t>
  </si>
  <si>
    <t>Net change in post employment benefit accrual</t>
  </si>
  <si>
    <t>interest on unrecorded interest on variance accounts</t>
  </si>
  <si>
    <t>Payment of 2004 Capital Tax</t>
  </si>
  <si>
    <t>Method 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</si>
</sst>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10" fontId="0" fillId="0" borderId="0" xfId="63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3" fontId="0" fillId="36" borderId="0" xfId="0" applyNumberFormat="1" applyFont="1" applyFill="1" applyAlignment="1">
      <alignment/>
    </xf>
    <xf numFmtId="0" fontId="0" fillId="41" borderId="0" xfId="0" applyFont="1" applyFill="1" applyAlignment="1">
      <alignment vertical="top" wrapText="1"/>
    </xf>
    <xf numFmtId="3" fontId="0" fillId="41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2">
      <selection activeCell="D62" sqref="D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4" t="s">
        <v>447</v>
      </c>
      <c r="E3" s="8"/>
      <c r="F3" s="8"/>
      <c r="G3" s="8"/>
      <c r="H3" s="8"/>
    </row>
    <row r="4" spans="1:8" ht="12.75">
      <c r="A4" s="2" t="s">
        <v>483</v>
      </c>
      <c r="C4" s="8"/>
      <c r="D4" s="453" t="s">
        <v>442</v>
      </c>
      <c r="E4" s="428"/>
      <c r="H4" s="8"/>
    </row>
    <row r="5" spans="1:8" ht="12.75">
      <c r="A5" s="52"/>
      <c r="C5" s="8"/>
      <c r="D5" s="452" t="s">
        <v>443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5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5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5" t="s">
        <v>502</v>
      </c>
    </row>
    <row r="18" spans="1:4" ht="15" customHeight="1">
      <c r="A18" s="389" t="s">
        <v>315</v>
      </c>
      <c r="C18" s="8"/>
      <c r="D18" s="8"/>
    </row>
    <row r="19" spans="1:4" ht="15" customHeight="1">
      <c r="A19" s="504" t="s">
        <v>316</v>
      </c>
      <c r="B19" s="8" t="s">
        <v>313</v>
      </c>
      <c r="C19" s="8" t="s">
        <v>64</v>
      </c>
      <c r="D19" s="496" t="s">
        <v>502</v>
      </c>
    </row>
    <row r="20" spans="1:4" ht="13.5" thickBot="1">
      <c r="A20" s="505"/>
      <c r="B20" s="8" t="s">
        <v>314</v>
      </c>
      <c r="C20" s="8" t="s">
        <v>64</v>
      </c>
      <c r="D20" s="495" t="s">
        <v>502</v>
      </c>
    </row>
    <row r="21" spans="1:4" ht="12.75">
      <c r="A21" s="504" t="s">
        <v>312</v>
      </c>
      <c r="B21" s="8" t="s">
        <v>313</v>
      </c>
      <c r="C21" s="8"/>
      <c r="D21" s="423">
        <v>1</v>
      </c>
    </row>
    <row r="22" spans="1:4" ht="12.75">
      <c r="A22" s="504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484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5588188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0.0833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435319.8452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348286</v>
      </c>
      <c r="E43" s="387">
        <f>D43</f>
        <v>348286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87033.84519999998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/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6">
        <v>43447</v>
      </c>
      <c r="E48" s="387">
        <f>D48</f>
        <v>43447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C51" s="498"/>
      <c r="D51" s="428">
        <v>43447</v>
      </c>
      <c r="E51" s="387">
        <f>D51</f>
        <v>43447</v>
      </c>
      <c r="G51" s="3"/>
      <c r="H51" s="40"/>
      <c r="J51" s="5"/>
      <c r="K51" s="5"/>
    </row>
    <row r="52" spans="1:11" ht="12.75">
      <c r="A52" t="s">
        <v>462</v>
      </c>
      <c r="D52" s="428"/>
      <c r="E52" s="387"/>
      <c r="G52" s="492"/>
      <c r="H52" s="40"/>
      <c r="J52" s="5"/>
      <c r="K52" s="5"/>
    </row>
    <row r="53" spans="4:11" ht="12.75">
      <c r="D53" s="428"/>
      <c r="E53" s="387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435180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2794094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232748.0302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2794094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202571.81499999997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162071.46983311936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182289.10462130935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182289.10462130935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202571.81499999997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83" r:id="rId1"/>
  <headerFooter alignWithMargins="0">
    <oddHeader>&amp;CPage &amp;P&amp;RSiouxLookout_HaltonModel_2005_PILs_Revised20110708_20111012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70">
      <selection activeCell="E28" sqref="E2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435180</v>
      </c>
      <c r="D16" s="17"/>
      <c r="E16" s="266">
        <f>G16-C16</f>
        <v>-227903</v>
      </c>
      <c r="F16" s="3"/>
      <c r="G16" s="266">
        <f>TAXREC!E50</f>
        <v>207277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249495</v>
      </c>
      <c r="D20" s="18"/>
      <c r="E20" s="266">
        <f>G20-C20</f>
        <v>56009</v>
      </c>
      <c r="F20" s="6"/>
      <c r="G20" s="266">
        <f>TAXREC!E61</f>
        <v>305504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1891</v>
      </c>
      <c r="F27" s="6"/>
      <c r="G27" s="266">
        <f>TAXREC!E93</f>
        <v>1891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89958</v>
      </c>
      <c r="F28" s="6"/>
      <c r="G28" s="266">
        <f>TAXREC!E67</f>
        <v>89958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965</v>
      </c>
      <c r="F29" s="6"/>
      <c r="G29" s="266">
        <f>TAXREC!E68</f>
        <v>965</v>
      </c>
      <c r="H29" s="151"/>
    </row>
    <row r="30" spans="1:8" ht="15.75">
      <c r="A30" s="481" t="s">
        <v>395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264683</v>
      </c>
      <c r="D33" s="132"/>
      <c r="E33" s="266">
        <f aca="true" t="shared" si="0" ref="E33:E42">G33-C33</f>
        <v>-566</v>
      </c>
      <c r="F33" s="6"/>
      <c r="G33" s="266">
        <f>TAXREC!E97+TAXREC!E98</f>
        <v>264117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202571.81499999997</v>
      </c>
      <c r="D37" s="132"/>
      <c r="E37" s="266">
        <f t="shared" si="0"/>
        <v>-82585.81499999997</v>
      </c>
      <c r="F37" s="6"/>
      <c r="G37" s="493">
        <f>TAXREC!E51</f>
        <v>119986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6109</v>
      </c>
      <c r="F45" s="6"/>
      <c r="G45" s="251">
        <f>TAXREC!E131</f>
        <v>6109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395</v>
      </c>
      <c r="B48" s="127"/>
      <c r="C48" s="258"/>
      <c r="D48" s="132"/>
      <c r="E48" s="266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217420.18500000006</v>
      </c>
      <c r="D50" s="102"/>
      <c r="E50" s="262">
        <f>E16+SUM(E20:E30)-SUM(E33:E48)</f>
        <v>-2037.1850000000268</v>
      </c>
      <c r="F50" s="431" t="s">
        <v>367</v>
      </c>
      <c r="G50" s="262">
        <f>G16+SUM(G20:G30)-SUM(G33:G48)</f>
        <v>215383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0.1862</v>
      </c>
      <c r="D53" s="102"/>
      <c r="E53" s="267">
        <f>+G53-C53</f>
        <v>0</v>
      </c>
      <c r="F53" s="114"/>
      <c r="G53" s="472">
        <v>0.1862</v>
      </c>
      <c r="H53" s="151"/>
      <c r="I53" s="469" t="s">
        <v>471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40483.63844700001</v>
      </c>
      <c r="D55" s="102"/>
      <c r="E55" s="266">
        <f>G55-C55</f>
        <v>-378.6384470000121</v>
      </c>
      <c r="F55" s="431" t="s">
        <v>368</v>
      </c>
      <c r="G55" s="263">
        <f>TAXREC!E144</f>
        <v>40105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368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40483.63844700001</v>
      </c>
      <c r="D60" s="133"/>
      <c r="E60" s="268">
        <f>+E55-E58</f>
        <v>-378.6384470000121</v>
      </c>
      <c r="F60" s="431" t="s">
        <v>368</v>
      </c>
      <c r="G60" s="268">
        <f>+G55-G58</f>
        <v>40105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5588188</v>
      </c>
      <c r="D66" s="102"/>
      <c r="E66" s="266">
        <f>G66-C66</f>
        <v>1516293</v>
      </c>
      <c r="F66" s="6"/>
      <c r="G66" s="474">
        <v>7104481</v>
      </c>
      <c r="H66" s="151"/>
      <c r="I66" s="475" t="s">
        <v>472</v>
      </c>
    </row>
    <row r="67" spans="1:10" ht="12.75">
      <c r="A67" s="152" t="s">
        <v>360</v>
      </c>
      <c r="B67" s="125">
        <v>16</v>
      </c>
      <c r="C67" s="259">
        <f>IF(C66&gt;0,'Tax Rates'!C21,0)</f>
        <v>7500000</v>
      </c>
      <c r="D67" s="102"/>
      <c r="E67" s="266">
        <f>G67-C67</f>
        <v>0</v>
      </c>
      <c r="F67" s="6"/>
      <c r="G67" s="266">
        <v>7500000</v>
      </c>
      <c r="H67" s="151"/>
      <c r="I67" s="475" t="s">
        <v>472</v>
      </c>
      <c r="J67" s="476" t="s">
        <v>473</v>
      </c>
    </row>
    <row r="68" spans="1:8" ht="12.75">
      <c r="A68" s="152" t="s">
        <v>42</v>
      </c>
      <c r="B68" s="125"/>
      <c r="C68" s="263">
        <f>IF((C66-C67)&gt;0,C66-C67,0)</f>
        <v>0</v>
      </c>
      <c r="D68" s="102"/>
      <c r="E68" s="266">
        <f>SUM(E66:E67)</f>
        <v>1516293</v>
      </c>
      <c r="F68" s="114"/>
      <c r="G68" s="263">
        <f>G66-G67</f>
        <v>-395519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0</v>
      </c>
      <c r="D72" s="101"/>
      <c r="E72" s="266">
        <f>+G72-C72</f>
        <v>0</v>
      </c>
      <c r="F72" s="477"/>
      <c r="G72" s="263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5588188</v>
      </c>
      <c r="D75" s="102"/>
      <c r="E75" s="266">
        <f>+G75-C75</f>
        <v>-5588188</v>
      </c>
      <c r="F75" s="6"/>
      <c r="G75" s="474">
        <v>0</v>
      </c>
      <c r="H75" s="151"/>
      <c r="I75" s="475" t="s">
        <v>472</v>
      </c>
    </row>
    <row r="76" spans="1:9" ht="12.75">
      <c r="A76" s="152" t="s">
        <v>360</v>
      </c>
      <c r="B76" s="125">
        <v>19</v>
      </c>
      <c r="C76" s="259">
        <f>IF(C75&gt;0,'Tax Rates'!C22,0)</f>
        <v>50000000</v>
      </c>
      <c r="D76" s="18"/>
      <c r="E76" s="266">
        <f>+G76-C76</f>
        <v>-50000000</v>
      </c>
      <c r="F76" s="6"/>
      <c r="G76" s="266"/>
      <c r="H76" s="151"/>
      <c r="I76" s="475" t="s">
        <v>472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-55588188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0.00175</v>
      </c>
      <c r="D79" s="102"/>
      <c r="E79" s="267">
        <f>G79-C79</f>
        <v>0.00025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0.1862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3">
        <f>C60/(1-C88)</f>
        <v>49746.42227451464</v>
      </c>
      <c r="D90" s="20"/>
      <c r="E90" s="139"/>
      <c r="F90" s="430" t="s">
        <v>494</v>
      </c>
      <c r="G90" s="269">
        <f>TAXREC!E156</f>
        <v>40105</v>
      </c>
      <c r="H90" s="151"/>
    </row>
    <row r="91" spans="1:8" ht="12.75">
      <c r="A91" s="158" t="s">
        <v>370</v>
      </c>
      <c r="B91" s="127">
        <v>23</v>
      </c>
      <c r="C91" s="263">
        <f>C84/(1-C88)</f>
        <v>0</v>
      </c>
      <c r="D91" s="20"/>
      <c r="E91" s="139"/>
      <c r="F91" s="430" t="s">
        <v>494</v>
      </c>
      <c r="G91" s="269">
        <f>TAXREC!E158</f>
        <v>0</v>
      </c>
      <c r="H91" s="151"/>
    </row>
    <row r="92" spans="1:8" ht="12.75">
      <c r="A92" s="158" t="s">
        <v>348</v>
      </c>
      <c r="B92" s="127">
        <v>24</v>
      </c>
      <c r="C92" s="263">
        <f>C72</f>
        <v>0</v>
      </c>
      <c r="D92" s="20"/>
      <c r="E92" s="139"/>
      <c r="F92" s="430" t="s">
        <v>494</v>
      </c>
      <c r="G92" s="269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495</v>
      </c>
      <c r="B95" s="125">
        <v>25</v>
      </c>
      <c r="C95" s="268">
        <v>49365</v>
      </c>
      <c r="D95" s="6"/>
      <c r="E95" s="139"/>
      <c r="F95" s="430" t="s">
        <v>494</v>
      </c>
      <c r="G95" s="413">
        <f>SUM(G90:G94)</f>
        <v>40105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89958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479</v>
      </c>
      <c r="B112" s="127">
        <v>11</v>
      </c>
      <c r="C112" s="112"/>
      <c r="D112" s="3"/>
      <c r="E112" s="47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89958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497</v>
      </c>
      <c r="B122" s="127"/>
      <c r="C122" s="112"/>
      <c r="D122" s="3" t="s">
        <v>231</v>
      </c>
      <c r="E122" s="468">
        <v>0.175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15742.65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15742.65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0.265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5">
        <f>E128/(1-E130)</f>
        <v>21418.571428571428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217420.18500000006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0.2762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60051.45509700001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60051.45509700001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40483.63844700001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19567.81665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5588188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-1911812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0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0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5588188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-44411812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0.2762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27034.83925117436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4">
        <f>SUM(E177:E179)</f>
        <v>27034.83925117436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478</v>
      </c>
      <c r="B183" s="130"/>
      <c r="C183" s="112"/>
      <c r="D183" s="119" t="s">
        <v>187</v>
      </c>
      <c r="E183" s="484">
        <f>E132</f>
        <v>21418.571428571428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4">
        <f>E181+E183</f>
        <v>48453.410679745786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202571.81499999997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182289.10462130935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20282.710378690623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1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119986</v>
      </c>
      <c r="F201" s="3"/>
      <c r="G201" s="491"/>
      <c r="H201" s="164"/>
    </row>
    <row r="202" spans="1:8" ht="12.75">
      <c r="A202" s="155" t="s">
        <v>499</v>
      </c>
      <c r="B202" s="127"/>
      <c r="C202" s="112"/>
      <c r="D202" s="120"/>
      <c r="E202" s="490">
        <v>119986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480</v>
      </c>
      <c r="B206" s="127"/>
      <c r="C206" s="112"/>
      <c r="D206" s="120"/>
      <c r="E206" s="470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20282.710378690623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46" r:id="rId1"/>
  <headerFooter alignWithMargins="0">
    <oddHeader>&amp;CPage &amp;P&amp;RSiouxLookout_HaltonModel_2005_PILs_Revised20110708_20111012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62">
      <selection activeCell="A168" sqref="A16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Sioux Lookout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v>6985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7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7059306</v>
      </c>
      <c r="D31" s="285"/>
      <c r="E31" s="283">
        <f>C31-D31</f>
        <v>7059306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/>
      <c r="D32" s="285"/>
      <c r="E32" s="283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169400</v>
      </c>
      <c r="D33" s="285"/>
      <c r="E33" s="283">
        <f>C33-D33</f>
        <v>169400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5779463</v>
      </c>
      <c r="D39" s="285"/>
      <c r="E39" s="283">
        <f>C39-D39</f>
        <v>5779463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444726</v>
      </c>
      <c r="D40" s="285"/>
      <c r="E40" s="283">
        <f aca="true" t="shared" si="0" ref="E40:E48">C40-D40</f>
        <v>444726</v>
      </c>
      <c r="F40" s="11"/>
      <c r="G40" s="486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563198</v>
      </c>
      <c r="D42" s="285"/>
      <c r="E42" s="283">
        <f t="shared" si="0"/>
        <v>563198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234042</v>
      </c>
      <c r="D43" s="285"/>
      <c r="E43" s="283">
        <f t="shared" si="0"/>
        <v>234042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485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496</v>
      </c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207277</v>
      </c>
      <c r="D50" s="280">
        <f>SUM(D31:D36)-SUM(D39:D49)</f>
        <v>0</v>
      </c>
      <c r="E50" s="280">
        <f>SUM(E31:E35)-SUM(E39:E48)</f>
        <v>207277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119986</v>
      </c>
      <c r="D51" s="284"/>
      <c r="E51" s="281">
        <f>+C51-D51</f>
        <v>119986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23378</v>
      </c>
      <c r="D52" s="284"/>
      <c r="E52" s="282">
        <f>+C52-D52</f>
        <v>23378</v>
      </c>
      <c r="F52" s="8"/>
      <c r="G52" s="415" t="s">
        <v>477</v>
      </c>
    </row>
    <row r="53" spans="1:6" ht="12.75">
      <c r="A53" s="2" t="s">
        <v>131</v>
      </c>
      <c r="B53" s="8" t="s">
        <v>189</v>
      </c>
      <c r="C53" s="280">
        <f>C50-C51-C52</f>
        <v>63913</v>
      </c>
      <c r="D53" s="280">
        <f>D50-D51-D52</f>
        <v>0</v>
      </c>
      <c r="E53" s="280">
        <f>E50-E51-E52</f>
        <v>63913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v>23378</v>
      </c>
      <c r="D59" s="286">
        <f>D52</f>
        <v>0</v>
      </c>
      <c r="E59" s="271">
        <f>+C59-D59</f>
        <v>23378</v>
      </c>
      <c r="F59" s="8"/>
      <c r="G59" s="415" t="s">
        <v>477</v>
      </c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v>305504</v>
      </c>
      <c r="D61" s="286">
        <f>D43</f>
        <v>0</v>
      </c>
      <c r="E61" s="271">
        <f>+C61-D61</f>
        <v>305504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6" t="s">
        <v>395</v>
      </c>
      <c r="B66" s="8"/>
      <c r="C66" s="446">
        <f>'TAXREC 3 No True-up'!C47</f>
        <v>0</v>
      </c>
      <c r="D66" s="446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89958</v>
      </c>
      <c r="D67" s="251">
        <f>'TAXREC 2'!D77</f>
        <v>0</v>
      </c>
      <c r="E67" s="271">
        <f>+C67-D67</f>
        <v>89958</v>
      </c>
      <c r="F67" s="8"/>
    </row>
    <row r="68" spans="1:11" ht="12.75">
      <c r="A68" t="s">
        <v>161</v>
      </c>
      <c r="B68" s="8" t="s">
        <v>187</v>
      </c>
      <c r="C68" s="251">
        <f>'TAXREC 2'!C78</f>
        <v>965</v>
      </c>
      <c r="D68" s="251">
        <f>'TAXREC 2'!D78</f>
        <v>0</v>
      </c>
      <c r="E68" s="271">
        <f>+C68-D68</f>
        <v>965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419805</v>
      </c>
      <c r="D70" s="271">
        <f>SUM(D59:D68)</f>
        <v>0</v>
      </c>
      <c r="E70" s="271">
        <f>SUM(E59:E68)</f>
        <v>419805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1891</v>
      </c>
      <c r="D74" s="293"/>
      <c r="E74" s="271">
        <f t="shared" si="1"/>
        <v>1891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3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1891</v>
      </c>
      <c r="D80" s="251">
        <f>SUM(D73:D79)</f>
        <v>0</v>
      </c>
      <c r="E80" s="251">
        <f>SUM(E73:E79)</f>
        <v>1891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421696</v>
      </c>
      <c r="D82" s="251">
        <f>D70+D80</f>
        <v>0</v>
      </c>
      <c r="E82" s="251">
        <f>E70+E80</f>
        <v>421696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1891</v>
      </c>
      <c r="D93" s="251">
        <f>D80-D92</f>
        <v>0</v>
      </c>
      <c r="E93" s="251">
        <f>E80-E92</f>
        <v>1891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1891</v>
      </c>
      <c r="D94" s="251">
        <f>D92+D93</f>
        <v>0</v>
      </c>
      <c r="E94" s="251">
        <f>E92+E93</f>
        <v>1891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251251</v>
      </c>
      <c r="D97" s="293"/>
      <c r="E97" s="271">
        <f>+C97-D97</f>
        <v>251251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12866</v>
      </c>
      <c r="D98" s="293"/>
      <c r="E98" s="271">
        <f>+C98-D98</f>
        <v>12866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264117</v>
      </c>
      <c r="D113" s="251">
        <f>SUM(D97:D111)</f>
        <v>0</v>
      </c>
      <c r="E113" s="251">
        <f>SUM(E97:E111)</f>
        <v>264117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506</v>
      </c>
      <c r="B117" s="8" t="s">
        <v>188</v>
      </c>
      <c r="C117" s="293">
        <v>6109</v>
      </c>
      <c r="D117" s="293"/>
      <c r="E117" s="271">
        <f>+C117-D117</f>
        <v>6109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6109</v>
      </c>
      <c r="D120" s="251">
        <f>SUM(D114:D119)</f>
        <v>0</v>
      </c>
      <c r="E120" s="251">
        <f>SUM(E114:E119)</f>
        <v>6109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270226</v>
      </c>
      <c r="D122" s="251">
        <f>D113+D120</f>
        <v>0</v>
      </c>
      <c r="E122" s="251">
        <f>+E113+E120</f>
        <v>270226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6109</v>
      </c>
      <c r="D131" s="251">
        <f>D120-D130</f>
        <v>0</v>
      </c>
      <c r="E131" s="251">
        <f>E120-E130</f>
        <v>6109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6109</v>
      </c>
      <c r="D132" s="251">
        <f>D130+D131</f>
        <v>0</v>
      </c>
      <c r="E132" s="251">
        <f>E130+E131</f>
        <v>6109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215383</v>
      </c>
      <c r="D134" s="251">
        <f>D53+D82-D122</f>
        <v>0</v>
      </c>
      <c r="E134" s="251">
        <f>E53+E82-E122</f>
        <v>215383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215383</v>
      </c>
      <c r="D139" s="252">
        <f>D134-D136-D137-D138</f>
        <v>0</v>
      </c>
      <c r="E139" s="252">
        <f>E134-E136-E137-E138</f>
        <v>215383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28259</v>
      </c>
      <c r="D142" s="297">
        <f>D139*C149</f>
        <v>0</v>
      </c>
      <c r="E142" s="252">
        <f>C142-D142</f>
        <v>28259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11846</v>
      </c>
      <c r="D143" s="297">
        <f>D139*C150</f>
        <v>0</v>
      </c>
      <c r="E143" s="291">
        <f>C143-D143</f>
        <v>11846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40105</v>
      </c>
      <c r="D144" s="252">
        <f>D142+D143</f>
        <v>0</v>
      </c>
      <c r="E144" s="252">
        <f>E142+E143</f>
        <v>40105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40105</v>
      </c>
      <c r="D146" s="252">
        <f>D144-D145</f>
        <v>0</v>
      </c>
      <c r="E146" s="252">
        <f>E144-E145</f>
        <v>40105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C142/C139</f>
        <v>0.1312034840261302</v>
      </c>
      <c r="D149" s="5"/>
      <c r="E149" s="405">
        <f>C149</f>
        <v>0.1312034840261302</v>
      </c>
      <c r="F149" s="8"/>
      <c r="G149" s="483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C143/C139</f>
        <v>0.0549996982120223</v>
      </c>
      <c r="D150" s="5"/>
      <c r="E150" s="405">
        <f>C150</f>
        <v>0.0549996982120223</v>
      </c>
      <c r="F150" s="8"/>
      <c r="G150" s="483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0.1862031822381525</v>
      </c>
      <c r="D151" s="5"/>
      <c r="E151" s="405">
        <f>SUM(E149:E150)</f>
        <v>0.1862031822381525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40105</v>
      </c>
      <c r="D156" s="251">
        <f>D146</f>
        <v>0</v>
      </c>
      <c r="E156" s="251">
        <f>E146</f>
        <v>40105</v>
      </c>
    </row>
    <row r="157" spans="1:5" ht="12.75">
      <c r="A157" t="s">
        <v>20</v>
      </c>
      <c r="B157" s="86" t="s">
        <v>187</v>
      </c>
      <c r="C157" s="479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40105</v>
      </c>
      <c r="D160" s="251">
        <f>D156+D157+D158</f>
        <v>0</v>
      </c>
      <c r="E160" s="251">
        <f>E156+E157+E158</f>
        <v>40105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61" r:id="rId1"/>
  <headerFooter alignWithMargins="0">
    <oddHeader>&amp;CPage &amp;P&amp;RSiouxLookout_HaltonModel_2005_PILs_Revised20110708_20111012</oddHeader>
    <oddFooter>&amp;C&amp;A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22">
      <selection activeCell="C14" sqref="C1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Sioux Lookout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7" ht="12.75">
      <c r="A14" s="61" t="s">
        <v>281</v>
      </c>
      <c r="B14" s="61"/>
      <c r="C14" s="293"/>
      <c r="D14" s="293"/>
      <c r="E14" s="251">
        <f aca="true" t="shared" si="0" ref="E14:E21">C14-D14</f>
        <v>0</v>
      </c>
      <c r="G14">
        <v>70004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7" ht="12.75">
      <c r="A26" s="61" t="s">
        <v>281</v>
      </c>
      <c r="B26" s="61"/>
      <c r="C26" s="293">
        <v>0</v>
      </c>
      <c r="D26" s="293"/>
      <c r="E26" s="251">
        <f aca="true" t="shared" si="1" ref="E26:E33">C26-D26</f>
        <v>0</v>
      </c>
      <c r="G26">
        <v>103537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/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>
        <v>0</v>
      </c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449</v>
      </c>
      <c r="B47" s="61"/>
      <c r="C47" s="293"/>
      <c r="D47" s="293"/>
      <c r="E47" s="251">
        <f t="shared" si="2"/>
        <v>0</v>
      </c>
    </row>
    <row r="48" spans="1:5" ht="12.75">
      <c r="A48" s="61" t="s">
        <v>449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>
        <v>0</v>
      </c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449</v>
      </c>
      <c r="B59" s="61"/>
      <c r="C59" s="293"/>
      <c r="D59" s="293"/>
      <c r="E59" s="251">
        <f t="shared" si="3"/>
        <v>0</v>
      </c>
    </row>
    <row r="60" spans="1:5" ht="12.75">
      <c r="A60" s="61" t="s">
        <v>449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85" r:id="rId1"/>
  <headerFooter alignWithMargins="0">
    <oddHeader>&amp;CPage &amp;P&amp;RSiouxLookout_HaltonModel_2005_PILs_Revised20110708_20111012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8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43" sqref="D4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Sioux Lookout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6985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>
        <v>965</v>
      </c>
      <c r="D19" s="294"/>
      <c r="E19" s="312">
        <f t="shared" si="0"/>
        <v>965</v>
      </c>
    </row>
    <row r="20" spans="1:5" ht="12.75">
      <c r="A20" s="67" t="s">
        <v>450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499" t="s">
        <v>503</v>
      </c>
      <c r="B41" t="s">
        <v>187</v>
      </c>
      <c r="C41" s="293">
        <v>14201</v>
      </c>
      <c r="D41" s="293"/>
      <c r="E41" s="251">
        <f t="shared" si="0"/>
        <v>14201</v>
      </c>
    </row>
    <row r="42" spans="1:5" ht="12.75">
      <c r="A42" s="499" t="s">
        <v>504</v>
      </c>
      <c r="B42" t="s">
        <v>187</v>
      </c>
      <c r="C42" s="293">
        <v>11106</v>
      </c>
      <c r="D42" s="293"/>
      <c r="E42" s="251">
        <f t="shared" si="0"/>
        <v>11106</v>
      </c>
    </row>
    <row r="43" spans="1:5" ht="12.75">
      <c r="A43" s="500" t="s">
        <v>505</v>
      </c>
      <c r="B43" t="s">
        <v>187</v>
      </c>
      <c r="C43" s="293">
        <v>64651</v>
      </c>
      <c r="D43" s="293"/>
      <c r="E43" s="251">
        <f t="shared" si="0"/>
        <v>64651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90923</v>
      </c>
      <c r="D46" s="251">
        <f>SUM(D17:D45)</f>
        <v>0</v>
      </c>
      <c r="E46" s="251">
        <f>SUM(E17:E45)</f>
        <v>90923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Net Change in vested sick leave accrual</v>
      </c>
      <c r="B72" s="272"/>
      <c r="C72" s="251">
        <f t="shared" si="3"/>
        <v>14201</v>
      </c>
      <c r="D72" s="251">
        <f t="shared" si="3"/>
        <v>0</v>
      </c>
      <c r="E72" s="251">
        <f t="shared" si="3"/>
        <v>14201</v>
      </c>
    </row>
    <row r="73" spans="1:5" ht="12.75">
      <c r="A73" s="274" t="str">
        <f t="shared" si="4"/>
        <v>Net change in post employment benefit accrual</v>
      </c>
      <c r="B73" s="272"/>
      <c r="C73" s="251">
        <f t="shared" si="3"/>
        <v>11106</v>
      </c>
      <c r="D73" s="251">
        <f t="shared" si="3"/>
        <v>0</v>
      </c>
      <c r="E73" s="251">
        <f t="shared" si="3"/>
        <v>11106</v>
      </c>
    </row>
    <row r="74" spans="1:5" ht="12.75">
      <c r="A74" s="274" t="e">
        <f>IF($E43&gt;$C$11,#REF!," ")</f>
        <v>#REF!</v>
      </c>
      <c r="B74" s="272"/>
      <c r="C74" s="251">
        <f t="shared" si="3"/>
        <v>64651</v>
      </c>
      <c r="D74" s="251">
        <f t="shared" si="3"/>
        <v>0</v>
      </c>
      <c r="E74" s="251">
        <f t="shared" si="3"/>
        <v>64651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89958</v>
      </c>
      <c r="D77" s="251">
        <f>SUM(D49:D75)</f>
        <v>0</v>
      </c>
      <c r="E77" s="251">
        <f>SUM(E49:E75)</f>
        <v>89958</v>
      </c>
    </row>
    <row r="78" spans="1:5" ht="12.75">
      <c r="A78" s="275" t="s">
        <v>203</v>
      </c>
      <c r="B78" s="276"/>
      <c r="C78" s="314">
        <f>C46-C77</f>
        <v>965</v>
      </c>
      <c r="D78" s="314">
        <f>D46-D77</f>
        <v>0</v>
      </c>
      <c r="E78" s="314">
        <f>E46-E77</f>
        <v>965</v>
      </c>
    </row>
    <row r="79" spans="1:5" ht="12.75">
      <c r="A79" s="275" t="s">
        <v>170</v>
      </c>
      <c r="B79" s="276"/>
      <c r="C79" s="314">
        <f>C77+C78</f>
        <v>90923</v>
      </c>
      <c r="D79" s="314">
        <f>D77+D78</f>
        <v>0</v>
      </c>
      <c r="E79" s="314">
        <f>E77+E78</f>
        <v>90923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74" r:id="rId1"/>
  <headerFooter alignWithMargins="0">
    <oddHeader>&amp;CPage &amp;P&amp;RSiouxLookout_HaltonModel_2005_PILs_Revised20110708_20111012</oddHeader>
    <oddFooter>&amp;C&amp;A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44" sqref="C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2"/>
    </row>
    <row r="4" spans="1:6" ht="15.75">
      <c r="A4" s="463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Sioux Lookout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434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452</v>
      </c>
      <c r="C35" s="294"/>
      <c r="D35" s="294"/>
      <c r="E35" s="312">
        <f t="shared" si="0"/>
        <v>0</v>
      </c>
    </row>
    <row r="36" spans="1:5" ht="12.75">
      <c r="A36" s="67" t="s">
        <v>435</v>
      </c>
      <c r="C36" s="294"/>
      <c r="D36" s="294"/>
      <c r="E36" s="312">
        <f t="shared" si="0"/>
        <v>0</v>
      </c>
    </row>
    <row r="37" spans="1:5" ht="12.75">
      <c r="A37" s="67" t="s">
        <v>436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67" t="s">
        <v>458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2:5" ht="12.75"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397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7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7" t="s">
        <v>387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2:5" ht="12.75"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66" r:id="rId1"/>
  <headerFooter alignWithMargins="0">
    <oddHeader>&amp;CPage &amp;P&amp;RSiouxLookout_HaltonModel_2005_PILs_Revised20110708_20111012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F50" sqref="F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EB-2008-0381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2" t="s">
        <v>486</v>
      </c>
      <c r="B8" s="513"/>
      <c r="C8" s="513"/>
      <c r="D8" s="513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488</v>
      </c>
      <c r="B10" s="326"/>
      <c r="C10" s="375" t="s">
        <v>111</v>
      </c>
      <c r="D10" s="375"/>
      <c r="E10" s="375" t="s">
        <v>111</v>
      </c>
      <c r="F10" s="376" t="s">
        <v>482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487</v>
      </c>
      <c r="C21" s="361">
        <v>7500000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481</v>
      </c>
      <c r="C22" s="362">
        <v>50000000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6" t="s">
        <v>493</v>
      </c>
      <c r="B23" s="507"/>
      <c r="C23" s="507"/>
      <c r="D23" s="507"/>
      <c r="E23" s="507"/>
      <c r="F23" s="507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2" t="s">
        <v>489</v>
      </c>
      <c r="B26" s="513"/>
      <c r="C26" s="513"/>
      <c r="D26" s="513"/>
      <c r="E26" s="513"/>
      <c r="F26" s="51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482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491</v>
      </c>
      <c r="B39" s="406" t="s">
        <v>487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492</v>
      </c>
      <c r="B40" s="407" t="s">
        <v>481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8" t="s">
        <v>335</v>
      </c>
      <c r="B41" s="507"/>
      <c r="C41" s="507"/>
      <c r="D41" s="507"/>
      <c r="E41" s="507"/>
      <c r="F41" s="50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9"/>
      <c r="B42" s="509"/>
      <c r="C42" s="509"/>
      <c r="D42" s="509"/>
      <c r="E42" s="509"/>
      <c r="F42" s="50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0.14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0.3612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487</v>
      </c>
      <c r="C57" s="361">
        <v>6955928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481</v>
      </c>
      <c r="C58" s="362">
        <v>45995000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6" t="s">
        <v>351</v>
      </c>
      <c r="B59" s="510"/>
      <c r="C59" s="510"/>
      <c r="D59" s="510"/>
      <c r="E59" s="510"/>
      <c r="F59" s="51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1"/>
      <c r="B60" s="511"/>
      <c r="C60" s="511"/>
      <c r="D60" s="511"/>
      <c r="E60" s="511"/>
      <c r="F60" s="51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72" r:id="rId1"/>
  <headerFooter alignWithMargins="0">
    <oddHeader>&amp;CPage &amp;P&amp;RSiouxLookout_HaltonModel_2005_PILs_Revised20110708_20111012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10">
      <selection activeCell="N19" sqref="N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Sioux Lookout Hydro Inc.</v>
      </c>
      <c r="O3" s="416" t="str">
        <f>REGINFO!E1</f>
        <v>Version 2009.1</v>
      </c>
    </row>
    <row r="4" spans="1:15" ht="12.75">
      <c r="A4" s="2" t="str">
        <f>REGINFO!A4</f>
        <v>Reporting period:  2005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40160</v>
      </c>
      <c r="F11" s="419"/>
      <c r="G11" s="396">
        <f>E22</f>
        <v>77657</v>
      </c>
      <c r="H11" s="419"/>
      <c r="I11" s="396">
        <f>G22</f>
        <v>27107</v>
      </c>
      <c r="J11" s="390"/>
      <c r="K11" s="396">
        <f>I22</f>
        <v>-30427.25</v>
      </c>
      <c r="L11" s="390"/>
      <c r="M11" s="396">
        <f>K22</f>
        <v>-83371</v>
      </c>
      <c r="N11" s="390"/>
      <c r="O11" s="396">
        <f>C11</f>
        <v>0</v>
      </c>
    </row>
    <row r="12" spans="1:17" ht="27" customHeight="1">
      <c r="A12" s="81" t="s">
        <v>398</v>
      </c>
      <c r="B12" s="66" t="s">
        <v>190</v>
      </c>
      <c r="C12" s="395">
        <v>39439</v>
      </c>
      <c r="D12" s="391"/>
      <c r="E12" s="395">
        <v>123954</v>
      </c>
      <c r="F12" s="95"/>
      <c r="G12" s="418">
        <f>C12+E12</f>
        <v>163393</v>
      </c>
      <c r="H12" s="95"/>
      <c r="I12" s="418">
        <f>(E12/12*9)+(G12/12*3)</f>
        <v>133813.75</v>
      </c>
      <c r="J12" s="391"/>
      <c r="K12" s="418">
        <f>E12/12*3</f>
        <v>30988.5</v>
      </c>
      <c r="L12" s="391"/>
      <c r="M12" s="501">
        <f>49365/12*4</f>
        <v>16455</v>
      </c>
      <c r="N12" s="391"/>
      <c r="O12" s="396">
        <f aca="true" t="shared" si="0" ref="O12:O20">SUM(C12:N12)</f>
        <v>508043.25</v>
      </c>
      <c r="Q12" s="22"/>
    </row>
    <row r="13" spans="1:15" ht="27" customHeight="1">
      <c r="A13" s="81" t="s">
        <v>440</v>
      </c>
      <c r="B13" s="66"/>
      <c r="C13" s="395"/>
      <c r="D13" s="95"/>
      <c r="E13" s="395"/>
      <c r="F13" s="95"/>
      <c r="G13" s="395"/>
      <c r="H13" s="95"/>
      <c r="I13" s="395"/>
      <c r="J13" s="391"/>
      <c r="K13" s="503">
        <f>49365/12*9</f>
        <v>37023.75</v>
      </c>
      <c r="L13" s="391"/>
      <c r="M13" s="395"/>
      <c r="N13" s="391"/>
      <c r="O13" s="396">
        <f t="shared" si="0"/>
        <v>37023.75</v>
      </c>
    </row>
    <row r="14" spans="1:15" ht="38.25">
      <c r="A14" s="81" t="s">
        <v>399</v>
      </c>
      <c r="B14" s="66" t="s">
        <v>190</v>
      </c>
      <c r="C14" s="395">
        <v>0</v>
      </c>
      <c r="D14" s="391"/>
      <c r="E14" s="395">
        <v>0</v>
      </c>
      <c r="F14" s="95"/>
      <c r="G14" s="395"/>
      <c r="H14" s="95"/>
      <c r="I14" s="395">
        <v>0</v>
      </c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>
        <v>-7244</v>
      </c>
      <c r="H15" s="95"/>
      <c r="I15" s="395">
        <v>0</v>
      </c>
      <c r="J15" s="391"/>
      <c r="K15" s="395">
        <v>0</v>
      </c>
      <c r="L15" s="391"/>
      <c r="M15" s="395">
        <f>SUM(TAXCALC!E132)</f>
        <v>21418.571428571428</v>
      </c>
      <c r="N15" s="391"/>
      <c r="O15" s="396">
        <f t="shared" si="0"/>
        <v>14174.571428571428</v>
      </c>
    </row>
    <row r="16" spans="1:15" ht="27" customHeight="1">
      <c r="A16" s="81" t="s">
        <v>401</v>
      </c>
      <c r="B16" s="66"/>
      <c r="C16" s="395"/>
      <c r="D16" s="391"/>
      <c r="E16" s="395">
        <v>-2066</v>
      </c>
      <c r="F16" s="95"/>
      <c r="G16" s="395"/>
      <c r="H16" s="95"/>
      <c r="I16" s="395"/>
      <c r="J16" s="391"/>
      <c r="K16" s="395">
        <v>0</v>
      </c>
      <c r="L16" s="391"/>
      <c r="M16" s="395"/>
      <c r="N16" s="391"/>
      <c r="O16" s="396">
        <f t="shared" si="0"/>
        <v>-2066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>
        <v>-53425</v>
      </c>
      <c r="H17" s="95"/>
      <c r="I17" s="395">
        <v>-72150</v>
      </c>
      <c r="J17" s="391"/>
      <c r="K17" s="395">
        <v>-44659</v>
      </c>
      <c r="L17" s="391"/>
      <c r="M17" s="395">
        <f>SUM(TAXCALC!E181)</f>
        <v>27034.83925117436</v>
      </c>
      <c r="N17" s="391"/>
      <c r="O17" s="396">
        <f t="shared" si="0"/>
        <v>-143199.16074882564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7" ht="24" customHeight="1">
      <c r="A19" s="432" t="s">
        <v>404</v>
      </c>
      <c r="B19" s="66" t="s">
        <v>190</v>
      </c>
      <c r="C19" s="395">
        <v>721</v>
      </c>
      <c r="D19" s="391"/>
      <c r="E19" s="395">
        <v>4071</v>
      </c>
      <c r="F19" s="95"/>
      <c r="G19" s="395">
        <v>3330</v>
      </c>
      <c r="H19" s="95"/>
      <c r="I19" s="395">
        <v>-684</v>
      </c>
      <c r="J19" s="391"/>
      <c r="K19" s="395">
        <v>-4501</v>
      </c>
      <c r="L19" s="391"/>
      <c r="M19" s="395">
        <v>-1507</v>
      </c>
      <c r="N19" s="391"/>
      <c r="O19" s="396">
        <f t="shared" si="0"/>
        <v>1430</v>
      </c>
      <c r="Q19" s="22"/>
    </row>
    <row r="20" spans="1:17" ht="24.75" customHeight="1">
      <c r="A20" s="81" t="s">
        <v>470</v>
      </c>
      <c r="B20" s="66" t="s">
        <v>188</v>
      </c>
      <c r="C20" s="395">
        <v>0</v>
      </c>
      <c r="D20" s="391"/>
      <c r="E20" s="395">
        <v>-88462</v>
      </c>
      <c r="F20" s="95"/>
      <c r="G20" s="395">
        <v>-156604</v>
      </c>
      <c r="H20" s="95"/>
      <c r="I20" s="395">
        <v>-118514</v>
      </c>
      <c r="J20" s="391"/>
      <c r="K20" s="395">
        <v>-71796</v>
      </c>
      <c r="L20" s="391"/>
      <c r="M20" s="395">
        <v>-32012</v>
      </c>
      <c r="N20" s="391"/>
      <c r="O20" s="396">
        <f t="shared" si="0"/>
        <v>-467388</v>
      </c>
      <c r="Q20" s="494"/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9" ht="13.5" thickBot="1">
      <c r="A22" s="81" t="s">
        <v>374</v>
      </c>
      <c r="B22" s="34"/>
      <c r="C22" s="397">
        <f>SUM(C11:C20)</f>
        <v>40160</v>
      </c>
      <c r="D22" s="419"/>
      <c r="E22" s="397">
        <f>SUM(E11:E20)</f>
        <v>77657</v>
      </c>
      <c r="F22" s="419"/>
      <c r="G22" s="397">
        <f>SUM(G11:G20)</f>
        <v>27107</v>
      </c>
      <c r="H22" s="419"/>
      <c r="I22" s="397">
        <f>SUM(I11:I20)</f>
        <v>-30427.25</v>
      </c>
      <c r="J22" s="390"/>
      <c r="K22" s="397">
        <f>SUM(K11:K20)</f>
        <v>-83371</v>
      </c>
      <c r="L22" s="390"/>
      <c r="M22" s="397">
        <f>SUM(M11:M21)</f>
        <v>-51981.589320254214</v>
      </c>
      <c r="N22" s="390"/>
      <c r="O22" s="489">
        <f>SUM(O11:O20)</f>
        <v>-51981.58932025416</v>
      </c>
      <c r="Q22">
        <v>13968</v>
      </c>
      <c r="S22" s="22">
        <f>+Q22-O22</f>
        <v>65949.58932025416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405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502" t="s">
        <v>507</v>
      </c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15" t="s">
        <v>409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420"/>
      <c r="Q33" s="420"/>
      <c r="R33" s="420"/>
      <c r="S33" s="420"/>
    </row>
    <row r="34" spans="1:19" ht="12.75">
      <c r="A34" s="514" t="s">
        <v>410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420"/>
      <c r="Q34" s="420"/>
      <c r="R34" s="420"/>
      <c r="S34" s="420"/>
    </row>
    <row r="35" spans="1:19" ht="12.75">
      <c r="A35" s="514" t="s">
        <v>431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20"/>
      <c r="Q35" s="420"/>
      <c r="R35" s="420"/>
      <c r="S35" s="420"/>
    </row>
    <row r="36" spans="1:19" ht="12.75">
      <c r="A36" s="514" t="s">
        <v>411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420"/>
      <c r="Q36" s="420"/>
      <c r="R36" s="420"/>
      <c r="S36" s="420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14" t="s">
        <v>460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48" r:id="rId3"/>
  <headerFooter alignWithMargins="0">
    <oddHeader>&amp;CPage &amp;P&amp;RSiouxLookout_HaltonModel_2005_PILs_Revised20110708_20111012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cp:lastPrinted>2011-11-22T21:59:33Z</cp:lastPrinted>
  <dcterms:created xsi:type="dcterms:W3CDTF">2001-11-07T16:15:53Z</dcterms:created>
  <dcterms:modified xsi:type="dcterms:W3CDTF">2011-11-22T22:00:53Z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