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tabRatio="1000" activeTab="0"/>
  </bookViews>
  <sheets>
    <sheet name="Rec &amp; JEs" sheetId="1" r:id="rId1"/>
    <sheet name="Festival Mar 04" sheetId="2" r:id="rId2"/>
    <sheet name="Festival Feb 04" sheetId="3" r:id="rId3"/>
    <sheet name="Festival JAN 04" sheetId="4" r:id="rId4"/>
    <sheet name="Dec 03 YTD Dist Qties" sheetId="5" r:id="rId5"/>
    <sheet name="Festival Dec 03" sheetId="6" r:id="rId6"/>
    <sheet name="Festival Nov 03 " sheetId="7" r:id="rId7"/>
    <sheet name="Festival Oct 03 " sheetId="8" r:id="rId8"/>
    <sheet name="Festival Sep 03" sheetId="9" r:id="rId9"/>
    <sheet name="Festival Aug 03" sheetId="10" r:id="rId10"/>
    <sheet name="Festival Jul-03" sheetId="11" r:id="rId11"/>
    <sheet name="Festival Jun 03" sheetId="12" r:id="rId12"/>
    <sheet name="Festival May 03" sheetId="13" r:id="rId13"/>
    <sheet name="Festival Apr 03 " sheetId="14" r:id="rId14"/>
    <sheet name="Festival Mar 03" sheetId="15" r:id="rId15"/>
    <sheet name="Festival Feb 03 " sheetId="16" r:id="rId16"/>
    <sheet name="Festival Jan 03" sheetId="17" r:id="rId17"/>
    <sheet name="2002PIL Summary" sheetId="18" r:id="rId18"/>
    <sheet name="2002PILRecoveryAmt" sheetId="19" r:id="rId19"/>
    <sheet name="Festival Dec 31" sheetId="20" r:id="rId20"/>
    <sheet name="Festival Nov 30 " sheetId="21" r:id="rId21"/>
    <sheet name="Festival Oct 30 " sheetId="22" r:id="rId22"/>
    <sheet name="Festival Sept 30" sheetId="23" r:id="rId23"/>
    <sheet name="Festival August 30" sheetId="24" r:id="rId24"/>
    <sheet name="Festival July 31" sheetId="25" r:id="rId25"/>
    <sheet name="Festival Jun 30" sheetId="26" r:id="rId26"/>
    <sheet name="Festival May 31" sheetId="27" r:id="rId27"/>
    <sheet name="Festival Apr 30" sheetId="28" r:id="rId28"/>
    <sheet name="Festival Mar 31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xlnm.Print_Area" localSheetId="0">'Rec &amp; JEs'!$A$2:$G$452</definedName>
  </definedNames>
  <calcPr fullCalcOnLoad="1"/>
</workbook>
</file>

<file path=xl/sharedStrings.xml><?xml version="1.0" encoding="utf-8"?>
<sst xmlns="http://schemas.openxmlformats.org/spreadsheetml/2006/main" count="2795" uniqueCount="273">
  <si>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</si>
  <si>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</si>
  <si>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</si>
  <si>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</si>
  <si>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</si>
  <si>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</si>
  <si>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</si>
  <si>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</si>
  <si>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</si>
  <si>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</si>
  <si>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</si>
  <si>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</si>
  <si>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</si>
  <si>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</si>
  <si>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</si>
  <si>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</si>
  <si>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</si>
  <si>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</si>
  <si>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</si>
  <si>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</si>
  <si>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</si>
  <si>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</si>
  <si>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</si>
  <si>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</si>
  <si>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</si>
  <si>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</si>
  <si>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</si>
  <si>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</si>
  <si>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</si>
  <si>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</si>
  <si>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</si>
  <si>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</si>
  <si>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</si>
  <si>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</si>
  <si>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</si>
  <si>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</si>
  <si>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</si>
  <si>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</si>
  <si>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</si>
  <si>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</si>
  <si>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>Period:  March 2002</t>
  </si>
  <si>
    <t>Period:  May 2002</t>
  </si>
  <si>
    <t>Period:  April 2002</t>
  </si>
  <si>
    <t xml:space="preserve">Determination of amount to be recovered 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</si>
  <si>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</si>
  <si>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</si>
  <si>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</si>
  <si>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</si>
  <si>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</si>
  <si>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</si>
  <si>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</si>
  <si>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</si>
  <si>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</si>
  <si>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</si>
  <si>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</si>
  <si>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</si>
  <si>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</si>
  <si>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</si>
  <si>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 xml:space="preserve">             March 2002 </t>
  </si>
  <si>
    <t>Diff over (under) absorbed</t>
  </si>
  <si>
    <t xml:space="preserve">             April  2002 </t>
  </si>
  <si>
    <t>Recovered</t>
  </si>
  <si>
    <t>Recovery</t>
  </si>
  <si>
    <t>Interest Calculation</t>
  </si>
  <si>
    <t>Opening Balance</t>
  </si>
  <si>
    <t>Recovered in March</t>
  </si>
  <si>
    <t>March Closing balance</t>
  </si>
  <si>
    <t>Interest Income</t>
  </si>
  <si>
    <t xml:space="preserve">Outstanding </t>
  </si>
  <si>
    <t>Balance</t>
  </si>
  <si>
    <t xml:space="preserve">             May  2002 </t>
  </si>
  <si>
    <t>April Opening balance</t>
  </si>
  <si>
    <t>Recovered in April</t>
  </si>
  <si>
    <t>April Closing balance</t>
  </si>
  <si>
    <t>Recovered in May</t>
  </si>
  <si>
    <t>May Opening balance</t>
  </si>
  <si>
    <t>Principal</t>
  </si>
  <si>
    <t>May Closing balance</t>
  </si>
  <si>
    <t>From Form 6</t>
  </si>
  <si>
    <t>2002 PIL Recovery</t>
  </si>
  <si>
    <t>Period:  Jun 2002</t>
  </si>
  <si>
    <t>ZFG</t>
  </si>
  <si>
    <t>Retailer billed</t>
  </si>
  <si>
    <t xml:space="preserve">             June 2002 </t>
  </si>
  <si>
    <t>Jun Opening balance</t>
  </si>
  <si>
    <t>Recovered in Jun</t>
  </si>
  <si>
    <t>Jun Closing balance</t>
  </si>
  <si>
    <t>12 months</t>
  </si>
  <si>
    <t>Total 2002 PILs</t>
  </si>
  <si>
    <t>Monthly amount to set up</t>
  </si>
  <si>
    <t>Jan Closing Balance</t>
  </si>
  <si>
    <t>A/c 4405</t>
  </si>
  <si>
    <t>1562-00-BT</t>
  </si>
  <si>
    <t>Deferred PILs</t>
  </si>
  <si>
    <t>4405-00-BT</t>
  </si>
  <si>
    <t>Accrued Interest &amp; Dividends</t>
  </si>
  <si>
    <t>To recognize imputed interest on PILs</t>
  </si>
  <si>
    <t>Period:  July 2002</t>
  </si>
  <si>
    <t xml:space="preserve">             July 2002 </t>
  </si>
  <si>
    <t>Recoverd</t>
  </si>
  <si>
    <t>Period:  August 2002</t>
  </si>
  <si>
    <t xml:space="preserve"> </t>
  </si>
  <si>
    <t xml:space="preserve">             Aug 2002 </t>
  </si>
  <si>
    <t>Aug Opening balance</t>
  </si>
  <si>
    <t>Recovered in Aug</t>
  </si>
  <si>
    <t>Aug Closing balance</t>
  </si>
  <si>
    <t>Jul Opening balance</t>
  </si>
  <si>
    <t>Recovered in Jul</t>
  </si>
  <si>
    <t>Jul Closing balance</t>
  </si>
  <si>
    <t>rates-Total</t>
  </si>
  <si>
    <t xml:space="preserve">       Variable charge</t>
  </si>
  <si>
    <t>rates - Variable</t>
  </si>
  <si>
    <t>Fixed amount</t>
  </si>
  <si>
    <t>being recovered</t>
  </si>
  <si>
    <t>rates - Fixed</t>
  </si>
  <si>
    <t xml:space="preserve">monthly </t>
  </si>
  <si>
    <t>Fixed monthly</t>
  </si>
  <si>
    <t>Total</t>
  </si>
  <si>
    <t>recovery</t>
  </si>
  <si>
    <t>Variable</t>
  </si>
  <si>
    <t xml:space="preserve">             Sept 2002 </t>
  </si>
  <si>
    <t>Sep Opening balance</t>
  </si>
  <si>
    <t>Recovered in Sep</t>
  </si>
  <si>
    <t>Sep Closing balance</t>
  </si>
  <si>
    <t>Period:  October 2002</t>
  </si>
  <si>
    <t xml:space="preserve">             Oct 2002 </t>
  </si>
  <si>
    <t>Oct Opening balance</t>
  </si>
  <si>
    <t>Recovered in Oct</t>
  </si>
  <si>
    <t>Oct Closing balance</t>
  </si>
  <si>
    <t>…</t>
  </si>
  <si>
    <t>ZFF/ZFF1</t>
  </si>
  <si>
    <t>Period:  September 2002</t>
  </si>
  <si>
    <t>Period:  November 2002</t>
  </si>
  <si>
    <t xml:space="preserve">             Nov 2002 </t>
  </si>
  <si>
    <t>Nov Opening balance</t>
  </si>
  <si>
    <t>Recovered in Nov</t>
  </si>
  <si>
    <t>Nov Closing balance</t>
  </si>
  <si>
    <t>Period:  December 2002</t>
  </si>
  <si>
    <t xml:space="preserve">             Dec 2002 </t>
  </si>
  <si>
    <t>Period:  Dec 2002</t>
  </si>
  <si>
    <t>Dec Opening balance</t>
  </si>
  <si>
    <t>Recovered in Dec</t>
  </si>
  <si>
    <t>Dec Closing balance</t>
  </si>
  <si>
    <t xml:space="preserve">Check </t>
  </si>
  <si>
    <t>Diff -LGH</t>
  </si>
  <si>
    <t>Total for 2002</t>
  </si>
  <si>
    <t xml:space="preserve">Total </t>
  </si>
  <si>
    <t>Proof</t>
  </si>
  <si>
    <t xml:space="preserve">Transfer In </t>
  </si>
  <si>
    <t>Interest</t>
  </si>
  <si>
    <t>Difference</t>
  </si>
  <si>
    <t>********* - Dec includes a 2,602.11 adjustment for streelighting</t>
  </si>
  <si>
    <t>billed at KwH in the earlier months and converted to kW consumption</t>
  </si>
  <si>
    <t xml:space="preserve">in month of Dec </t>
  </si>
  <si>
    <t>****** Dec includes unbilled sent light kwh converted to kW consumption</t>
  </si>
  <si>
    <t xml:space="preserve">   of 42.66 kW</t>
  </si>
  <si>
    <t>Streelight kWh</t>
  </si>
  <si>
    <t>Convert to kW</t>
  </si>
  <si>
    <t>divide by 360</t>
  </si>
  <si>
    <t>Included in Dec-LGH kW</t>
  </si>
  <si>
    <t>Sent Light kWh</t>
  </si>
  <si>
    <t>Dec adjustment</t>
  </si>
  <si>
    <t>Included in Dec-SLG kW</t>
  </si>
  <si>
    <t>Interest @ 2.65</t>
  </si>
  <si>
    <t>Jan Opening balance</t>
  </si>
  <si>
    <t>Recovered in Jan</t>
  </si>
  <si>
    <t>Jan Closing balance</t>
  </si>
  <si>
    <t>Feb Opening balance</t>
  </si>
  <si>
    <t>Recovered in Feb</t>
  </si>
  <si>
    <t>Feb Closing balance</t>
  </si>
  <si>
    <t>YTD Int</t>
  </si>
  <si>
    <t xml:space="preserve">2002 PIL recovery - at 7.25% </t>
  </si>
  <si>
    <t>Interest @ 7.25</t>
  </si>
  <si>
    <t xml:space="preserve">Interst on PILS </t>
  </si>
  <si>
    <t>1138-00-VR</t>
  </si>
  <si>
    <t>Allow for interest on variance accts</t>
  </si>
  <si>
    <t>Int @ 7.25</t>
  </si>
  <si>
    <t>Int @ 2.65</t>
  </si>
  <si>
    <t>Period:  March 2003</t>
  </si>
  <si>
    <t>Period:  April 2003</t>
  </si>
  <si>
    <t>Period:  May 2003</t>
  </si>
  <si>
    <t>Period:  June 2003</t>
  </si>
  <si>
    <t>Sentinel Lighting  *****</t>
  </si>
  <si>
    <t>Recovered in Mar</t>
  </si>
  <si>
    <t>Revised balance</t>
  </si>
  <si>
    <t>Mar Closing balance</t>
  </si>
  <si>
    <t>Mar Opening balance</t>
  </si>
  <si>
    <t>Apr Opening balance</t>
  </si>
  <si>
    <t>Recovered in Apr</t>
  </si>
  <si>
    <t>Apr Closing balance</t>
  </si>
  <si>
    <t>Reconciliation</t>
  </si>
  <si>
    <t>PIL additons</t>
  </si>
  <si>
    <t>Add interest</t>
  </si>
  <si>
    <t>Less recoveries</t>
  </si>
  <si>
    <t>Defferal Account True Up</t>
  </si>
  <si>
    <t>Agrees to G.L.</t>
  </si>
  <si>
    <t>YTD</t>
  </si>
  <si>
    <t>Period:  Jul 2003</t>
  </si>
  <si>
    <t>Period:  Aug 2003</t>
  </si>
  <si>
    <t>Period:  Sept 2003</t>
  </si>
  <si>
    <t>OEB Reporting</t>
  </si>
  <si>
    <t>To Mar 31/03</t>
  </si>
  <si>
    <t>Mar to Jun/03</t>
  </si>
  <si>
    <t>Jun/03 YTD</t>
  </si>
  <si>
    <t>Jun-Sep/03</t>
  </si>
  <si>
    <t>Sep/03 YTD</t>
  </si>
  <si>
    <t>Opening -2001</t>
  </si>
  <si>
    <t>Opening -2002</t>
  </si>
  <si>
    <t>Add Interest -2001</t>
  </si>
  <si>
    <t>Add Interest -2002</t>
  </si>
  <si>
    <t>Less Recovery -2001</t>
  </si>
  <si>
    <t>Less Recovery -2002</t>
  </si>
  <si>
    <t>Adjustment -2001</t>
  </si>
  <si>
    <t>Adjustment -2002</t>
  </si>
  <si>
    <t>New PILs -2001</t>
  </si>
  <si>
    <t>New PILs -2002</t>
  </si>
  <si>
    <t>Summary</t>
  </si>
  <si>
    <t>Beginning</t>
  </si>
  <si>
    <t>Carrying Charges</t>
  </si>
  <si>
    <t>Net Accruals</t>
  </si>
  <si>
    <t>Other Adjustments</t>
  </si>
  <si>
    <t>Closing Balance</t>
  </si>
  <si>
    <t>OEB Reporting 1563</t>
  </si>
  <si>
    <t>Check</t>
  </si>
  <si>
    <t>Period:  Oct 2003</t>
  </si>
  <si>
    <t>Opening balance</t>
  </si>
  <si>
    <t>Period:  Nov 2003</t>
  </si>
  <si>
    <t>Period:  Dec 2003</t>
  </si>
  <si>
    <t>Beg Bal</t>
  </si>
  <si>
    <t>Dec 31/03</t>
  </si>
  <si>
    <t xml:space="preserve">Oct - Dec </t>
  </si>
  <si>
    <t>DEC YTD</t>
  </si>
  <si>
    <t>Acct 1562</t>
  </si>
  <si>
    <t>Acct 1563</t>
  </si>
  <si>
    <t>1 mths new PILs</t>
  </si>
  <si>
    <t>Deferral Acct True Up</t>
  </si>
  <si>
    <t>Ser/03 YTD</t>
  </si>
  <si>
    <t xml:space="preserve">Add 2001 PILS </t>
  </si>
  <si>
    <t>Period:  Jan 2004</t>
  </si>
  <si>
    <t>Period:  Feb 2004</t>
  </si>
  <si>
    <t>Jan/04</t>
  </si>
  <si>
    <t>Feb/04</t>
  </si>
  <si>
    <t>Closing balance</t>
  </si>
  <si>
    <t>Period:  Mar 2004</t>
  </si>
  <si>
    <t>Mar/04</t>
  </si>
  <si>
    <t>Opening, Jan 1</t>
  </si>
  <si>
    <t>Recoveries</t>
  </si>
  <si>
    <t>New PILS</t>
  </si>
  <si>
    <t>Deferral True Up</t>
  </si>
  <si>
    <t>Bal, Jun 30</t>
  </si>
  <si>
    <t xml:space="preserve">1 mths new PILs </t>
  </si>
  <si>
    <t>for Nov &amp; Dec 04.</t>
  </si>
  <si>
    <t>To record allow for interest for Nov &amp; dec 04</t>
  </si>
  <si>
    <t>Dec/04</t>
  </si>
  <si>
    <t>Festival Hydro Inc</t>
  </si>
  <si>
    <t>2002 PILS Journal Entries at Dec/04</t>
  </si>
  <si>
    <t xml:space="preserve">New PILs </t>
  </si>
  <si>
    <t>Total -2002</t>
  </si>
  <si>
    <t>PIL Addition in month</t>
  </si>
  <si>
    <t xml:space="preserve">Final recovery of 2002 PILs completed in March including unbilled revenue,  start recovering 2004 in April </t>
  </si>
  <si>
    <t>Life to date</t>
  </si>
  <si>
    <t>True Ups</t>
  </si>
  <si>
    <t>Life to date at Apr 2006</t>
  </si>
  <si>
    <t>Deferral Acct True Up 2002</t>
  </si>
  <si>
    <t xml:space="preserve">YTD </t>
  </si>
  <si>
    <t>Year</t>
  </si>
  <si>
    <t xml:space="preserve">New PILS </t>
  </si>
  <si>
    <t>Interst</t>
  </si>
  <si>
    <t>Ending</t>
  </si>
  <si>
    <t>True UP</t>
  </si>
  <si>
    <t>Originally Filed</t>
  </si>
  <si>
    <t>Deferral Acct True Up for 2003</t>
  </si>
  <si>
    <t>2002 &amp; 2003 PIL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</si>
</sst>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#,##0.000000000_);\(#,##0.000000000\)"/>
    <numFmt numFmtId="199" formatCode="#,##0.00_ ;\-#,##0.00\ "/>
    <numFmt numFmtId="200" formatCode="#,##0.0000000000_ ;\-#,##0.0000000000\ "/>
    <numFmt numFmtId="201" formatCode="#,##0.00000000_ ;\-#,##0.00000000\ "/>
    <numFmt numFmtId="202" formatCode="#,##0.00000000000_ ;\-#,##0.000000000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185" fontId="0" fillId="0" borderId="0" xfId="0" applyNumberFormat="1" applyAlignment="1" quotePrefix="1">
      <alignment/>
    </xf>
    <xf numFmtId="39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/>
    </xf>
    <xf numFmtId="3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85" fontId="0" fillId="0" borderId="0" xfId="0" applyNumberFormat="1" applyBorder="1" applyAlignment="1" quotePrefix="1">
      <alignment/>
    </xf>
    <xf numFmtId="0" fontId="3" fillId="0" borderId="0" xfId="0" applyFont="1" applyAlignment="1">
      <alignment horizontal="center"/>
    </xf>
    <xf numFmtId="3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9" fontId="5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3" fillId="0" borderId="12" xfId="0" applyNumberFormat="1" applyFont="1" applyBorder="1" applyAlignment="1">
      <alignment/>
    </xf>
    <xf numFmtId="0" fontId="0" fillId="0" borderId="0" xfId="0" applyAlignment="1" quotePrefix="1">
      <alignment/>
    </xf>
    <xf numFmtId="184" fontId="3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39" fontId="7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39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12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%20Sep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%20PIL%20recovery%20Dec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2">
        <row r="9">
          <cell r="K9">
            <v>10449948.666666666</v>
          </cell>
        </row>
        <row r="10">
          <cell r="K10">
            <v>640442.5</v>
          </cell>
        </row>
        <row r="11">
          <cell r="K11">
            <v>341661.4166666667</v>
          </cell>
        </row>
        <row r="13">
          <cell r="K13">
            <v>5891815.5</v>
          </cell>
        </row>
        <row r="20">
          <cell r="J20">
            <v>70786.41666666667</v>
          </cell>
        </row>
        <row r="28">
          <cell r="J28">
            <v>7063.666666666667</v>
          </cell>
        </row>
        <row r="32">
          <cell r="J32">
            <v>3274.5</v>
          </cell>
        </row>
        <row r="35">
          <cell r="J35">
            <v>1905.8333333333333</v>
          </cell>
        </row>
        <row r="39">
          <cell r="J39">
            <v>883.3333333333334</v>
          </cell>
        </row>
        <row r="41">
          <cell r="J41">
            <v>44.416666666666664</v>
          </cell>
        </row>
      </sheetData>
      <sheetData sheetId="4">
        <row r="17">
          <cell r="C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&amp; JEs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3">
        <row r="9">
          <cell r="D9">
            <v>11081213</v>
          </cell>
        </row>
        <row r="10">
          <cell r="D10">
            <v>618942</v>
          </cell>
        </row>
        <row r="11">
          <cell r="D11">
            <v>334577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5952481</v>
          </cell>
        </row>
        <row r="16">
          <cell r="D16">
            <v>118500</v>
          </cell>
        </row>
        <row r="22">
          <cell r="C22">
            <v>13655.37</v>
          </cell>
        </row>
        <row r="23">
          <cell r="C23">
            <v>18731.85</v>
          </cell>
        </row>
        <row r="24">
          <cell r="C24">
            <v>35801.58</v>
          </cell>
        </row>
        <row r="25">
          <cell r="C25">
            <v>1429.02</v>
          </cell>
        </row>
        <row r="30">
          <cell r="C30">
            <v>6850.16</v>
          </cell>
        </row>
        <row r="34">
          <cell r="C34">
            <v>3404.86</v>
          </cell>
        </row>
        <row r="37">
          <cell r="C37">
            <v>1786.5</v>
          </cell>
        </row>
        <row r="41">
          <cell r="C41">
            <v>3481.1800000000003</v>
          </cell>
        </row>
        <row r="43">
          <cell r="C43">
            <v>42.66</v>
          </cell>
          <cell r="D43">
            <v>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&amp; JEs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0">
        <row r="192">
          <cell r="E192">
            <v>58913.91</v>
          </cell>
        </row>
        <row r="194">
          <cell r="E194">
            <v>747.14</v>
          </cell>
          <cell r="G194">
            <v>2738.77</v>
          </cell>
          <cell r="J194">
            <v>1264.27</v>
          </cell>
        </row>
        <row r="196">
          <cell r="E196">
            <v>-99196.94</v>
          </cell>
          <cell r="G196">
            <v>-90667.8</v>
          </cell>
          <cell r="J196">
            <v>-91858.68</v>
          </cell>
        </row>
        <row r="198">
          <cell r="E198">
            <v>92740.5</v>
          </cell>
          <cell r="G198">
            <v>92740.5</v>
          </cell>
          <cell r="J198">
            <v>92740.5</v>
          </cell>
        </row>
        <row r="200">
          <cell r="E200">
            <v>0</v>
          </cell>
          <cell r="G200">
            <v>29848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 03 YTD Dist Qties"/>
      <sheetName val="Rec &amp; JEs"/>
      <sheetName val="Festival Dec 03"/>
      <sheetName val="Festival Nov 03"/>
      <sheetName val="Festival Oct 03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1">
        <row r="213">
          <cell r="K213">
            <v>1293.4279370032837</v>
          </cell>
        </row>
        <row r="215">
          <cell r="K215">
            <v>-89820.32719990585</v>
          </cell>
        </row>
        <row r="217">
          <cell r="K217">
            <v>92740.5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3"/>
  <sheetViews>
    <sheetView tabSelected="1" zoomScalePageLayoutView="0" workbookViewId="0" topLeftCell="A1">
      <selection activeCell="A2" sqref="A2:G452"/>
    </sheetView>
  </sheetViews>
  <sheetFormatPr defaultColWidth="9.140625" defaultRowHeight="12.75"/>
  <cols>
    <col min="1" max="1" width="10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3.8515625" style="19" customWidth="1"/>
    <col min="7" max="7" width="19.140625" style="2" bestFit="1" customWidth="1"/>
    <col min="8" max="8" width="14.28125" style="2" customWidth="1"/>
    <col min="9" max="9" width="13.57421875" style="2" bestFit="1" customWidth="1"/>
    <col min="10" max="11" width="14.28125" style="4" customWidth="1"/>
    <col min="12" max="12" width="13.28125" style="2" bestFit="1" customWidth="1"/>
    <col min="13" max="13" width="14.00390625" style="2" bestFit="1" customWidth="1"/>
    <col min="14" max="14" width="13.28125" style="2" bestFit="1" customWidth="1"/>
    <col min="15" max="15" width="9.7109375" style="0" bestFit="1" customWidth="1"/>
    <col min="16" max="16" width="12.8515625" style="0" customWidth="1"/>
    <col min="18" max="18" width="10.140625" style="0" bestFit="1" customWidth="1"/>
    <col min="19" max="19" width="12.7109375" style="0" customWidth="1"/>
    <col min="22" max="22" width="9.8515625" style="0" customWidth="1"/>
    <col min="23" max="23" width="11.7109375" style="0" bestFit="1" customWidth="1"/>
    <col min="24" max="24" width="10.00390625" style="0" customWidth="1"/>
    <col min="25" max="25" width="9.8515625" style="0" customWidth="1"/>
    <col min="26" max="26" width="11.7109375" style="0" bestFit="1" customWidth="1"/>
    <col min="27" max="27" width="10.57421875" style="0" customWidth="1"/>
    <col min="28" max="28" width="9.7109375" style="0" bestFit="1" customWidth="1"/>
    <col min="29" max="29" width="12.28125" style="0" bestFit="1" customWidth="1"/>
  </cols>
  <sheetData>
    <row r="1" spans="1:32" ht="12.75">
      <c r="A1" s="44"/>
      <c r="B1" s="44"/>
      <c r="C1" s="25"/>
      <c r="D1" s="25"/>
      <c r="E1" s="25"/>
      <c r="F1" s="25"/>
      <c r="G1" s="25"/>
      <c r="H1" s="25"/>
      <c r="I1" s="25"/>
      <c r="J1" s="30"/>
      <c r="K1" s="30"/>
      <c r="L1" s="25"/>
      <c r="M1" s="25"/>
      <c r="N1" s="25"/>
      <c r="O1" s="44"/>
      <c r="P1" s="44"/>
      <c r="Q1" s="44"/>
      <c r="R1" s="44"/>
      <c r="S1" s="44"/>
      <c r="T1" s="44"/>
      <c r="U1" s="46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2.75">
      <c r="A2" s="1" t="s">
        <v>0</v>
      </c>
      <c r="J2" s="30"/>
      <c r="K2" s="30"/>
      <c r="L2" s="25"/>
      <c r="M2" s="25"/>
      <c r="N2" s="25"/>
      <c r="O2" s="44"/>
      <c r="P2" s="44"/>
      <c r="Q2" s="44"/>
      <c r="R2" s="44"/>
      <c r="S2" s="44"/>
      <c r="T2" s="44"/>
      <c r="U2" s="46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>
      <c r="A3" s="45" t="s">
        <v>171</v>
      </c>
      <c r="J3" s="30"/>
      <c r="K3" s="30"/>
      <c r="L3" s="25"/>
      <c r="M3" s="25"/>
      <c r="N3" s="25"/>
      <c r="O3" s="44"/>
      <c r="P3" s="44"/>
      <c r="Q3" s="44"/>
      <c r="R3" s="44"/>
      <c r="S3" s="44"/>
      <c r="T3" s="44"/>
      <c r="U3" s="4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0:32" ht="12.75">
      <c r="J4" s="25"/>
      <c r="K4" s="30"/>
      <c r="L4" s="31"/>
      <c r="M4" s="25"/>
      <c r="N4" s="25"/>
      <c r="O4" s="31"/>
      <c r="P4" s="25"/>
      <c r="Q4" s="25"/>
      <c r="R4" s="31"/>
      <c r="S4" s="25"/>
      <c r="T4" s="25"/>
      <c r="U4" s="44"/>
      <c r="V4" s="31"/>
      <c r="W4" s="25"/>
      <c r="X4" s="25"/>
      <c r="Y4" s="31"/>
      <c r="Z4" s="25"/>
      <c r="AA4" s="25"/>
      <c r="AB4" s="31"/>
      <c r="AC4" s="25"/>
      <c r="AD4" s="25"/>
      <c r="AE4" s="44"/>
      <c r="AF4" s="44"/>
    </row>
    <row r="5" spans="2:32" ht="12.75">
      <c r="B5" t="s">
        <v>88</v>
      </c>
      <c r="C5" s="2">
        <v>1226571</v>
      </c>
      <c r="F5" s="2"/>
      <c r="J5" s="25"/>
      <c r="K5" s="31"/>
      <c r="L5" s="31"/>
      <c r="M5" s="25"/>
      <c r="N5" s="31"/>
      <c r="O5" s="31"/>
      <c r="P5" s="25"/>
      <c r="Q5" s="31"/>
      <c r="R5" s="31"/>
      <c r="S5" s="25"/>
      <c r="T5" s="31"/>
      <c r="U5" s="44"/>
      <c r="V5" s="31"/>
      <c r="W5" s="25"/>
      <c r="X5" s="31"/>
      <c r="Y5" s="31"/>
      <c r="Z5" s="25"/>
      <c r="AA5" s="31"/>
      <c r="AB5" s="31"/>
      <c r="AC5" s="25"/>
      <c r="AD5" s="31"/>
      <c r="AE5" s="44"/>
      <c r="AF5" s="44"/>
    </row>
    <row r="6" spans="3:32" ht="12.75">
      <c r="C6" s="2" t="s">
        <v>87</v>
      </c>
      <c r="F6" s="2"/>
      <c r="J6" s="6"/>
      <c r="K6" s="31"/>
      <c r="L6" s="6"/>
      <c r="M6" s="6"/>
      <c r="N6" s="31"/>
      <c r="O6" s="6"/>
      <c r="P6" s="6"/>
      <c r="Q6" s="31"/>
      <c r="R6" s="6"/>
      <c r="S6" s="6"/>
      <c r="T6" s="31"/>
      <c r="U6" s="44"/>
      <c r="V6" s="6"/>
      <c r="W6" s="6"/>
      <c r="X6" s="31"/>
      <c r="Y6" s="6"/>
      <c r="Z6" s="6"/>
      <c r="AA6" s="31"/>
      <c r="AB6" s="6"/>
      <c r="AC6" s="6"/>
      <c r="AD6" s="31"/>
      <c r="AE6" s="44"/>
      <c r="AF6" s="44"/>
    </row>
    <row r="7" spans="2:32" ht="13.5" thickBot="1">
      <c r="B7" t="s">
        <v>89</v>
      </c>
      <c r="C7" s="26">
        <f>+C5/12</f>
        <v>102214.25</v>
      </c>
      <c r="F7" s="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"/>
      <c r="V7" s="6"/>
      <c r="W7" s="6"/>
      <c r="X7" s="6"/>
      <c r="Y7" s="6"/>
      <c r="Z7" s="6"/>
      <c r="AA7" s="6"/>
      <c r="AB7" s="6"/>
      <c r="AC7" s="6"/>
      <c r="AD7" s="6"/>
      <c r="AE7" s="44"/>
      <c r="AF7" s="44"/>
    </row>
    <row r="8" spans="6:32" ht="13.5" thickTop="1">
      <c r="F8" s="2"/>
      <c r="J8" s="25"/>
      <c r="K8" s="25"/>
      <c r="L8" s="25"/>
      <c r="M8" s="25"/>
      <c r="N8" s="2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3:32" ht="12.75">
      <c r="C9" s="6" t="s">
        <v>68</v>
      </c>
      <c r="D9" s="8"/>
      <c r="E9" s="6" t="s">
        <v>68</v>
      </c>
      <c r="F9" s="4"/>
      <c r="G9" s="50" t="s">
        <v>146</v>
      </c>
      <c r="J9" s="25"/>
      <c r="K9" s="25"/>
      <c r="L9" s="25"/>
      <c r="M9" s="25"/>
      <c r="N9" s="25"/>
      <c r="O9" s="44"/>
      <c r="P9" s="25"/>
      <c r="Q9" s="25"/>
      <c r="R9" s="44"/>
      <c r="S9" s="25"/>
      <c r="T9" s="25"/>
      <c r="U9" s="44"/>
      <c r="V9" s="44"/>
      <c r="W9" s="25"/>
      <c r="X9" s="25"/>
      <c r="Y9" s="44"/>
      <c r="Z9" s="25"/>
      <c r="AA9" s="25"/>
      <c r="AB9" s="44"/>
      <c r="AC9" s="25"/>
      <c r="AD9" s="25"/>
      <c r="AE9" s="44"/>
      <c r="AF9" s="44"/>
    </row>
    <row r="10" spans="2:32" ht="12.75">
      <c r="B10" s="1" t="s">
        <v>63</v>
      </c>
      <c r="C10" s="11" t="s">
        <v>69</v>
      </c>
      <c r="D10" s="11" t="s">
        <v>67</v>
      </c>
      <c r="E10" s="11" t="s">
        <v>76</v>
      </c>
      <c r="F10" s="4" t="s">
        <v>223</v>
      </c>
      <c r="G10" s="50" t="s">
        <v>61</v>
      </c>
      <c r="J10" s="25"/>
      <c r="K10" s="25"/>
      <c r="L10" s="25"/>
      <c r="M10" s="25"/>
      <c r="N10" s="25"/>
      <c r="O10" s="44"/>
      <c r="P10" s="25"/>
      <c r="Q10" s="25"/>
      <c r="R10" s="44"/>
      <c r="S10" s="25"/>
      <c r="T10" s="25"/>
      <c r="U10" s="44"/>
      <c r="V10" s="44"/>
      <c r="W10" s="25"/>
      <c r="X10" s="25"/>
      <c r="Y10" s="44"/>
      <c r="Z10" s="25"/>
      <c r="AA10" s="25"/>
      <c r="AB10" s="44"/>
      <c r="AC10" s="25"/>
      <c r="AD10" s="25"/>
      <c r="AE10" s="44"/>
      <c r="AF10" s="44"/>
    </row>
    <row r="11" spans="4:32" ht="12.75">
      <c r="D11" s="16" t="s">
        <v>91</v>
      </c>
      <c r="F11" s="4"/>
      <c r="J11" s="25"/>
      <c r="K11" s="25"/>
      <c r="L11" s="25"/>
      <c r="M11" s="25"/>
      <c r="N11" s="25"/>
      <c r="O11" s="44"/>
      <c r="P11" s="25"/>
      <c r="Q11" s="25"/>
      <c r="R11" s="44"/>
      <c r="S11" s="25"/>
      <c r="T11" s="25"/>
      <c r="U11" s="44"/>
      <c r="V11" s="44"/>
      <c r="W11" s="25"/>
      <c r="X11" s="25"/>
      <c r="Y11" s="44"/>
      <c r="Z11" s="25"/>
      <c r="AA11" s="25"/>
      <c r="AB11" s="44"/>
      <c r="AC11" s="25"/>
      <c r="AD11" s="25"/>
      <c r="AE11" s="44"/>
      <c r="AF11" s="44"/>
    </row>
    <row r="12" spans="1:32" ht="12.75">
      <c r="A12" s="32">
        <v>37257</v>
      </c>
      <c r="B12" t="s">
        <v>64</v>
      </c>
      <c r="C12" s="2">
        <v>0</v>
      </c>
      <c r="D12" s="16"/>
      <c r="E12" s="2">
        <v>0</v>
      </c>
      <c r="F12" s="4"/>
      <c r="J12" s="25"/>
      <c r="K12" s="25"/>
      <c r="L12" s="25"/>
      <c r="M12" s="25"/>
      <c r="N12" s="25"/>
      <c r="O12" s="44"/>
      <c r="P12" s="25"/>
      <c r="Q12" s="25"/>
      <c r="R12" s="44"/>
      <c r="S12" s="25"/>
      <c r="T12" s="25"/>
      <c r="U12" s="44"/>
      <c r="V12" s="44"/>
      <c r="W12" s="25"/>
      <c r="X12" s="25"/>
      <c r="Y12" s="44"/>
      <c r="Z12" s="25"/>
      <c r="AA12" s="25"/>
      <c r="AB12" s="44"/>
      <c r="AC12" s="25"/>
      <c r="AD12" s="25"/>
      <c r="AE12" s="44"/>
      <c r="AF12" s="44"/>
    </row>
    <row r="13" spans="1:32" ht="12.75">
      <c r="A13" s="32"/>
      <c r="B13" t="s">
        <v>258</v>
      </c>
      <c r="C13" s="2">
        <f>+C7</f>
        <v>102214.25</v>
      </c>
      <c r="D13" s="16"/>
      <c r="E13" s="2">
        <f>+C13+E12</f>
        <v>102214.25</v>
      </c>
      <c r="F13" s="4"/>
      <c r="J13" s="25"/>
      <c r="K13" s="25"/>
      <c r="L13" s="25"/>
      <c r="M13" s="25"/>
      <c r="N13" s="25"/>
      <c r="O13" s="44"/>
      <c r="P13" s="25"/>
      <c r="Q13" s="25"/>
      <c r="R13" s="44"/>
      <c r="S13" s="25"/>
      <c r="T13" s="25"/>
      <c r="U13" s="44"/>
      <c r="V13" s="44"/>
      <c r="W13" s="25"/>
      <c r="X13" s="25"/>
      <c r="Y13" s="44"/>
      <c r="Z13" s="25"/>
      <c r="AA13" s="25"/>
      <c r="AB13" s="44"/>
      <c r="AC13" s="25"/>
      <c r="AD13" s="25"/>
      <c r="AE13" s="44"/>
      <c r="AF13" s="44"/>
    </row>
    <row r="14" spans="2:32" ht="12.75">
      <c r="B14" t="s">
        <v>172</v>
      </c>
      <c r="C14" s="2">
        <f>+E12*0.0725/365*31</f>
        <v>0</v>
      </c>
      <c r="D14" s="34">
        <f>+C14</f>
        <v>0</v>
      </c>
      <c r="E14" s="2">
        <v>0</v>
      </c>
      <c r="F14" s="4"/>
      <c r="J14" s="25"/>
      <c r="K14" s="25"/>
      <c r="L14" s="25"/>
      <c r="M14" s="25"/>
      <c r="N14" s="25"/>
      <c r="O14" s="44"/>
      <c r="P14" s="25"/>
      <c r="Q14" s="25"/>
      <c r="R14" s="44"/>
      <c r="S14" s="25"/>
      <c r="T14" s="25"/>
      <c r="U14" s="44"/>
      <c r="V14" s="44"/>
      <c r="W14" s="25"/>
      <c r="X14" s="25"/>
      <c r="Y14" s="44"/>
      <c r="Z14" s="25"/>
      <c r="AA14" s="25"/>
      <c r="AB14" s="44"/>
      <c r="AC14" s="25"/>
      <c r="AD14" s="25"/>
      <c r="AE14" s="44"/>
      <c r="AF14" s="44"/>
    </row>
    <row r="15" spans="2:32" ht="13.5" thickBot="1">
      <c r="B15" s="33" t="s">
        <v>90</v>
      </c>
      <c r="C15" s="35">
        <f>+C12+C13+C14</f>
        <v>102214.25</v>
      </c>
      <c r="D15" s="35">
        <f>+D12+D13+D14</f>
        <v>0</v>
      </c>
      <c r="E15" s="35">
        <f>+E12+E13+E14</f>
        <v>102214.25</v>
      </c>
      <c r="F15" s="35">
        <f>+E15+D15</f>
        <v>102214.25</v>
      </c>
      <c r="J15" s="25"/>
      <c r="K15" s="25"/>
      <c r="L15" s="25"/>
      <c r="M15" s="25"/>
      <c r="N15" s="25"/>
      <c r="O15" s="44"/>
      <c r="P15" s="25"/>
      <c r="Q15" s="25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ht="13.5" thickTop="1">
      <c r="B16" s="1"/>
      <c r="C16" s="6"/>
      <c r="D16" s="16"/>
      <c r="F16" s="2"/>
      <c r="J16" s="25"/>
      <c r="K16" s="25"/>
      <c r="L16" s="25"/>
      <c r="M16" s="25"/>
      <c r="N16" s="25"/>
      <c r="O16" s="44"/>
      <c r="P16" s="25"/>
      <c r="Q16" s="25"/>
      <c r="R16" s="44"/>
      <c r="S16" s="25"/>
      <c r="T16" s="25"/>
      <c r="U16" s="44"/>
      <c r="V16" s="44"/>
      <c r="W16" s="25"/>
      <c r="X16" s="25"/>
      <c r="Y16" s="44"/>
      <c r="Z16" s="25"/>
      <c r="AA16" s="25"/>
      <c r="AB16" s="44"/>
      <c r="AC16" s="25"/>
      <c r="AD16" s="25"/>
      <c r="AE16" s="44"/>
      <c r="AF16" s="44"/>
    </row>
    <row r="17" spans="1:32" ht="12.75">
      <c r="A17" s="32">
        <v>37288</v>
      </c>
      <c r="B17" t="s">
        <v>64</v>
      </c>
      <c r="C17" s="2">
        <f>+C15</f>
        <v>102214.25</v>
      </c>
      <c r="D17" s="16"/>
      <c r="E17" s="2">
        <f>+E15</f>
        <v>102214.25</v>
      </c>
      <c r="F17" s="2"/>
      <c r="J17" s="25"/>
      <c r="K17" s="25"/>
      <c r="L17" s="25"/>
      <c r="M17" s="25"/>
      <c r="N17" s="25"/>
      <c r="O17" s="44"/>
      <c r="P17" s="25"/>
      <c r="Q17" s="25"/>
      <c r="R17" s="44"/>
      <c r="S17" s="25"/>
      <c r="T17" s="25"/>
      <c r="U17" s="44"/>
      <c r="V17" s="44"/>
      <c r="W17" s="25"/>
      <c r="X17" s="25"/>
      <c r="Y17" s="44"/>
      <c r="Z17" s="25"/>
      <c r="AA17" s="25"/>
      <c r="AB17" s="44"/>
      <c r="AC17" s="25"/>
      <c r="AD17" s="25"/>
      <c r="AE17" s="44"/>
      <c r="AF17" s="44"/>
    </row>
    <row r="18" spans="1:32" ht="12.75">
      <c r="A18" s="32"/>
      <c r="B18" t="s">
        <v>258</v>
      </c>
      <c r="C18" s="2">
        <f>+C7</f>
        <v>102214.25</v>
      </c>
      <c r="D18" s="16"/>
      <c r="E18" s="2">
        <f>+C18</f>
        <v>102214.25</v>
      </c>
      <c r="F18" s="2"/>
      <c r="J18" s="25"/>
      <c r="K18" s="25"/>
      <c r="L18" s="25"/>
      <c r="M18" s="25"/>
      <c r="N18" s="25"/>
      <c r="O18" s="44"/>
      <c r="P18" s="25"/>
      <c r="Q18" s="25"/>
      <c r="R18" s="44"/>
      <c r="S18" s="25"/>
      <c r="T18" s="25"/>
      <c r="U18" s="44"/>
      <c r="V18" s="44"/>
      <c r="W18" s="25"/>
      <c r="X18" s="25"/>
      <c r="Y18" s="44"/>
      <c r="Z18" s="25"/>
      <c r="AA18" s="25"/>
      <c r="AB18" s="44"/>
      <c r="AC18" s="25"/>
      <c r="AD18" s="25"/>
      <c r="AE18" s="44"/>
      <c r="AF18" s="44"/>
    </row>
    <row r="19" spans="2:32" ht="12.75">
      <c r="B19" t="s">
        <v>172</v>
      </c>
      <c r="C19" s="2">
        <f>+E17*0.0725/365*28</f>
        <v>568.4792534246576</v>
      </c>
      <c r="D19" s="34">
        <f>+C19</f>
        <v>568.4792534246576</v>
      </c>
      <c r="E19" s="2">
        <v>0</v>
      </c>
      <c r="F19" s="2"/>
      <c r="J19" s="25"/>
      <c r="K19" s="25"/>
      <c r="L19" s="25"/>
      <c r="M19" s="25"/>
      <c r="N19" s="25"/>
      <c r="O19" s="44"/>
      <c r="P19" s="25"/>
      <c r="Q19" s="25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2:32" ht="13.5" thickBot="1">
      <c r="B20" s="33" t="s">
        <v>90</v>
      </c>
      <c r="C20" s="35">
        <f>SUM(C17:C19)</f>
        <v>204996.97925342465</v>
      </c>
      <c r="D20" s="35">
        <f>SUM(D17:D19)</f>
        <v>568.4792534246576</v>
      </c>
      <c r="E20" s="35">
        <f>SUM(E17:E19)</f>
        <v>204428.5</v>
      </c>
      <c r="F20" s="35">
        <f>+E20+D20</f>
        <v>204996.97925342465</v>
      </c>
      <c r="J20" s="25"/>
      <c r="K20" s="25"/>
      <c r="L20" s="25"/>
      <c r="M20" s="25"/>
      <c r="N20" s="25"/>
      <c r="O20" s="44"/>
      <c r="P20" s="25"/>
      <c r="Q20" s="25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4:32" ht="13.5" thickTop="1">
      <c r="D21" s="16"/>
      <c r="F21" s="2"/>
      <c r="J21" s="25"/>
      <c r="K21" s="25"/>
      <c r="L21" s="25"/>
      <c r="M21" s="25"/>
      <c r="N21" s="25"/>
      <c r="O21" s="44"/>
      <c r="P21" s="25"/>
      <c r="Q21" s="2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4:32" ht="12.75">
      <c r="D22" s="16"/>
      <c r="F22" s="2"/>
      <c r="J22" s="25"/>
      <c r="K22" s="25"/>
      <c r="L22" s="25"/>
      <c r="M22" s="25"/>
      <c r="N22" s="25"/>
      <c r="O22" s="44"/>
      <c r="P22" s="25"/>
      <c r="Q22" s="25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2.75">
      <c r="A23" s="32">
        <v>37316</v>
      </c>
      <c r="B23" t="s">
        <v>64</v>
      </c>
      <c r="C23" s="2">
        <f>+C20</f>
        <v>204996.97925342465</v>
      </c>
      <c r="E23" s="2">
        <f>+E20</f>
        <v>204428.5</v>
      </c>
      <c r="F23" s="2"/>
      <c r="J23" s="25"/>
      <c r="K23" s="25"/>
      <c r="L23" s="25"/>
      <c r="M23" s="25"/>
      <c r="N23" s="25"/>
      <c r="O23" s="44"/>
      <c r="P23" s="25"/>
      <c r="Q23" s="25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2.75">
      <c r="A24" s="32"/>
      <c r="B24" t="s">
        <v>258</v>
      </c>
      <c r="C24" s="2">
        <f>+C7</f>
        <v>102214.25</v>
      </c>
      <c r="E24" s="2">
        <f>+C24</f>
        <v>102214.25</v>
      </c>
      <c r="F24" s="2"/>
      <c r="J24" s="25"/>
      <c r="K24" s="25"/>
      <c r="L24" s="25"/>
      <c r="M24" s="25"/>
      <c r="N24" s="25"/>
      <c r="O24" s="44"/>
      <c r="P24" s="25"/>
      <c r="Q24" s="25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2:32" ht="12.75">
      <c r="B25" t="s">
        <v>65</v>
      </c>
      <c r="C25" s="2">
        <f>-'2002PIL Summary'!J45</f>
        <v>-25933.658023119984</v>
      </c>
      <c r="E25" s="2">
        <f>+C25</f>
        <v>-25933.658023119984</v>
      </c>
      <c r="F25" s="2"/>
      <c r="G25" s="2">
        <f>-E25</f>
        <v>25933.658023119984</v>
      </c>
      <c r="J25" s="25"/>
      <c r="K25" s="25"/>
      <c r="L25" s="25"/>
      <c r="M25" s="25"/>
      <c r="N25" s="25"/>
      <c r="O25" s="25"/>
      <c r="P25" s="25"/>
      <c r="Q25" s="25"/>
      <c r="R25" s="25"/>
      <c r="S25" s="44"/>
      <c r="T25" s="25"/>
      <c r="U25" s="44"/>
      <c r="V25" s="25"/>
      <c r="W25" s="44"/>
      <c r="X25" s="25"/>
      <c r="Y25" s="25"/>
      <c r="Z25" s="44"/>
      <c r="AA25" s="25"/>
      <c r="AB25" s="25"/>
      <c r="AC25" s="44"/>
      <c r="AD25" s="25"/>
      <c r="AE25" s="44"/>
      <c r="AF25" s="44"/>
    </row>
    <row r="26" spans="2:32" ht="12.75">
      <c r="B26" t="s">
        <v>172</v>
      </c>
      <c r="C26" s="2">
        <f>((+E23)*0.0725*31/365)</f>
        <v>1258.7754897260274</v>
      </c>
      <c r="D26" s="2">
        <f>+C26</f>
        <v>1258.7754897260274</v>
      </c>
      <c r="E26" s="2">
        <v>0</v>
      </c>
      <c r="F26" s="2"/>
      <c r="J26" s="25"/>
      <c r="K26" s="25"/>
      <c r="L26" s="25"/>
      <c r="M26" s="25"/>
      <c r="N26" s="25"/>
      <c r="O26" s="25"/>
      <c r="P26" s="25"/>
      <c r="Q26" s="25"/>
      <c r="R26" s="25"/>
      <c r="S26" s="44"/>
      <c r="T26" s="25"/>
      <c r="U26" s="44"/>
      <c r="V26" s="25"/>
      <c r="W26" s="44"/>
      <c r="X26" s="25"/>
      <c r="Y26" s="25"/>
      <c r="Z26" s="44"/>
      <c r="AA26" s="25"/>
      <c r="AB26" s="25"/>
      <c r="AC26" s="44"/>
      <c r="AD26" s="25"/>
      <c r="AE26" s="44"/>
      <c r="AF26" s="44"/>
    </row>
    <row r="27" spans="2:32" ht="13.5" thickBot="1">
      <c r="B27" t="s">
        <v>66</v>
      </c>
      <c r="C27" s="26">
        <f>SUM(C23:C26)</f>
        <v>282536.34672003076</v>
      </c>
      <c r="D27" s="35">
        <f>+D26+D20</f>
        <v>1827.254743150685</v>
      </c>
      <c r="E27" s="26">
        <f>SUM(E23:E26)</f>
        <v>280709.09197688004</v>
      </c>
      <c r="F27" s="26">
        <f>+E27+D27</f>
        <v>282536.3467200307</v>
      </c>
      <c r="G27" s="26">
        <f>+G25</f>
        <v>25933.658023119984</v>
      </c>
      <c r="J27" s="25"/>
      <c r="K27" s="25"/>
      <c r="L27" s="25"/>
      <c r="M27" s="25"/>
      <c r="N27" s="25"/>
      <c r="O27" s="44"/>
      <c r="P27" s="25"/>
      <c r="Q27" s="25"/>
      <c r="R27" s="25"/>
      <c r="S27" s="44"/>
      <c r="T27" s="25"/>
      <c r="U27" s="44"/>
      <c r="V27" s="25"/>
      <c r="W27" s="44"/>
      <c r="X27" s="25"/>
      <c r="Y27" s="25"/>
      <c r="Z27" s="44"/>
      <c r="AA27" s="25"/>
      <c r="AB27" s="25"/>
      <c r="AC27" s="44"/>
      <c r="AD27" s="25"/>
      <c r="AE27" s="44"/>
      <c r="AF27" s="44"/>
    </row>
    <row r="28" spans="5:32" ht="13.5" thickTop="1">
      <c r="E28" s="4"/>
      <c r="F28" s="2"/>
      <c r="J28" s="25"/>
      <c r="K28" s="25"/>
      <c r="L28" s="25"/>
      <c r="M28" s="25"/>
      <c r="N28" s="25"/>
      <c r="O28" s="44"/>
      <c r="P28" s="25"/>
      <c r="Q28" s="25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2.75">
      <c r="A29" s="32">
        <v>37347</v>
      </c>
      <c r="B29" t="s">
        <v>71</v>
      </c>
      <c r="C29" s="2">
        <f>+C27</f>
        <v>282536.34672003076</v>
      </c>
      <c r="E29" s="2">
        <f>+E27</f>
        <v>280709.09197688004</v>
      </c>
      <c r="F29" s="2"/>
      <c r="J29" s="25"/>
      <c r="K29" s="25"/>
      <c r="L29" s="25"/>
      <c r="M29" s="25"/>
      <c r="N29" s="25"/>
      <c r="O29" s="44"/>
      <c r="P29" s="25"/>
      <c r="Q29" s="25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2.75">
      <c r="A30" s="32"/>
      <c r="B30" t="s">
        <v>258</v>
      </c>
      <c r="C30" s="2">
        <f>+C7</f>
        <v>102214.25</v>
      </c>
      <c r="E30" s="2">
        <f>+C30</f>
        <v>102214.25</v>
      </c>
      <c r="F30" s="2"/>
      <c r="J30" s="25"/>
      <c r="K30" s="25"/>
      <c r="L30" s="25"/>
      <c r="M30" s="25"/>
      <c r="N30" s="25"/>
      <c r="O30" s="44"/>
      <c r="P30" s="25"/>
      <c r="Q30" s="25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2:32" ht="12.75">
      <c r="B31" t="s">
        <v>72</v>
      </c>
      <c r="C31" s="2">
        <f>-'2002PIL Summary'!M45</f>
        <v>-102296.95185235793</v>
      </c>
      <c r="E31" s="2">
        <f>+C31</f>
        <v>-102296.95185235793</v>
      </c>
      <c r="F31" s="2"/>
      <c r="G31" s="2">
        <f>-E31</f>
        <v>102296.95185235793</v>
      </c>
      <c r="J31" s="25"/>
      <c r="K31" s="25"/>
      <c r="L31" s="25"/>
      <c r="M31" s="25"/>
      <c r="N31" s="25"/>
      <c r="O31" s="44"/>
      <c r="P31" s="25"/>
      <c r="Q31" s="25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2:32" ht="12.75">
      <c r="B32" t="s">
        <v>172</v>
      </c>
      <c r="C32" s="2">
        <f>((+E29))*0.0725/365*30</f>
        <v>1672.7185617800383</v>
      </c>
      <c r="D32" s="2">
        <f>+C32</f>
        <v>1672.7185617800383</v>
      </c>
      <c r="E32" s="2">
        <v>0</v>
      </c>
      <c r="F32" s="2"/>
      <c r="J32" s="25"/>
      <c r="K32" s="25"/>
      <c r="L32" s="25"/>
      <c r="M32" s="25"/>
      <c r="N32" s="25"/>
      <c r="O32" s="25"/>
      <c r="P32" s="25"/>
      <c r="Q32" s="25"/>
      <c r="R32" s="25"/>
      <c r="S32" s="44"/>
      <c r="T32" s="25"/>
      <c r="U32" s="44"/>
      <c r="V32" s="25"/>
      <c r="W32" s="44"/>
      <c r="X32" s="25"/>
      <c r="Y32" s="25"/>
      <c r="Z32" s="44"/>
      <c r="AA32" s="25"/>
      <c r="AB32" s="25"/>
      <c r="AC32" s="44"/>
      <c r="AD32" s="25"/>
      <c r="AE32" s="44"/>
      <c r="AF32" s="44"/>
    </row>
    <row r="33" spans="2:32" ht="13.5" thickBot="1">
      <c r="B33" t="s">
        <v>73</v>
      </c>
      <c r="C33" s="26">
        <f>SUM(C29:C32)</f>
        <v>284126.3634294529</v>
      </c>
      <c r="D33" s="26">
        <f>+D27+D32</f>
        <v>3499.9733049307233</v>
      </c>
      <c r="E33" s="26">
        <f>SUM(E29:E32)</f>
        <v>280626.3901245221</v>
      </c>
      <c r="F33" s="26">
        <f>+E33+D33</f>
        <v>284126.3634294528</v>
      </c>
      <c r="G33" s="26">
        <f>+G27+G31</f>
        <v>128230.60987547791</v>
      </c>
      <c r="J33" s="25"/>
      <c r="K33" s="25"/>
      <c r="L33" s="25"/>
      <c r="M33" s="25"/>
      <c r="N33" s="25"/>
      <c r="O33" s="44"/>
      <c r="P33" s="25"/>
      <c r="Q33" s="25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5:32" ht="13.5" thickTop="1">
      <c r="E34" s="4"/>
      <c r="F34" s="2"/>
      <c r="J34" s="25"/>
      <c r="K34" s="25"/>
      <c r="L34" s="25"/>
      <c r="M34" s="25"/>
      <c r="N34" s="25"/>
      <c r="O34" s="44"/>
      <c r="P34" s="25"/>
      <c r="Q34" s="25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2.75">
      <c r="A35" s="32">
        <v>37377</v>
      </c>
      <c r="B35" t="s">
        <v>75</v>
      </c>
      <c r="C35" s="2">
        <f>+C33</f>
        <v>284126.3634294529</v>
      </c>
      <c r="E35" s="2">
        <f>+E33</f>
        <v>280626.3901245221</v>
      </c>
      <c r="F35" s="2"/>
      <c r="J35" s="25"/>
      <c r="K35" s="25"/>
      <c r="L35" s="25"/>
      <c r="M35" s="25"/>
      <c r="N35" s="25"/>
      <c r="O35" s="44"/>
      <c r="P35" s="25"/>
      <c r="Q35" s="25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12.75">
      <c r="A36" s="32"/>
      <c r="B36" t="s">
        <v>258</v>
      </c>
      <c r="C36" s="2">
        <f>+C7</f>
        <v>102214.25</v>
      </c>
      <c r="E36" s="2">
        <f>+C36</f>
        <v>102214.25</v>
      </c>
      <c r="F36" s="2"/>
      <c r="J36" s="25"/>
      <c r="K36" s="25"/>
      <c r="L36" s="25"/>
      <c r="M36" s="25"/>
      <c r="N36" s="25"/>
      <c r="O36" s="44"/>
      <c r="P36" s="25"/>
      <c r="Q36" s="25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2:32" ht="12.75">
      <c r="B37" t="s">
        <v>74</v>
      </c>
      <c r="C37" s="2">
        <f>-'2002PIL Summary'!P45</f>
        <v>-82158.54016554303</v>
      </c>
      <c r="E37" s="2">
        <f>+C37</f>
        <v>-82158.54016554303</v>
      </c>
      <c r="F37" s="2"/>
      <c r="G37" s="2">
        <f>-E37</f>
        <v>82158.54016554303</v>
      </c>
      <c r="J37" s="25"/>
      <c r="K37" s="25"/>
      <c r="L37" s="25"/>
      <c r="M37" s="25"/>
      <c r="N37" s="25"/>
      <c r="O37" s="25"/>
      <c r="P37" s="25"/>
      <c r="Q37" s="25"/>
      <c r="R37" s="25"/>
      <c r="S37" s="44"/>
      <c r="T37" s="25"/>
      <c r="U37" s="44"/>
      <c r="V37" s="25"/>
      <c r="W37" s="44"/>
      <c r="X37" s="25"/>
      <c r="Y37" s="25"/>
      <c r="Z37" s="44"/>
      <c r="AA37" s="25"/>
      <c r="AB37" s="25"/>
      <c r="AC37" s="44"/>
      <c r="AD37" s="25"/>
      <c r="AE37" s="44"/>
      <c r="AF37" s="44"/>
    </row>
    <row r="38" spans="2:32" ht="12.75">
      <c r="B38" t="s">
        <v>172</v>
      </c>
      <c r="C38" s="2">
        <f>((E35)*0.0725/365*31)</f>
        <v>1727.9666076845572</v>
      </c>
      <c r="D38" s="2">
        <f>+C38</f>
        <v>1727.9666076845572</v>
      </c>
      <c r="E38" s="2">
        <v>0</v>
      </c>
      <c r="F38" s="2"/>
      <c r="J38" s="25"/>
      <c r="K38" s="25"/>
      <c r="L38" s="25"/>
      <c r="M38" s="25"/>
      <c r="N38" s="25"/>
      <c r="O38" s="44"/>
      <c r="P38" s="25"/>
      <c r="Q38" s="25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2:32" ht="13.5" thickBot="1">
      <c r="B39" t="s">
        <v>77</v>
      </c>
      <c r="C39" s="26">
        <f>SUM(C35:C38)</f>
        <v>305910.0398715944</v>
      </c>
      <c r="D39" s="26">
        <f>+D33+D38</f>
        <v>5227.93991261528</v>
      </c>
      <c r="E39" s="26">
        <f>SUM(E35:E38)</f>
        <v>300682.09995897906</v>
      </c>
      <c r="F39" s="26">
        <f>+E39+D39</f>
        <v>305910.03987159434</v>
      </c>
      <c r="G39" s="26">
        <f>+G33+G37</f>
        <v>210389.15004102094</v>
      </c>
      <c r="J39" s="25"/>
      <c r="K39" s="25"/>
      <c r="L39" s="25"/>
      <c r="M39" s="25"/>
      <c r="N39" s="25"/>
      <c r="O39" s="25"/>
      <c r="P39" s="25"/>
      <c r="Q39" s="25"/>
      <c r="R39" s="25"/>
      <c r="S39" s="44"/>
      <c r="T39" s="25"/>
      <c r="U39" s="44"/>
      <c r="V39" s="25"/>
      <c r="W39" s="44"/>
      <c r="X39" s="25"/>
      <c r="Y39" s="25"/>
      <c r="Z39" s="44"/>
      <c r="AA39" s="25"/>
      <c r="AB39" s="25"/>
      <c r="AC39" s="44"/>
      <c r="AD39" s="25"/>
      <c r="AE39" s="44"/>
      <c r="AF39" s="44"/>
    </row>
    <row r="40" spans="5:32" ht="13.5" thickTop="1">
      <c r="E40" s="4"/>
      <c r="F40" s="2"/>
      <c r="J40" s="25"/>
      <c r="K40" s="25"/>
      <c r="L40" s="25"/>
      <c r="M40" s="25"/>
      <c r="N40" s="25"/>
      <c r="O40" s="44"/>
      <c r="P40" s="25"/>
      <c r="Q40" s="25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2.75">
      <c r="A41" s="32">
        <v>37408</v>
      </c>
      <c r="B41" t="s">
        <v>84</v>
      </c>
      <c r="C41" s="2">
        <f>+C39</f>
        <v>305910.0398715944</v>
      </c>
      <c r="E41" s="2">
        <f>+E39</f>
        <v>300682.09995897906</v>
      </c>
      <c r="F41" s="2"/>
      <c r="J41" s="25"/>
      <c r="K41" s="25"/>
      <c r="L41" s="25"/>
      <c r="M41" s="25"/>
      <c r="N41" s="25"/>
      <c r="O41" s="44"/>
      <c r="P41" s="25"/>
      <c r="Q41" s="25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2.75">
      <c r="A42" s="32"/>
      <c r="B42" t="s">
        <v>258</v>
      </c>
      <c r="C42" s="2">
        <f>+C7</f>
        <v>102214.25</v>
      </c>
      <c r="E42" s="2">
        <f>+C42</f>
        <v>102214.25</v>
      </c>
      <c r="F42" s="2"/>
      <c r="J42" s="25"/>
      <c r="K42" s="25"/>
      <c r="L42" s="25"/>
      <c r="M42" s="25"/>
      <c r="N42" s="25"/>
      <c r="O42" s="44"/>
      <c r="P42" s="25"/>
      <c r="Q42" s="25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2:32" ht="12.75">
      <c r="B43" t="s">
        <v>85</v>
      </c>
      <c r="C43" s="2">
        <f>-'2002PIL Summary'!S45</f>
        <v>-81313.32749129496</v>
      </c>
      <c r="E43" s="2">
        <f>+C43</f>
        <v>-81313.32749129496</v>
      </c>
      <c r="F43" s="2"/>
      <c r="G43" s="2">
        <f>-E43</f>
        <v>81313.32749129496</v>
      </c>
      <c r="J43" s="25"/>
      <c r="K43" s="25"/>
      <c r="L43" s="25"/>
      <c r="M43" s="25"/>
      <c r="N43" s="25"/>
      <c r="O43" s="44"/>
      <c r="P43" s="25"/>
      <c r="Q43" s="25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2:32" ht="12.75">
      <c r="B44" t="s">
        <v>172</v>
      </c>
      <c r="C44" s="2">
        <f>((E41))*0.0725/365*30</f>
        <v>1791.735801125423</v>
      </c>
      <c r="D44" s="2">
        <f>+C44</f>
        <v>1791.735801125423</v>
      </c>
      <c r="E44" s="2">
        <v>0</v>
      </c>
      <c r="F44" s="2"/>
      <c r="J44" s="25"/>
      <c r="K44" s="25"/>
      <c r="L44" s="25"/>
      <c r="M44" s="25"/>
      <c r="N44" s="25"/>
      <c r="O44" s="44"/>
      <c r="P44" s="25"/>
      <c r="Q44" s="25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2:32" ht="13.5" thickBot="1">
      <c r="B45" t="s">
        <v>86</v>
      </c>
      <c r="C45" s="26">
        <f>SUM(C41:C44)</f>
        <v>328602.6981814249</v>
      </c>
      <c r="D45" s="26">
        <f>+D39+D44</f>
        <v>7019.675713740703</v>
      </c>
      <c r="E45" s="26">
        <f>SUM(E41:E44)</f>
        <v>321583.0224676841</v>
      </c>
      <c r="F45" s="26">
        <f>+E45+D45</f>
        <v>328602.6981814248</v>
      </c>
      <c r="G45" s="26">
        <f>+G39+G43</f>
        <v>291702.4775323159</v>
      </c>
      <c r="J45" s="25"/>
      <c r="K45" s="25"/>
      <c r="L45" s="25"/>
      <c r="M45" s="25"/>
      <c r="N45" s="25"/>
      <c r="O45" s="25"/>
      <c r="P45" s="25"/>
      <c r="Q45" s="25"/>
      <c r="R45" s="25"/>
      <c r="S45" s="44"/>
      <c r="T45" s="25"/>
      <c r="U45" s="44"/>
      <c r="V45" s="25"/>
      <c r="W45" s="44"/>
      <c r="X45" s="25"/>
      <c r="Y45" s="25"/>
      <c r="Z45" s="44"/>
      <c r="AA45" s="25"/>
      <c r="AB45" s="25"/>
      <c r="AC45" s="44"/>
      <c r="AD45" s="25"/>
      <c r="AE45" s="44"/>
      <c r="AF45" s="44"/>
    </row>
    <row r="46" spans="6:32" ht="13.5" thickTop="1">
      <c r="F46" s="2"/>
      <c r="J46" s="25"/>
      <c r="K46" s="25"/>
      <c r="L46" s="25"/>
      <c r="M46" s="25"/>
      <c r="N46" s="25"/>
      <c r="O46" s="44"/>
      <c r="P46" s="25"/>
      <c r="Q46" s="25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32">
        <v>37438</v>
      </c>
      <c r="B47" t="s">
        <v>106</v>
      </c>
      <c r="C47" s="2">
        <f>+C45</f>
        <v>328602.6981814249</v>
      </c>
      <c r="E47" s="2">
        <f>+E45</f>
        <v>321583.0224676841</v>
      </c>
      <c r="F47" s="2"/>
      <c r="J47" s="25"/>
      <c r="K47" s="25"/>
      <c r="L47" s="25"/>
      <c r="M47" s="25"/>
      <c r="N47" s="25"/>
      <c r="O47" s="44"/>
      <c r="P47" s="25"/>
      <c r="Q47" s="25"/>
      <c r="R47" s="25"/>
      <c r="S47" s="25"/>
      <c r="T47" s="25"/>
      <c r="U47" s="44"/>
      <c r="V47" s="25"/>
      <c r="W47" s="25"/>
      <c r="X47" s="25"/>
      <c r="Y47" s="25"/>
      <c r="Z47" s="25"/>
      <c r="AA47" s="25"/>
      <c r="AB47" s="25"/>
      <c r="AC47" s="25"/>
      <c r="AD47" s="25"/>
      <c r="AE47" s="44"/>
      <c r="AF47" s="44"/>
    </row>
    <row r="48" spans="1:32" ht="12.75">
      <c r="A48" s="32"/>
      <c r="B48" t="s">
        <v>258</v>
      </c>
      <c r="C48" s="2">
        <f>+C7</f>
        <v>102214.25</v>
      </c>
      <c r="E48" s="2">
        <f>+C48</f>
        <v>102214.25</v>
      </c>
      <c r="F48" s="2"/>
      <c r="J48" s="25"/>
      <c r="K48" s="25"/>
      <c r="L48" s="25"/>
      <c r="M48" s="25"/>
      <c r="N48" s="25"/>
      <c r="O48" s="44"/>
      <c r="P48" s="25"/>
      <c r="Q48" s="25"/>
      <c r="R48" s="25"/>
      <c r="S48" s="25"/>
      <c r="T48" s="25"/>
      <c r="U48" s="44"/>
      <c r="V48" s="25"/>
      <c r="W48" s="25"/>
      <c r="X48" s="25"/>
      <c r="Y48" s="25"/>
      <c r="Z48" s="25"/>
      <c r="AA48" s="25"/>
      <c r="AB48" s="25"/>
      <c r="AC48" s="25"/>
      <c r="AD48" s="25"/>
      <c r="AE48" s="44"/>
      <c r="AF48" s="44"/>
    </row>
    <row r="49" spans="2:32" ht="12.75">
      <c r="B49" t="s">
        <v>107</v>
      </c>
      <c r="C49" s="2">
        <f>-'2002PIL Summary'!V45</f>
        <v>-99053.77140621844</v>
      </c>
      <c r="E49" s="2">
        <f>+C49</f>
        <v>-99053.77140621844</v>
      </c>
      <c r="F49" s="2"/>
      <c r="G49" s="2">
        <f>-E49</f>
        <v>99053.77140621844</v>
      </c>
      <c r="J49" s="25"/>
      <c r="K49" s="25"/>
      <c r="L49" s="25"/>
      <c r="M49" s="25"/>
      <c r="N49" s="25"/>
      <c r="O49" s="44"/>
      <c r="P49" s="25"/>
      <c r="Q49" s="25"/>
      <c r="R49" s="25"/>
      <c r="S49" s="25"/>
      <c r="T49" s="25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32" ht="12.75">
      <c r="B50" t="s">
        <v>163</v>
      </c>
      <c r="C50" s="2">
        <f>((+E47))*0.0725/365*30</f>
        <v>1916.2823941567478</v>
      </c>
      <c r="D50" s="2">
        <f>+C50</f>
        <v>1916.2823941567478</v>
      </c>
      <c r="E50" s="2">
        <v>0</v>
      </c>
      <c r="F50" s="2"/>
      <c r="J50" s="25"/>
      <c r="K50" s="25"/>
      <c r="L50" s="25"/>
      <c r="M50" s="25"/>
      <c r="N50" s="25"/>
      <c r="O50" s="44"/>
      <c r="P50" s="25"/>
      <c r="Q50" s="25"/>
      <c r="R50" s="25"/>
      <c r="S50" s="25"/>
      <c r="T50" s="25"/>
      <c r="U50" s="25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2:32" ht="13.5" thickBot="1">
      <c r="B51" t="s">
        <v>108</v>
      </c>
      <c r="C51" s="26">
        <f>SUM(C47:C50)</f>
        <v>333679.4591693632</v>
      </c>
      <c r="D51" s="26">
        <f>+D50+D45</f>
        <v>8935.958107897452</v>
      </c>
      <c r="E51" s="26">
        <f>SUM(E47:E50)</f>
        <v>324743.5010614657</v>
      </c>
      <c r="F51" s="26">
        <f>+E51+D51</f>
        <v>333679.45916936314</v>
      </c>
      <c r="G51" s="26">
        <f>+G45+G49</f>
        <v>390756.2489385343</v>
      </c>
      <c r="J51" s="25"/>
      <c r="K51" s="25"/>
      <c r="L51" s="25"/>
      <c r="M51" s="25"/>
      <c r="N51" s="25"/>
      <c r="O51" s="44"/>
      <c r="P51" s="25"/>
      <c r="Q51" s="25"/>
      <c r="R51" s="25"/>
      <c r="S51" s="25"/>
      <c r="T51" s="25"/>
      <c r="U51" s="25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6:32" ht="13.5" thickTop="1">
      <c r="F52" s="4"/>
      <c r="J52" s="25"/>
      <c r="K52" s="25"/>
      <c r="L52" s="25"/>
      <c r="M52" s="25"/>
      <c r="N52" s="25"/>
      <c r="O52" s="44"/>
      <c r="P52" s="25"/>
      <c r="Q52" s="25"/>
      <c r="R52" s="25"/>
      <c r="S52" s="25"/>
      <c r="T52" s="25"/>
      <c r="U52" s="25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32">
        <v>37469</v>
      </c>
      <c r="B53" t="s">
        <v>103</v>
      </c>
      <c r="C53" s="2">
        <f>+C51</f>
        <v>333679.4591693632</v>
      </c>
      <c r="E53" s="2">
        <f>+E51</f>
        <v>324743.5010614657</v>
      </c>
      <c r="F53" s="2"/>
      <c r="J53" s="25"/>
      <c r="K53" s="25"/>
      <c r="L53" s="25"/>
      <c r="M53" s="25"/>
      <c r="N53" s="25"/>
      <c r="O53" s="44"/>
      <c r="P53" s="25"/>
      <c r="Q53" s="25"/>
      <c r="R53" s="25"/>
      <c r="S53" s="25"/>
      <c r="T53" s="25"/>
      <c r="U53" s="25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32"/>
      <c r="B54" t="s">
        <v>258</v>
      </c>
      <c r="C54" s="2">
        <f>+C7</f>
        <v>102214.25</v>
      </c>
      <c r="E54" s="2">
        <f>+C54</f>
        <v>102214.25</v>
      </c>
      <c r="F54" s="2"/>
      <c r="J54" s="25"/>
      <c r="K54" s="25"/>
      <c r="L54" s="25"/>
      <c r="M54" s="25"/>
      <c r="N54" s="25"/>
      <c r="O54" s="44"/>
      <c r="P54" s="25"/>
      <c r="Q54" s="25"/>
      <c r="R54" s="25"/>
      <c r="S54" s="25"/>
      <c r="T54" s="25"/>
      <c r="U54" s="25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2:32" ht="12.75">
      <c r="B55" t="s">
        <v>104</v>
      </c>
      <c r="C55" s="2">
        <f>-'2002PIL Summary'!Z45</f>
        <v>-106746.08996907366</v>
      </c>
      <c r="E55" s="2">
        <f>+C55</f>
        <v>-106746.08996907366</v>
      </c>
      <c r="F55" s="2"/>
      <c r="G55" s="2">
        <f>-E55</f>
        <v>106746.08996907366</v>
      </c>
      <c r="J55" s="25"/>
      <c r="K55" s="25"/>
      <c r="L55" s="25"/>
      <c r="M55" s="25"/>
      <c r="N55" s="25"/>
      <c r="O55" s="44"/>
      <c r="P55" s="25"/>
      <c r="Q55" s="25"/>
      <c r="R55" s="25"/>
      <c r="S55" s="25"/>
      <c r="T55" s="25"/>
      <c r="U55" s="25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2:32" ht="12.75">
      <c r="B56" t="s">
        <v>172</v>
      </c>
      <c r="C56" s="2">
        <f>((+E53))*0.0725/365*31</f>
        <v>1999.619229138751</v>
      </c>
      <c r="D56" s="2">
        <f>+C56</f>
        <v>1999.619229138751</v>
      </c>
      <c r="E56" s="2">
        <v>0</v>
      </c>
      <c r="F56" s="2"/>
      <c r="J56" s="25"/>
      <c r="K56" s="25"/>
      <c r="L56" s="25"/>
      <c r="M56" s="25"/>
      <c r="N56" s="25"/>
      <c r="O56" s="44"/>
      <c r="P56" s="25"/>
      <c r="Q56" s="25"/>
      <c r="R56" s="25"/>
      <c r="S56" s="25"/>
      <c r="T56" s="25"/>
      <c r="U56" s="25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2:32" ht="13.5" thickBot="1">
      <c r="B57" t="s">
        <v>105</v>
      </c>
      <c r="C57" s="26">
        <f>SUM(C53:C56)</f>
        <v>331147.2384294283</v>
      </c>
      <c r="D57" s="26">
        <f>+D51+D56</f>
        <v>10935.577337036202</v>
      </c>
      <c r="E57" s="26">
        <f>SUM(E53:E56)</f>
        <v>320211.66109239205</v>
      </c>
      <c r="F57" s="26">
        <f>+E57+D57</f>
        <v>331147.23842942825</v>
      </c>
      <c r="G57" s="26">
        <f>+G51+G55</f>
        <v>497502.33890760795</v>
      </c>
      <c r="J57" s="25"/>
      <c r="K57" s="25"/>
      <c r="L57" s="25"/>
      <c r="M57" s="25"/>
      <c r="N57" s="25"/>
      <c r="O57" s="44"/>
      <c r="P57" s="25"/>
      <c r="Q57" s="25"/>
      <c r="R57" s="25"/>
      <c r="S57" s="25"/>
      <c r="T57" s="25"/>
      <c r="U57" s="25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6:32" ht="13.5" thickTop="1">
      <c r="F58" s="4"/>
      <c r="J58" s="25"/>
      <c r="K58" s="25"/>
      <c r="L58" s="25"/>
      <c r="M58" s="25"/>
      <c r="N58" s="25"/>
      <c r="O58" s="44"/>
      <c r="P58" s="25"/>
      <c r="Q58" s="25"/>
      <c r="R58" s="25"/>
      <c r="S58" s="25"/>
      <c r="T58" s="25"/>
      <c r="U58" s="25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32">
        <v>37500</v>
      </c>
      <c r="B59" t="s">
        <v>121</v>
      </c>
      <c r="C59" s="2">
        <f>+C57</f>
        <v>331147.2384294283</v>
      </c>
      <c r="E59" s="2">
        <f>+E57</f>
        <v>320211.66109239205</v>
      </c>
      <c r="F59" s="4"/>
      <c r="J59" s="25"/>
      <c r="K59" s="25"/>
      <c r="L59" s="25"/>
      <c r="M59" s="25"/>
      <c r="N59" s="25"/>
      <c r="O59" s="44"/>
      <c r="P59" s="25"/>
      <c r="Q59" s="25"/>
      <c r="R59" s="25"/>
      <c r="S59" s="25"/>
      <c r="T59" s="25"/>
      <c r="U59" s="25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32"/>
      <c r="B60" t="s">
        <v>258</v>
      </c>
      <c r="C60" s="2">
        <f>+C7</f>
        <v>102214.25</v>
      </c>
      <c r="E60" s="2">
        <f>+C60</f>
        <v>102214.25</v>
      </c>
      <c r="F60" s="4"/>
      <c r="J60" s="25"/>
      <c r="K60" s="25"/>
      <c r="L60" s="25"/>
      <c r="M60" s="25"/>
      <c r="N60" s="25"/>
      <c r="O60" s="44"/>
      <c r="P60" s="25"/>
      <c r="Q60" s="25"/>
      <c r="R60" s="25"/>
      <c r="S60" s="25"/>
      <c r="T60" s="25"/>
      <c r="U60" s="25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2:32" ht="12.75">
      <c r="B61" t="s">
        <v>122</v>
      </c>
      <c r="C61" s="2">
        <f>-'2002PIL Summary'!AC45</f>
        <v>-106029.5701125991</v>
      </c>
      <c r="E61" s="2">
        <f>+C61</f>
        <v>-106029.5701125991</v>
      </c>
      <c r="F61" s="4"/>
      <c r="G61" s="2">
        <f>-E61</f>
        <v>106029.5701125991</v>
      </c>
      <c r="J61" s="25"/>
      <c r="K61" s="25"/>
      <c r="L61" s="25"/>
      <c r="M61" s="25"/>
      <c r="N61" s="25"/>
      <c r="O61" s="44"/>
      <c r="P61" s="25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2:32" ht="12.75">
      <c r="B62" t="s">
        <v>172</v>
      </c>
      <c r="C62" s="2">
        <f>((+E59))*0.0725/365*30</f>
        <v>1908.1105832217881</v>
      </c>
      <c r="D62" s="2">
        <f>+C62</f>
        <v>1908.1105832217881</v>
      </c>
      <c r="E62" s="2">
        <v>0</v>
      </c>
      <c r="F62" s="2"/>
      <c r="J62" s="25"/>
      <c r="K62" s="25"/>
      <c r="L62" s="25"/>
      <c r="M62" s="25"/>
      <c r="N62" s="25"/>
      <c r="O62" s="44"/>
      <c r="P62" s="25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2:32" ht="13.5" thickBot="1">
      <c r="B63" t="s">
        <v>123</v>
      </c>
      <c r="C63" s="26">
        <f>SUM(C59:C62)</f>
        <v>329240.02890005097</v>
      </c>
      <c r="D63" s="26">
        <f>+D57+D62</f>
        <v>12843.687920257991</v>
      </c>
      <c r="E63" s="26">
        <f>SUM(E59:E62)</f>
        <v>316396.34097979293</v>
      </c>
      <c r="F63" s="26">
        <f>+E63+D63</f>
        <v>329240.0289000509</v>
      </c>
      <c r="G63" s="26">
        <f>+G57+G61</f>
        <v>603531.909020207</v>
      </c>
      <c r="J63" s="25"/>
      <c r="K63" s="25"/>
      <c r="L63" s="25"/>
      <c r="M63" s="25"/>
      <c r="N63" s="25"/>
      <c r="O63" s="44"/>
      <c r="P63" s="25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6:32" ht="13.5" thickTop="1">
      <c r="F64" s="4"/>
      <c r="J64" s="25"/>
      <c r="K64" s="25"/>
      <c r="L64" s="25"/>
      <c r="M64" s="25"/>
      <c r="N64" s="25"/>
      <c r="O64" s="44"/>
      <c r="P64" s="25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32">
        <v>37530</v>
      </c>
      <c r="B65" t="s">
        <v>126</v>
      </c>
      <c r="C65" s="2">
        <f>+C63</f>
        <v>329240.02890005097</v>
      </c>
      <c r="E65" s="2">
        <f>+E63</f>
        <v>316396.34097979293</v>
      </c>
      <c r="F65" s="4"/>
      <c r="J65" s="25"/>
      <c r="K65" s="25"/>
      <c r="L65" s="25"/>
      <c r="M65" s="25"/>
      <c r="N65" s="25"/>
      <c r="O65" s="44"/>
      <c r="P65" s="2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32"/>
      <c r="B66" t="s">
        <v>258</v>
      </c>
      <c r="C66" s="2">
        <f>+C7</f>
        <v>102214.25</v>
      </c>
      <c r="E66" s="2">
        <f>+C66</f>
        <v>102214.25</v>
      </c>
      <c r="F66" s="4"/>
      <c r="J66" s="25"/>
      <c r="K66" s="25"/>
      <c r="L66" s="25"/>
      <c r="M66" s="25"/>
      <c r="N66" s="25"/>
      <c r="O66" s="44"/>
      <c r="P66" s="25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2:32" ht="12.75">
      <c r="B67" t="s">
        <v>127</v>
      </c>
      <c r="C67" s="2">
        <f>-'2002PIL Summary'!AF45</f>
        <v>-99603.98609346792</v>
      </c>
      <c r="E67" s="2">
        <f>+C67</f>
        <v>-99603.98609346792</v>
      </c>
      <c r="F67" s="4"/>
      <c r="G67" s="2">
        <f>-E67</f>
        <v>99603.98609346792</v>
      </c>
      <c r="J67" s="25"/>
      <c r="K67" s="25"/>
      <c r="L67" s="46"/>
      <c r="M67" s="44"/>
      <c r="N67" s="25"/>
      <c r="O67" s="44"/>
      <c r="P67" s="25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2:32" ht="12.75">
      <c r="B68" t="s">
        <v>172</v>
      </c>
      <c r="C68" s="2">
        <f>((+E65))*0.0725/365*31</f>
        <v>1948.2213050742043</v>
      </c>
      <c r="D68" s="2">
        <f>+C68</f>
        <v>1948.2213050742043</v>
      </c>
      <c r="E68" s="2">
        <v>0</v>
      </c>
      <c r="F68" s="2"/>
      <c r="J68" s="30"/>
      <c r="K68" s="25"/>
      <c r="L68" s="25"/>
      <c r="M68" s="25"/>
      <c r="N68" s="25"/>
      <c r="O68" s="44"/>
      <c r="P68" s="25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2:32" ht="13.5" thickBot="1">
      <c r="B69" t="s">
        <v>128</v>
      </c>
      <c r="C69" s="26">
        <f>SUM(C65:C68)</f>
        <v>333798.5141116573</v>
      </c>
      <c r="D69" s="26">
        <f>+D63+D68</f>
        <v>14791.909225332196</v>
      </c>
      <c r="E69" s="26">
        <f>SUM(E65:E68)</f>
        <v>319006.604886325</v>
      </c>
      <c r="F69" s="26">
        <f>+E69+D69</f>
        <v>333798.5141116572</v>
      </c>
      <c r="G69" s="26">
        <f>+G63+G67</f>
        <v>703135.8951136749</v>
      </c>
      <c r="J69" s="30"/>
      <c r="K69" s="25"/>
      <c r="L69" s="25"/>
      <c r="M69" s="25"/>
      <c r="N69" s="25"/>
      <c r="O69" s="44"/>
      <c r="P69" s="25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5:32" ht="13.5" thickTop="1">
      <c r="E70" s="3"/>
      <c r="F70" s="4"/>
      <c r="J70" s="30"/>
      <c r="K70" s="25"/>
      <c r="L70" s="8"/>
      <c r="M70" s="6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32">
        <v>37561</v>
      </c>
      <c r="B71" t="s">
        <v>134</v>
      </c>
      <c r="C71" s="2">
        <f>+C69</f>
        <v>333798.5141116573</v>
      </c>
      <c r="E71" s="2">
        <f>+E69</f>
        <v>319006.604886325</v>
      </c>
      <c r="F71" s="4"/>
      <c r="J71" s="30"/>
      <c r="K71" s="25"/>
      <c r="L71" s="8"/>
      <c r="M71" s="6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32"/>
      <c r="B72" t="s">
        <v>258</v>
      </c>
      <c r="C72" s="2">
        <f>+C7</f>
        <v>102214.25</v>
      </c>
      <c r="E72" s="2">
        <f>+C72</f>
        <v>102214.25</v>
      </c>
      <c r="F72" s="4"/>
      <c r="J72" s="30"/>
      <c r="K72" s="25"/>
      <c r="L72" s="8"/>
      <c r="M72" s="6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2:32" ht="12.75">
      <c r="B73" t="s">
        <v>135</v>
      </c>
      <c r="C73" s="2">
        <f>-'2002PIL Summary'!AI45</f>
        <v>-100658.50887725687</v>
      </c>
      <c r="E73" s="2">
        <f>+C73</f>
        <v>-100658.50887725687</v>
      </c>
      <c r="F73" s="4"/>
      <c r="G73" s="2">
        <f>-E73</f>
        <v>100658.50887725687</v>
      </c>
      <c r="J73" s="30"/>
      <c r="K73" s="25"/>
      <c r="L73" s="48"/>
      <c r="M73" s="44"/>
      <c r="N73" s="44"/>
      <c r="O73" s="44"/>
      <c r="P73" s="44"/>
      <c r="Q73" s="44"/>
      <c r="R73" s="25"/>
      <c r="S73" s="25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2:32" ht="12.75">
      <c r="B74" t="s">
        <v>172</v>
      </c>
      <c r="C74" s="2">
        <f>((E71))*0.0725/365*30</f>
        <v>1900.9297688431695</v>
      </c>
      <c r="D74" s="2">
        <f>+C74</f>
        <v>1900.9297688431695</v>
      </c>
      <c r="E74" s="2">
        <v>0</v>
      </c>
      <c r="F74" s="2"/>
      <c r="H74" s="25"/>
      <c r="I74" s="25"/>
      <c r="J74" s="30"/>
      <c r="K74" s="25"/>
      <c r="L74" s="25"/>
      <c r="M74" s="44"/>
      <c r="N74" s="44"/>
      <c r="O74" s="44"/>
      <c r="P74" s="44"/>
      <c r="Q74" s="44"/>
      <c r="R74" s="25"/>
      <c r="S74" s="25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2:32" ht="13.5" thickBot="1">
      <c r="B75" t="s">
        <v>136</v>
      </c>
      <c r="C75" s="26">
        <f>SUM(C71:C74)</f>
        <v>337255.18500324356</v>
      </c>
      <c r="D75" s="26">
        <f>+D69+D74</f>
        <v>16692.838994175367</v>
      </c>
      <c r="E75" s="26">
        <f>SUM(E71:E74)</f>
        <v>320562.34600906813</v>
      </c>
      <c r="F75" s="26">
        <f>+E75+D75</f>
        <v>337255.1850032435</v>
      </c>
      <c r="G75" s="26">
        <f>+G69+G73</f>
        <v>803794.4039909318</v>
      </c>
      <c r="H75" s="25"/>
      <c r="I75" s="25"/>
      <c r="J75" s="30"/>
      <c r="K75" s="25"/>
      <c r="L75" s="29"/>
      <c r="M75" s="44"/>
      <c r="N75" s="44"/>
      <c r="O75" s="44"/>
      <c r="P75" s="44"/>
      <c r="Q75" s="44"/>
      <c r="R75" s="25"/>
      <c r="S75" s="25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19" ht="13.5" thickTop="1">
      <c r="A76" s="3"/>
      <c r="C76"/>
      <c r="D76"/>
      <c r="E76"/>
      <c r="F76" s="2"/>
      <c r="H76" s="25"/>
      <c r="I76" s="25"/>
      <c r="J76" s="30"/>
      <c r="L76" s="36"/>
      <c r="M76"/>
      <c r="N76"/>
      <c r="R76" s="2"/>
      <c r="S76" s="2"/>
    </row>
    <row r="77" spans="1:19" ht="12.75">
      <c r="A77" s="32">
        <v>37591</v>
      </c>
      <c r="B77" t="s">
        <v>140</v>
      </c>
      <c r="C77" s="2">
        <f>+C75</f>
        <v>337255.18500324356</v>
      </c>
      <c r="E77" s="2">
        <f>+E75</f>
        <v>320562.34600906813</v>
      </c>
      <c r="F77" s="4"/>
      <c r="H77" s="25"/>
      <c r="I77" s="25"/>
      <c r="J77" s="30"/>
      <c r="L77" s="36"/>
      <c r="M77"/>
      <c r="N77"/>
      <c r="R77" s="2"/>
      <c r="S77" s="2"/>
    </row>
    <row r="78" spans="1:19" ht="12.75">
      <c r="A78" s="32"/>
      <c r="B78" t="s">
        <v>258</v>
      </c>
      <c r="C78" s="2">
        <f>+C7</f>
        <v>102214.25</v>
      </c>
      <c r="E78" s="2">
        <f>+C78</f>
        <v>102214.25</v>
      </c>
      <c r="F78" s="4"/>
      <c r="H78" s="25"/>
      <c r="I78" s="25"/>
      <c r="J78" s="30"/>
      <c r="L78" s="36"/>
      <c r="M78"/>
      <c r="N78"/>
      <c r="R78" s="2"/>
      <c r="S78" s="2"/>
    </row>
    <row r="79" spans="2:19" ht="12.75">
      <c r="B79" t="s">
        <v>141</v>
      </c>
      <c r="C79" s="2">
        <f>-'2002PIL Summary'!AL45</f>
        <v>-104039.3213837239</v>
      </c>
      <c r="E79" s="2">
        <f>+C79</f>
        <v>-104039.3213837239</v>
      </c>
      <c r="F79" s="4"/>
      <c r="G79" s="2">
        <f>-E79</f>
        <v>104039.3213837239</v>
      </c>
      <c r="H79" s="25"/>
      <c r="I79" s="25"/>
      <c r="J79" s="30"/>
      <c r="L79" s="36"/>
      <c r="M79"/>
      <c r="N79"/>
      <c r="R79" s="2"/>
      <c r="S79" s="2"/>
    </row>
    <row r="80" spans="2:19" ht="12.75">
      <c r="B80" t="s">
        <v>172</v>
      </c>
      <c r="C80" s="2">
        <f>((+E77))*0.0725/365*31</f>
        <v>1973.8736237133714</v>
      </c>
      <c r="D80" s="2">
        <f>+C80</f>
        <v>1973.8736237133714</v>
      </c>
      <c r="E80" s="2">
        <v>0</v>
      </c>
      <c r="F80" s="2"/>
      <c r="H80" s="25"/>
      <c r="I80" s="25"/>
      <c r="J80" s="30"/>
      <c r="L80" s="36"/>
      <c r="M80"/>
      <c r="N80"/>
      <c r="R80" s="2"/>
      <c r="S80" s="2"/>
    </row>
    <row r="81" spans="2:19" ht="13.5" thickBot="1">
      <c r="B81" t="s">
        <v>142</v>
      </c>
      <c r="C81" s="26">
        <f>SUM(C77:C80)</f>
        <v>337403.987243233</v>
      </c>
      <c r="D81" s="26">
        <f>+D80+D75</f>
        <v>18666.712617888737</v>
      </c>
      <c r="E81" s="26">
        <f>SUM(E77:E80)</f>
        <v>318737.2746253442</v>
      </c>
      <c r="F81" s="26">
        <f>+E81+D81</f>
        <v>337403.98724323296</v>
      </c>
      <c r="G81" s="26">
        <f>+G75+G79+G78</f>
        <v>907833.7253746557</v>
      </c>
      <c r="H81" s="25"/>
      <c r="I81" s="25"/>
      <c r="J81" s="30"/>
      <c r="L81" s="36"/>
      <c r="M81"/>
      <c r="N81"/>
      <c r="R81" s="2"/>
      <c r="S81" s="2"/>
    </row>
    <row r="82" spans="1:19" ht="13.5" thickTop="1">
      <c r="A82" s="3"/>
      <c r="C82"/>
      <c r="D82"/>
      <c r="E82" t="s">
        <v>147</v>
      </c>
      <c r="F82" s="2" t="s">
        <v>148</v>
      </c>
      <c r="G82" s="2">
        <f>+C7*12</f>
        <v>1226571</v>
      </c>
      <c r="H82" s="25"/>
      <c r="I82" s="25"/>
      <c r="J82" s="30"/>
      <c r="L82" s="36"/>
      <c r="M82"/>
      <c r="N82"/>
      <c r="R82" s="2"/>
      <c r="S82" s="2"/>
    </row>
    <row r="83" spans="1:19" ht="12.75">
      <c r="A83" s="3"/>
      <c r="C83"/>
      <c r="D83"/>
      <c r="E83" t="s">
        <v>195</v>
      </c>
      <c r="F83" s="2" t="s">
        <v>149</v>
      </c>
      <c r="G83" s="2">
        <f>+D81</f>
        <v>18666.712617888737</v>
      </c>
      <c r="H83" s="25"/>
      <c r="I83" s="25"/>
      <c r="J83" s="30"/>
      <c r="L83" s="36"/>
      <c r="M83"/>
      <c r="N83"/>
      <c r="R83" s="2"/>
      <c r="S83" s="2"/>
    </row>
    <row r="84" spans="1:19" ht="12.75">
      <c r="A84" s="3"/>
      <c r="C84"/>
      <c r="D84"/>
      <c r="E84"/>
      <c r="F84" s="2" t="s">
        <v>62</v>
      </c>
      <c r="G84" s="2">
        <f>-G81</f>
        <v>-907833.7253746557</v>
      </c>
      <c r="H84" s="25"/>
      <c r="I84" s="25"/>
      <c r="J84" s="30"/>
      <c r="L84" s="36"/>
      <c r="M84"/>
      <c r="N84"/>
      <c r="R84" s="2"/>
      <c r="S84" s="2"/>
    </row>
    <row r="85" spans="1:19" ht="13.5" thickBot="1">
      <c r="A85" s="3"/>
      <c r="C85"/>
      <c r="D85"/>
      <c r="E85" t="s">
        <v>195</v>
      </c>
      <c r="F85" s="2" t="s">
        <v>69</v>
      </c>
      <c r="G85" s="26">
        <f>SUM(G82:G84)</f>
        <v>337403.98724323313</v>
      </c>
      <c r="H85" s="25"/>
      <c r="I85" s="25"/>
      <c r="J85" s="30"/>
      <c r="L85" s="36"/>
      <c r="M85"/>
      <c r="N85"/>
      <c r="R85" s="2"/>
      <c r="S85" s="2"/>
    </row>
    <row r="86" spans="1:19" ht="13.5" thickTop="1">
      <c r="A86" s="3"/>
      <c r="C86"/>
      <c r="D86"/>
      <c r="E86"/>
      <c r="F86" s="2"/>
      <c r="G86" s="25"/>
      <c r="H86" s="25"/>
      <c r="I86" s="25"/>
      <c r="J86" s="30"/>
      <c r="L86" s="36"/>
      <c r="M86"/>
      <c r="N86"/>
      <c r="R86" s="2"/>
      <c r="S86" s="2"/>
    </row>
    <row r="87" spans="1:19" ht="12.75">
      <c r="A87" s="32">
        <v>37622</v>
      </c>
      <c r="B87" t="s">
        <v>164</v>
      </c>
      <c r="C87" s="2">
        <f>+C81+0</f>
        <v>337403.987243233</v>
      </c>
      <c r="D87" s="2">
        <f>+D81</f>
        <v>18666.712617888737</v>
      </c>
      <c r="E87" s="2">
        <f>+E81+0</f>
        <v>318737.2746253442</v>
      </c>
      <c r="F87" s="4"/>
      <c r="G87" s="2">
        <f>+G81</f>
        <v>907833.7253746557</v>
      </c>
      <c r="H87" s="25"/>
      <c r="I87" s="25"/>
      <c r="J87" s="30"/>
      <c r="L87" s="36"/>
      <c r="M87"/>
      <c r="N87"/>
      <c r="R87" s="2"/>
      <c r="S87" s="2"/>
    </row>
    <row r="88" spans="1:19" ht="12.75">
      <c r="A88" s="32"/>
      <c r="B88" t="s">
        <v>258</v>
      </c>
      <c r="C88" s="2">
        <f>+C7</f>
        <v>102214.25</v>
      </c>
      <c r="E88" s="2">
        <f>+C88</f>
        <v>102214.25</v>
      </c>
      <c r="F88" s="4"/>
      <c r="H88" s="25"/>
      <c r="I88" s="25"/>
      <c r="J88" s="30"/>
      <c r="L88" s="36"/>
      <c r="M88"/>
      <c r="N88"/>
      <c r="R88" s="2"/>
      <c r="S88" s="2"/>
    </row>
    <row r="89" spans="2:19" ht="12.75">
      <c r="B89" t="s">
        <v>165</v>
      </c>
      <c r="C89" s="2">
        <f>-'Festival Jan 03'!N45</f>
        <v>-109203.3261210642</v>
      </c>
      <c r="E89" s="2">
        <f>+C89</f>
        <v>-109203.3261210642</v>
      </c>
      <c r="F89" s="4"/>
      <c r="G89" s="2">
        <f>-E89</f>
        <v>109203.3261210642</v>
      </c>
      <c r="H89" s="25"/>
      <c r="I89" s="25"/>
      <c r="J89" s="30"/>
      <c r="L89" s="36"/>
      <c r="M89"/>
      <c r="N89"/>
      <c r="R89" s="2"/>
      <c r="S89" s="2"/>
    </row>
    <row r="90" spans="2:19" ht="12.75">
      <c r="B90" t="s">
        <v>172</v>
      </c>
      <c r="C90" s="2">
        <f>(+E87)*0.0725/365*31</f>
        <v>1962.6356841656466</v>
      </c>
      <c r="D90" s="2">
        <f>+C90</f>
        <v>1962.6356841656466</v>
      </c>
      <c r="E90" s="2">
        <v>0</v>
      </c>
      <c r="F90" s="2"/>
      <c r="H90" s="25"/>
      <c r="I90" s="25"/>
      <c r="J90" s="30"/>
      <c r="L90" s="36"/>
      <c r="M90"/>
      <c r="N90"/>
      <c r="R90" s="2"/>
      <c r="S90" s="2"/>
    </row>
    <row r="91" spans="2:19" ht="13.5" thickBot="1">
      <c r="B91" t="s">
        <v>166</v>
      </c>
      <c r="C91" s="26">
        <f>SUM(C87:C90)</f>
        <v>332377.54680633446</v>
      </c>
      <c r="D91" s="26">
        <f>+D87+D90</f>
        <v>20629.348302054383</v>
      </c>
      <c r="E91" s="26">
        <f>SUM(E87:E90)</f>
        <v>311748.19850428</v>
      </c>
      <c r="F91" s="26">
        <f>+E91+D91</f>
        <v>332377.5468063344</v>
      </c>
      <c r="G91" s="26">
        <f>+G87+G89</f>
        <v>1017037.0514957199</v>
      </c>
      <c r="H91" s="25"/>
      <c r="I91" s="25"/>
      <c r="J91" s="30"/>
      <c r="L91" s="36"/>
      <c r="M91"/>
      <c r="N91"/>
      <c r="R91" s="2"/>
      <c r="S91" s="2"/>
    </row>
    <row r="92" spans="3:19" ht="13.5" thickTop="1">
      <c r="C92" s="52" t="s">
        <v>170</v>
      </c>
      <c r="D92" s="53">
        <f>+D90</f>
        <v>1962.6356841656466</v>
      </c>
      <c r="E92" s="25"/>
      <c r="F92" s="25"/>
      <c r="G92" s="25"/>
      <c r="H92" s="25"/>
      <c r="I92" s="25"/>
      <c r="J92" s="30"/>
      <c r="L92" s="36"/>
      <c r="M92"/>
      <c r="N92"/>
      <c r="R92" s="2"/>
      <c r="S92" s="2"/>
    </row>
    <row r="93" spans="1:19" ht="12.75">
      <c r="A93" s="3"/>
      <c r="C93"/>
      <c r="D93"/>
      <c r="E93"/>
      <c r="F93" s="2"/>
      <c r="G93" s="25"/>
      <c r="H93" s="25"/>
      <c r="I93" s="25"/>
      <c r="J93" s="30"/>
      <c r="L93" s="36"/>
      <c r="M93"/>
      <c r="N93"/>
      <c r="R93" s="2"/>
      <c r="S93" s="2"/>
    </row>
    <row r="94" spans="1:19" ht="12.75">
      <c r="A94" s="32">
        <v>37654</v>
      </c>
      <c r="B94" t="s">
        <v>167</v>
      </c>
      <c r="C94" s="2">
        <f>+C91+0</f>
        <v>332377.54680633446</v>
      </c>
      <c r="E94" s="2">
        <f>+E91+0</f>
        <v>311748.19850428</v>
      </c>
      <c r="F94" s="4"/>
      <c r="H94" s="25"/>
      <c r="I94" s="25"/>
      <c r="J94" s="30"/>
      <c r="L94" s="36"/>
      <c r="M94"/>
      <c r="N94"/>
      <c r="R94" s="2"/>
      <c r="S94" s="2"/>
    </row>
    <row r="95" spans="1:19" ht="12.75">
      <c r="A95" s="32"/>
      <c r="B95" t="s">
        <v>258</v>
      </c>
      <c r="C95" s="2">
        <f>+C7</f>
        <v>102214.25</v>
      </c>
      <c r="E95" s="2">
        <f>+C95</f>
        <v>102214.25</v>
      </c>
      <c r="F95" s="4"/>
      <c r="H95" s="25"/>
      <c r="I95" s="25"/>
      <c r="J95" s="30"/>
      <c r="L95" s="36"/>
      <c r="M95"/>
      <c r="N95"/>
      <c r="R95" s="2"/>
      <c r="S95" s="2"/>
    </row>
    <row r="96" spans="2:19" ht="12.75">
      <c r="B96" t="s">
        <v>168</v>
      </c>
      <c r="C96" s="2">
        <f>-'Festival Feb 03 '!N45</f>
        <v>-111225.75432017322</v>
      </c>
      <c r="E96" s="2">
        <f>+C96</f>
        <v>-111225.75432017322</v>
      </c>
      <c r="F96" s="4"/>
      <c r="G96" s="2">
        <f>-E96</f>
        <v>111225.75432017322</v>
      </c>
      <c r="H96" s="25"/>
      <c r="I96" s="25"/>
      <c r="J96" s="30"/>
      <c r="L96" s="36"/>
      <c r="M96"/>
      <c r="N96"/>
      <c r="R96" s="2"/>
      <c r="S96" s="2"/>
    </row>
    <row r="97" spans="2:19" ht="12.75">
      <c r="B97" t="s">
        <v>172</v>
      </c>
      <c r="C97" s="2">
        <f>+E94*0.0725/365*28</f>
        <v>1733.8324464758584</v>
      </c>
      <c r="D97" s="2">
        <f>+C97</f>
        <v>1733.8324464758584</v>
      </c>
      <c r="E97" s="2">
        <v>0</v>
      </c>
      <c r="F97" s="2"/>
      <c r="H97" s="25"/>
      <c r="I97" s="25"/>
      <c r="J97" s="30"/>
      <c r="L97" s="36"/>
      <c r="M97"/>
      <c r="N97"/>
      <c r="R97" s="2"/>
      <c r="S97" s="2"/>
    </row>
    <row r="98" spans="2:19" ht="13.5" thickBot="1">
      <c r="B98" t="s">
        <v>169</v>
      </c>
      <c r="C98" s="26">
        <f>SUM(C94:C97)</f>
        <v>325099.8749326371</v>
      </c>
      <c r="D98" s="26">
        <f>+D91+D97</f>
        <v>22363.18074853024</v>
      </c>
      <c r="E98" s="26">
        <f>SUM(E94:E97)</f>
        <v>302736.6941841068</v>
      </c>
      <c r="F98" s="26">
        <f>+E98+D98</f>
        <v>325099.87493263703</v>
      </c>
      <c r="G98" s="26">
        <f>+G91+G96</f>
        <v>1128262.8058158932</v>
      </c>
      <c r="H98" s="25"/>
      <c r="I98" s="25"/>
      <c r="J98" s="30"/>
      <c r="L98" s="36"/>
      <c r="M98"/>
      <c r="N98"/>
      <c r="R98" s="2"/>
      <c r="S98" s="2"/>
    </row>
    <row r="99" spans="1:19" ht="13.5" thickTop="1">
      <c r="A99" s="3"/>
      <c r="C99" s="52" t="s">
        <v>170</v>
      </c>
      <c r="D99" s="53">
        <f>+D90+D97</f>
        <v>3696.468130641505</v>
      </c>
      <c r="E99"/>
      <c r="F99" s="2"/>
      <c r="G99" s="25"/>
      <c r="H99" s="25"/>
      <c r="I99" s="25"/>
      <c r="J99" s="30"/>
      <c r="L99" s="36"/>
      <c r="M99"/>
      <c r="N99"/>
      <c r="R99" s="2"/>
      <c r="S99" s="2"/>
    </row>
    <row r="100" spans="1:14" ht="12.75">
      <c r="A100" s="3"/>
      <c r="B100" s="8"/>
      <c r="C100" s="6"/>
      <c r="D100"/>
      <c r="E100"/>
      <c r="F100"/>
      <c r="G100" s="25"/>
      <c r="H100"/>
      <c r="I100" s="25"/>
      <c r="J100" s="30"/>
      <c r="L100" s="3"/>
      <c r="M100"/>
      <c r="N100"/>
    </row>
    <row r="101" spans="1:14" ht="12.75">
      <c r="A101" s="32">
        <v>37683</v>
      </c>
      <c r="B101" t="s">
        <v>186</v>
      </c>
      <c r="C101" s="2">
        <f>+C98</f>
        <v>325099.8749326371</v>
      </c>
      <c r="D101" s="2">
        <f>+D98</f>
        <v>22363.18074853024</v>
      </c>
      <c r="E101" s="2">
        <f>+E98</f>
        <v>302736.6941841068</v>
      </c>
      <c r="F101" s="2">
        <f>+F98</f>
        <v>325099.87493263703</v>
      </c>
      <c r="G101" s="2">
        <f>+G98</f>
        <v>1128262.8058158932</v>
      </c>
      <c r="H101"/>
      <c r="I101" s="25"/>
      <c r="J101" s="30"/>
      <c r="L101" s="3"/>
      <c r="M101"/>
      <c r="N101"/>
    </row>
    <row r="102" spans="1:14" ht="12.75">
      <c r="A102" s="32"/>
      <c r="B102" t="s">
        <v>258</v>
      </c>
      <c r="C102" s="2">
        <f>+C7</f>
        <v>102214.25</v>
      </c>
      <c r="E102" s="2">
        <f>+C102</f>
        <v>102214.25</v>
      </c>
      <c r="F102" s="2"/>
      <c r="H102"/>
      <c r="I102" s="25"/>
      <c r="J102" s="30"/>
      <c r="L102" s="3"/>
      <c r="M102"/>
      <c r="N102"/>
    </row>
    <row r="103" spans="2:14" ht="12.75">
      <c r="B103" t="s">
        <v>183</v>
      </c>
      <c r="C103" s="24">
        <f>-'Festival Mar 03'!N45</f>
        <v>-107562.2630802733</v>
      </c>
      <c r="E103" s="24">
        <f>+C103</f>
        <v>-107562.2630802733</v>
      </c>
      <c r="F103" s="4"/>
      <c r="G103" s="2">
        <f>-E103</f>
        <v>107562.2630802733</v>
      </c>
      <c r="H103"/>
      <c r="I103" s="25"/>
      <c r="J103" s="30"/>
      <c r="L103" s="3"/>
      <c r="M103"/>
      <c r="N103"/>
    </row>
    <row r="104" spans="2:14" ht="12.75">
      <c r="B104" t="s">
        <v>184</v>
      </c>
      <c r="C104" s="2">
        <f>SUM(C101:C103)</f>
        <v>319751.8618523638</v>
      </c>
      <c r="E104" s="2">
        <f>SUM(E101:E103)</f>
        <v>297388.6811038335</v>
      </c>
      <c r="F104" s="2"/>
      <c r="H104"/>
      <c r="I104" s="25"/>
      <c r="J104" s="30"/>
      <c r="L104" s="3"/>
      <c r="M104"/>
      <c r="N104"/>
    </row>
    <row r="105" spans="2:14" ht="12.75">
      <c r="B105" t="s">
        <v>172</v>
      </c>
      <c r="C105" s="2">
        <f>(+E101)*0.0725/365*31</f>
        <v>1864.1115621336435</v>
      </c>
      <c r="D105" s="2">
        <f>+C105</f>
        <v>1864.1115621336435</v>
      </c>
      <c r="E105" s="2">
        <v>0</v>
      </c>
      <c r="F105" s="2"/>
      <c r="H105"/>
      <c r="I105" s="25"/>
      <c r="J105" s="30"/>
      <c r="L105" s="3"/>
      <c r="M105"/>
      <c r="N105"/>
    </row>
    <row r="106" spans="2:14" ht="13.5" thickBot="1">
      <c r="B106" t="s">
        <v>185</v>
      </c>
      <c r="C106" s="26">
        <f>+C104+C105</f>
        <v>321615.97341449745</v>
      </c>
      <c r="D106" s="26">
        <f>+D101+D105</f>
        <v>24227.292310663885</v>
      </c>
      <c r="E106" s="26">
        <f>+E104+E105</f>
        <v>297388.6811038335</v>
      </c>
      <c r="F106" s="26">
        <f>+E106+D106</f>
        <v>321615.9734144974</v>
      </c>
      <c r="G106" s="26">
        <f>SUM(G101:G105)</f>
        <v>1235825.0688961665</v>
      </c>
      <c r="H106"/>
      <c r="I106" s="25"/>
      <c r="J106" s="30"/>
      <c r="L106" s="3"/>
      <c r="M106"/>
      <c r="N106"/>
    </row>
    <row r="107" spans="1:14" ht="13.5" thickTop="1">
      <c r="A107" s="3"/>
      <c r="B107" s="8"/>
      <c r="C107" s="52" t="s">
        <v>170</v>
      </c>
      <c r="D107" s="53">
        <f>+D99+D105</f>
        <v>5560.579692775149</v>
      </c>
      <c r="F107"/>
      <c r="G107" s="25"/>
      <c r="H107"/>
      <c r="I107" s="25"/>
      <c r="J107" s="30"/>
      <c r="L107" s="3"/>
      <c r="M107"/>
      <c r="N107"/>
    </row>
    <row r="108" spans="1:14" ht="12.75">
      <c r="A108" s="3"/>
      <c r="B108" s="8"/>
      <c r="C108" s="52"/>
      <c r="D108" s="53"/>
      <c r="F108"/>
      <c r="G108" s="25"/>
      <c r="H108"/>
      <c r="I108" s="25"/>
      <c r="J108" s="30"/>
      <c r="L108" s="3"/>
      <c r="M108"/>
      <c r="N108"/>
    </row>
    <row r="109" spans="1:14" ht="12.75">
      <c r="A109" s="32">
        <v>37715</v>
      </c>
      <c r="B109" t="s">
        <v>187</v>
      </c>
      <c r="C109" s="2">
        <f>+C106</f>
        <v>321615.97341449745</v>
      </c>
      <c r="D109" s="2">
        <f>+D106</f>
        <v>24227.292310663885</v>
      </c>
      <c r="E109" s="2">
        <f>+E106</f>
        <v>297388.6811038335</v>
      </c>
      <c r="F109" s="2">
        <f>+F106</f>
        <v>321615.9734144974</v>
      </c>
      <c r="G109" s="2">
        <f>+G106</f>
        <v>1235825.0688961665</v>
      </c>
      <c r="H109"/>
      <c r="I109" s="25"/>
      <c r="J109" s="30"/>
      <c r="L109" s="3"/>
      <c r="M109"/>
      <c r="N109"/>
    </row>
    <row r="110" spans="1:14" ht="12.75">
      <c r="A110" s="32"/>
      <c r="B110" s="59" t="s">
        <v>234</v>
      </c>
      <c r="C110" s="2">
        <f>+$C$7</f>
        <v>102214.25</v>
      </c>
      <c r="E110" s="2">
        <f>+C110</f>
        <v>102214.25</v>
      </c>
      <c r="F110" s="2"/>
      <c r="H110"/>
      <c r="I110" s="25"/>
      <c r="J110" s="30"/>
      <c r="L110" s="3"/>
      <c r="M110"/>
      <c r="N110"/>
    </row>
    <row r="111" spans="2:14" ht="12.75">
      <c r="B111" t="s">
        <v>188</v>
      </c>
      <c r="C111" s="24">
        <f>-'Festival Apr 03 '!N45</f>
        <v>-102775.36402017971</v>
      </c>
      <c r="E111" s="24">
        <f>+C111</f>
        <v>-102775.36402017971</v>
      </c>
      <c r="F111" s="4"/>
      <c r="G111" s="2">
        <f>-E111</f>
        <v>102775.36402017971</v>
      </c>
      <c r="H111"/>
      <c r="I111" s="25"/>
      <c r="J111" s="30"/>
      <c r="L111" s="3"/>
      <c r="M111"/>
      <c r="N111"/>
    </row>
    <row r="112" spans="2:14" ht="12.75">
      <c r="B112" t="s">
        <v>184</v>
      </c>
      <c r="C112" s="2">
        <f>SUM(C109:C111)</f>
        <v>321054.8593943177</v>
      </c>
      <c r="E112" s="2">
        <f>SUM(E109:E111)</f>
        <v>296827.56708365376</v>
      </c>
      <c r="F112" s="2"/>
      <c r="H112"/>
      <c r="I112" s="25"/>
      <c r="J112" s="30"/>
      <c r="L112" s="3"/>
      <c r="M112"/>
      <c r="N112"/>
    </row>
    <row r="113" spans="2:14" ht="12.75">
      <c r="B113" t="s">
        <v>172</v>
      </c>
      <c r="C113" s="2">
        <f>+E109*0.0725/365*30</f>
        <v>1772.110633974898</v>
      </c>
      <c r="D113" s="2">
        <f>+C113</f>
        <v>1772.110633974898</v>
      </c>
      <c r="E113" s="2">
        <v>0</v>
      </c>
      <c r="F113" s="2"/>
      <c r="H113"/>
      <c r="I113" s="25"/>
      <c r="J113" s="30"/>
      <c r="L113" s="3"/>
      <c r="M113"/>
      <c r="N113"/>
    </row>
    <row r="114" spans="2:14" ht="13.5" thickBot="1">
      <c r="B114" t="s">
        <v>189</v>
      </c>
      <c r="C114" s="26">
        <f>+C112+C113</f>
        <v>322826.9700282926</v>
      </c>
      <c r="D114" s="26">
        <f>+D109+D113</f>
        <v>25999.402944638783</v>
      </c>
      <c r="E114" s="26">
        <f>+E112+E113</f>
        <v>296827.56708365376</v>
      </c>
      <c r="F114" s="26">
        <f>+E114+D114</f>
        <v>322826.97002829256</v>
      </c>
      <c r="G114" s="26">
        <f>SUM(G109:G113)</f>
        <v>1338600.4329163462</v>
      </c>
      <c r="H114"/>
      <c r="I114" s="25"/>
      <c r="J114" s="30"/>
      <c r="L114" s="3"/>
      <c r="M114"/>
      <c r="N114"/>
    </row>
    <row r="115" spans="1:14" ht="13.5" thickTop="1">
      <c r="A115" s="3"/>
      <c r="B115" s="8"/>
      <c r="C115" s="52" t="s">
        <v>170</v>
      </c>
      <c r="D115" s="53">
        <f>+D107+D113</f>
        <v>7332.6903267500475</v>
      </c>
      <c r="F115"/>
      <c r="G115" s="25"/>
      <c r="H115"/>
      <c r="I115" s="25"/>
      <c r="J115" s="30"/>
      <c r="L115" s="3"/>
      <c r="M115"/>
      <c r="N115"/>
    </row>
    <row r="116" spans="1:14" ht="12.75">
      <c r="A116" s="3"/>
      <c r="B116" s="8"/>
      <c r="C116" s="6"/>
      <c r="D116"/>
      <c r="E116"/>
      <c r="F116"/>
      <c r="G116" s="25"/>
      <c r="H116"/>
      <c r="I116" s="25"/>
      <c r="J116" s="30"/>
      <c r="L116" s="3"/>
      <c r="M116"/>
      <c r="N116"/>
    </row>
    <row r="117" spans="1:14" ht="12.75">
      <c r="A117" s="32">
        <v>37746</v>
      </c>
      <c r="B117" t="s">
        <v>75</v>
      </c>
      <c r="C117" s="2">
        <f>+C114</f>
        <v>322826.9700282926</v>
      </c>
      <c r="D117" s="2">
        <f>+D114</f>
        <v>25999.402944638783</v>
      </c>
      <c r="E117" s="2">
        <f>+E114</f>
        <v>296827.56708365376</v>
      </c>
      <c r="F117" s="2">
        <f>+F114</f>
        <v>322826.97002829256</v>
      </c>
      <c r="G117" s="2">
        <f>+G114</f>
        <v>1338600.4329163462</v>
      </c>
      <c r="H117"/>
      <c r="I117" s="25"/>
      <c r="J117" s="30"/>
      <c r="L117" s="3"/>
      <c r="M117"/>
      <c r="N117"/>
    </row>
    <row r="118" spans="1:14" ht="12.75">
      <c r="A118" s="32"/>
      <c r="B118" s="59" t="s">
        <v>234</v>
      </c>
      <c r="C118" s="2">
        <f>+$C$7</f>
        <v>102214.25</v>
      </c>
      <c r="E118" s="2">
        <f>+C118</f>
        <v>102214.25</v>
      </c>
      <c r="F118" s="2"/>
      <c r="H118"/>
      <c r="I118" s="25"/>
      <c r="J118" s="30"/>
      <c r="L118" s="3"/>
      <c r="M118"/>
      <c r="N118"/>
    </row>
    <row r="119" spans="2:14" ht="12.75">
      <c r="B119" t="s">
        <v>74</v>
      </c>
      <c r="C119" s="24">
        <f>-'Festival May 03'!N45</f>
        <v>-100249.96004551741</v>
      </c>
      <c r="E119" s="24">
        <f>+C119</f>
        <v>-100249.96004551741</v>
      </c>
      <c r="F119" s="4"/>
      <c r="G119" s="2">
        <f>-E119</f>
        <v>100249.96004551741</v>
      </c>
      <c r="H119"/>
      <c r="I119" s="25"/>
      <c r="J119" s="30"/>
      <c r="L119" s="3"/>
      <c r="M119"/>
      <c r="N119"/>
    </row>
    <row r="120" spans="2:14" ht="12.75">
      <c r="B120" t="s">
        <v>184</v>
      </c>
      <c r="C120" s="2">
        <f>SUM(C117:C119)</f>
        <v>324791.2599827752</v>
      </c>
      <c r="E120" s="2">
        <f>SUM(E117:E119)</f>
        <v>298791.85703813634</v>
      </c>
      <c r="F120" s="2"/>
      <c r="H120"/>
      <c r="I120" s="25"/>
      <c r="J120" s="30"/>
      <c r="L120" s="3"/>
      <c r="M120"/>
      <c r="N120"/>
    </row>
    <row r="121" spans="2:14" ht="12.75">
      <c r="B121" t="s">
        <v>172</v>
      </c>
      <c r="C121" s="2">
        <f>+E117*0.0725/365*31</f>
        <v>1827.725909645238</v>
      </c>
      <c r="D121" s="2">
        <f>+C121</f>
        <v>1827.725909645238</v>
      </c>
      <c r="E121" s="2">
        <v>0</v>
      </c>
      <c r="F121" s="2"/>
      <c r="H121"/>
      <c r="I121" s="25"/>
      <c r="J121" s="30"/>
      <c r="L121" s="3"/>
      <c r="M121"/>
      <c r="N121"/>
    </row>
    <row r="122" spans="2:14" ht="13.5" thickBot="1">
      <c r="B122" t="s">
        <v>77</v>
      </c>
      <c r="C122" s="26">
        <f>+C120+C121</f>
        <v>326618.98589242046</v>
      </c>
      <c r="D122" s="26">
        <f>+D117+D121</f>
        <v>27827.12885428402</v>
      </c>
      <c r="E122" s="26">
        <f>+E120+E121</f>
        <v>298791.85703813634</v>
      </c>
      <c r="F122" s="26">
        <f>+E122+D122</f>
        <v>326618.98589242034</v>
      </c>
      <c r="G122" s="26">
        <f>SUM(G117:G121)</f>
        <v>1438850.3929618637</v>
      </c>
      <c r="I122" s="25"/>
      <c r="J122" s="30"/>
      <c r="L122" s="3"/>
      <c r="M122"/>
      <c r="N122"/>
    </row>
    <row r="123" spans="1:14" ht="13.5" thickTop="1">
      <c r="A123" s="3"/>
      <c r="B123" s="8"/>
      <c r="C123" s="52" t="s">
        <v>170</v>
      </c>
      <c r="D123" s="53">
        <f>+D115+D121</f>
        <v>9160.416236395286</v>
      </c>
      <c r="F123"/>
      <c r="G123" s="25"/>
      <c r="H123"/>
      <c r="I123" s="25"/>
      <c r="J123" s="30"/>
      <c r="L123" s="3"/>
      <c r="M123"/>
      <c r="N123"/>
    </row>
    <row r="124" spans="1:14" ht="12.75">
      <c r="A124" s="3"/>
      <c r="B124" s="8"/>
      <c r="C124" s="6"/>
      <c r="D124"/>
      <c r="E124"/>
      <c r="F124"/>
      <c r="G124" s="25"/>
      <c r="H124"/>
      <c r="I124" s="25"/>
      <c r="J124" s="30"/>
      <c r="L124" s="3"/>
      <c r="M124"/>
      <c r="N124"/>
    </row>
    <row r="125" spans="1:14" ht="12.75">
      <c r="A125" s="32">
        <v>37778</v>
      </c>
      <c r="B125" t="s">
        <v>84</v>
      </c>
      <c r="C125" s="2">
        <f>+C122</f>
        <v>326618.98589242046</v>
      </c>
      <c r="D125" s="2">
        <f>+D122</f>
        <v>27827.12885428402</v>
      </c>
      <c r="E125" s="2">
        <f>+E122</f>
        <v>298791.85703813634</v>
      </c>
      <c r="F125" s="2">
        <f>+F122</f>
        <v>326618.98589242034</v>
      </c>
      <c r="G125" s="2">
        <f>+G122</f>
        <v>1438850.3929618637</v>
      </c>
      <c r="H125"/>
      <c r="I125" s="25"/>
      <c r="J125" s="30"/>
      <c r="L125" s="3"/>
      <c r="M125"/>
      <c r="N125"/>
    </row>
    <row r="126" spans="1:14" ht="12.75">
      <c r="A126" s="32"/>
      <c r="B126" s="59" t="s">
        <v>234</v>
      </c>
      <c r="C126" s="2">
        <f>+$C$7</f>
        <v>102214.25</v>
      </c>
      <c r="E126" s="2">
        <f>+C126</f>
        <v>102214.25</v>
      </c>
      <c r="F126" s="2"/>
      <c r="H126"/>
      <c r="I126" s="25"/>
      <c r="J126" s="30"/>
      <c r="L126" s="3"/>
      <c r="M126"/>
      <c r="N126"/>
    </row>
    <row r="127" spans="1:14" ht="12.75">
      <c r="A127" s="32"/>
      <c r="B127" s="33" t="s">
        <v>263</v>
      </c>
      <c r="C127" s="2">
        <v>-9294</v>
      </c>
      <c r="E127" s="2">
        <f>+C127</f>
        <v>-9294</v>
      </c>
      <c r="F127" s="2"/>
      <c r="H127"/>
      <c r="I127" s="25"/>
      <c r="J127" s="30"/>
      <c r="L127" s="3"/>
      <c r="M127"/>
      <c r="N127"/>
    </row>
    <row r="128" spans="2:14" ht="12.75">
      <c r="B128" t="s">
        <v>85</v>
      </c>
      <c r="C128" s="24">
        <f>-'Festival May 03'!N45</f>
        <v>-100249.96004551741</v>
      </c>
      <c r="E128" s="24">
        <f>+C128</f>
        <v>-100249.96004551741</v>
      </c>
      <c r="F128" s="4"/>
      <c r="G128" s="2">
        <f>-E128</f>
        <v>100249.96004551741</v>
      </c>
      <c r="H128"/>
      <c r="I128" s="25"/>
      <c r="J128" s="30"/>
      <c r="L128" s="3"/>
      <c r="M128"/>
      <c r="N128"/>
    </row>
    <row r="129" spans="2:14" ht="12.75">
      <c r="B129" t="s">
        <v>184</v>
      </c>
      <c r="C129" s="2">
        <f>SUM(C125:C128)</f>
        <v>319289.27584690304</v>
      </c>
      <c r="E129" s="2">
        <f>SUM(E125:E128)</f>
        <v>291462.1469926189</v>
      </c>
      <c r="F129" s="2"/>
      <c r="H129"/>
      <c r="I129" s="25"/>
      <c r="J129" s="30"/>
      <c r="L129" s="3"/>
      <c r="M129"/>
      <c r="N129"/>
    </row>
    <row r="130" spans="2:14" ht="12.75">
      <c r="B130" t="s">
        <v>172</v>
      </c>
      <c r="C130" s="2">
        <f>+E125*0.0725/365*31</f>
        <v>1839.8210923101683</v>
      </c>
      <c r="D130" s="2">
        <f>+C130</f>
        <v>1839.8210923101683</v>
      </c>
      <c r="E130" s="2">
        <v>0</v>
      </c>
      <c r="F130" s="2"/>
      <c r="H130"/>
      <c r="I130" s="25"/>
      <c r="J130" s="30"/>
      <c r="L130" s="3"/>
      <c r="M130"/>
      <c r="N130"/>
    </row>
    <row r="131" spans="2:14" ht="13.5" thickBot="1">
      <c r="B131" t="s">
        <v>86</v>
      </c>
      <c r="C131" s="26">
        <f>+C130+C129</f>
        <v>321129.0969392132</v>
      </c>
      <c r="D131" s="26">
        <f>+D130+D125</f>
        <v>29666.949946594188</v>
      </c>
      <c r="E131" s="26">
        <f>+E129+E130</f>
        <v>291462.1469926189</v>
      </c>
      <c r="F131" s="26">
        <f>+E131+D131</f>
        <v>321129.0969392131</v>
      </c>
      <c r="G131" s="26">
        <f>SUM(G125:G130)</f>
        <v>1539100.353007381</v>
      </c>
      <c r="H131"/>
      <c r="I131" s="25"/>
      <c r="J131" s="30"/>
      <c r="L131" s="3"/>
      <c r="M131"/>
      <c r="N131"/>
    </row>
    <row r="132" spans="1:14" ht="13.5" thickTop="1">
      <c r="A132" s="3"/>
      <c r="B132" s="8"/>
      <c r="C132" s="52"/>
      <c r="D132" s="53"/>
      <c r="F132"/>
      <c r="G132" s="25"/>
      <c r="H132"/>
      <c r="I132" s="25"/>
      <c r="J132" s="30"/>
      <c r="L132" s="3"/>
      <c r="M132"/>
      <c r="N132"/>
    </row>
    <row r="133" spans="1:14" ht="12.75">
      <c r="A133" s="3"/>
      <c r="B133" s="8"/>
      <c r="C133" s="6"/>
      <c r="D133"/>
      <c r="E133"/>
      <c r="F133"/>
      <c r="G133" s="25"/>
      <c r="H133"/>
      <c r="I133" s="25"/>
      <c r="J133" s="30"/>
      <c r="L133" s="3"/>
      <c r="M133"/>
      <c r="N133"/>
    </row>
    <row r="134" spans="1:14" ht="12.75">
      <c r="A134" s="32">
        <v>37809</v>
      </c>
      <c r="B134" t="s">
        <v>84</v>
      </c>
      <c r="C134" s="2">
        <f>+C131</f>
        <v>321129.0969392132</v>
      </c>
      <c r="D134" s="2">
        <f>+D131</f>
        <v>29666.949946594188</v>
      </c>
      <c r="E134" s="2">
        <f>+E131</f>
        <v>291462.1469926189</v>
      </c>
      <c r="F134" s="2">
        <f>+F131</f>
        <v>321129.0969392131</v>
      </c>
      <c r="G134" s="2">
        <f>+G131</f>
        <v>1539100.353007381</v>
      </c>
      <c r="H134"/>
      <c r="I134" s="25"/>
      <c r="J134" s="30"/>
      <c r="L134" s="3"/>
      <c r="M134"/>
      <c r="N134"/>
    </row>
    <row r="135" spans="1:14" ht="12.75">
      <c r="A135" s="32"/>
      <c r="B135" s="59" t="s">
        <v>234</v>
      </c>
      <c r="C135" s="2">
        <f>+$C$7</f>
        <v>102214.25</v>
      </c>
      <c r="E135" s="2">
        <f>+C135</f>
        <v>102214.25</v>
      </c>
      <c r="F135" s="2"/>
      <c r="H135"/>
      <c r="I135" s="25"/>
      <c r="J135" s="30"/>
      <c r="L135" s="3"/>
      <c r="M135"/>
      <c r="N135"/>
    </row>
    <row r="136" spans="2:14" ht="12.75">
      <c r="B136" t="s">
        <v>107</v>
      </c>
      <c r="C136" s="24">
        <f>-'Festival Jul-03'!N45</f>
        <v>-98742.3782586531</v>
      </c>
      <c r="E136" s="24">
        <f>+C136</f>
        <v>-98742.3782586531</v>
      </c>
      <c r="F136" s="4"/>
      <c r="G136" s="2">
        <f>-E136</f>
        <v>98742.3782586531</v>
      </c>
      <c r="H136"/>
      <c r="I136" s="25"/>
      <c r="J136" s="30"/>
      <c r="L136" s="3"/>
      <c r="M136"/>
      <c r="N136"/>
    </row>
    <row r="137" spans="2:14" ht="12.75">
      <c r="B137" t="s">
        <v>184</v>
      </c>
      <c r="C137" s="2">
        <f>SUM(C134:C136)</f>
        <v>324600.9686805601</v>
      </c>
      <c r="E137" s="2">
        <f>SUM(E134:E136)</f>
        <v>294934.0187339658</v>
      </c>
      <c r="F137" s="2"/>
      <c r="H137"/>
      <c r="I137" s="25"/>
      <c r="J137" s="30"/>
      <c r="L137" s="3"/>
      <c r="M137"/>
      <c r="N137"/>
    </row>
    <row r="138" spans="2:14" ht="12.75">
      <c r="B138" t="s">
        <v>172</v>
      </c>
      <c r="C138" s="2">
        <f>+E134*0.0725/365*31</f>
        <v>1794.6881516874273</v>
      </c>
      <c r="D138" s="2">
        <f>+C138</f>
        <v>1794.6881516874273</v>
      </c>
      <c r="E138" s="2">
        <v>0</v>
      </c>
      <c r="F138" s="2"/>
      <c r="H138"/>
      <c r="I138" s="25"/>
      <c r="J138" s="30"/>
      <c r="L138" s="3"/>
      <c r="M138"/>
      <c r="N138"/>
    </row>
    <row r="139" spans="2:14" ht="13.5" thickBot="1">
      <c r="B139" t="s">
        <v>77</v>
      </c>
      <c r="C139" s="26">
        <f>+C137+C138</f>
        <v>326395.65683224757</v>
      </c>
      <c r="D139" s="26">
        <f>+D131+D138+D137</f>
        <v>31461.638098281615</v>
      </c>
      <c r="E139" s="26">
        <f>+E137+E138</f>
        <v>294934.0187339658</v>
      </c>
      <c r="F139" s="26">
        <f>+E139+D139</f>
        <v>326395.65683224745</v>
      </c>
      <c r="G139" s="26">
        <f>SUM(G134:G138)</f>
        <v>1637842.7312660343</v>
      </c>
      <c r="H139"/>
      <c r="I139" s="25"/>
      <c r="J139" s="30"/>
      <c r="L139" s="3"/>
      <c r="M139"/>
      <c r="N139"/>
    </row>
    <row r="140" spans="1:14" ht="13.5" thickTop="1">
      <c r="A140" s="3"/>
      <c r="B140" s="8"/>
      <c r="C140" s="52" t="s">
        <v>170</v>
      </c>
      <c r="D140" s="53">
        <f>+D132+D138</f>
        <v>1794.6881516874273</v>
      </c>
      <c r="F140"/>
      <c r="G140" s="25"/>
      <c r="H140"/>
      <c r="I140" s="25"/>
      <c r="J140" s="30"/>
      <c r="L140" s="3"/>
      <c r="M140"/>
      <c r="N140"/>
    </row>
    <row r="141" spans="1:14" ht="12.75">
      <c r="A141" s="3"/>
      <c r="B141" s="8"/>
      <c r="C141" s="6"/>
      <c r="D141"/>
      <c r="E141"/>
      <c r="F141"/>
      <c r="G141" s="25"/>
      <c r="H141"/>
      <c r="I141" s="25"/>
      <c r="J141" s="30"/>
      <c r="L141" s="3"/>
      <c r="M141"/>
      <c r="N141"/>
    </row>
    <row r="142" spans="1:14" ht="12.75">
      <c r="A142" s="32">
        <v>37841</v>
      </c>
      <c r="B142" t="s">
        <v>84</v>
      </c>
      <c r="C142" s="2">
        <f>+C139</f>
        <v>326395.65683224757</v>
      </c>
      <c r="D142" s="2">
        <f>+D139</f>
        <v>31461.638098281615</v>
      </c>
      <c r="E142" s="2">
        <f>+E139</f>
        <v>294934.0187339658</v>
      </c>
      <c r="F142" s="2">
        <f>+F139</f>
        <v>326395.65683224745</v>
      </c>
      <c r="G142" s="2">
        <f>+G139</f>
        <v>1637842.7312660343</v>
      </c>
      <c r="H142"/>
      <c r="I142" s="25"/>
      <c r="J142" s="30"/>
      <c r="L142" s="3"/>
      <c r="M142"/>
      <c r="N142"/>
    </row>
    <row r="143" spans="1:14" ht="12.75">
      <c r="A143" s="32"/>
      <c r="B143" s="59" t="s">
        <v>234</v>
      </c>
      <c r="C143" s="2">
        <f>+$C$7</f>
        <v>102214.25</v>
      </c>
      <c r="E143" s="2">
        <f>+C143</f>
        <v>102214.25</v>
      </c>
      <c r="F143" s="2"/>
      <c r="H143"/>
      <c r="I143" s="25"/>
      <c r="J143" s="30"/>
      <c r="L143" s="3"/>
      <c r="M143"/>
      <c r="N143"/>
    </row>
    <row r="144" spans="2:14" ht="12.75">
      <c r="B144" t="s">
        <v>104</v>
      </c>
      <c r="C144" s="24">
        <f>-'Festival Aug 03'!N45</f>
        <v>-103211.83783125685</v>
      </c>
      <c r="E144" s="24">
        <f>+C144</f>
        <v>-103211.83783125685</v>
      </c>
      <c r="F144" s="4"/>
      <c r="G144" s="2">
        <f>-E144</f>
        <v>103211.83783125685</v>
      </c>
      <c r="H144"/>
      <c r="I144" s="25"/>
      <c r="J144" s="30"/>
      <c r="L144" s="3"/>
      <c r="M144"/>
      <c r="N144"/>
    </row>
    <row r="145" spans="2:14" ht="12.75">
      <c r="B145" t="s">
        <v>184</v>
      </c>
      <c r="C145" s="2">
        <f>SUM(C142:C144)</f>
        <v>325398.0690009907</v>
      </c>
      <c r="E145" s="2">
        <f>SUM(E142:E144)</f>
        <v>293936.43090270896</v>
      </c>
      <c r="F145" s="2"/>
      <c r="H145"/>
      <c r="I145" s="25"/>
      <c r="J145" s="30"/>
      <c r="L145" s="3"/>
      <c r="M145"/>
      <c r="N145"/>
    </row>
    <row r="146" spans="2:14" ht="12.75">
      <c r="B146" t="s">
        <v>172</v>
      </c>
      <c r="C146" s="2">
        <f>+E142*0.0725/365*31</f>
        <v>1816.0663208344881</v>
      </c>
      <c r="D146" s="2">
        <f>+C146</f>
        <v>1816.0663208344881</v>
      </c>
      <c r="E146" s="2">
        <v>0</v>
      </c>
      <c r="F146" s="2"/>
      <c r="H146"/>
      <c r="I146" s="25"/>
      <c r="J146" s="30"/>
      <c r="L146" s="3"/>
      <c r="M146"/>
      <c r="N146"/>
    </row>
    <row r="147" spans="2:14" ht="13.5" thickBot="1">
      <c r="B147" t="s">
        <v>77</v>
      </c>
      <c r="C147" s="26">
        <f>+C145+C146</f>
        <v>327214.1353218252</v>
      </c>
      <c r="D147" s="26">
        <f>+D139+D146+D145</f>
        <v>33277.704419116104</v>
      </c>
      <c r="E147" s="26">
        <f>+E145+E146</f>
        <v>293936.43090270896</v>
      </c>
      <c r="F147" s="26">
        <f>+E147+D147</f>
        <v>327214.13532182504</v>
      </c>
      <c r="G147" s="26">
        <f>SUM(G142:G146)</f>
        <v>1741054.5690972912</v>
      </c>
      <c r="H147"/>
      <c r="I147" s="25"/>
      <c r="J147" s="30"/>
      <c r="L147" s="3"/>
      <c r="M147"/>
      <c r="N147"/>
    </row>
    <row r="148" spans="1:14" ht="13.5" thickTop="1">
      <c r="A148" s="3"/>
      <c r="B148" s="8"/>
      <c r="C148" s="52" t="s">
        <v>170</v>
      </c>
      <c r="D148" s="53">
        <f>+D140+D146</f>
        <v>3610.7544725219154</v>
      </c>
      <c r="F148"/>
      <c r="G148" s="25"/>
      <c r="H148"/>
      <c r="I148" s="25"/>
      <c r="J148" s="30"/>
      <c r="L148" s="3"/>
      <c r="M148"/>
      <c r="N148"/>
    </row>
    <row r="149" spans="1:14" ht="12.75">
      <c r="A149" s="3"/>
      <c r="B149" s="8"/>
      <c r="C149" s="52"/>
      <c r="D149" s="53"/>
      <c r="F149"/>
      <c r="G149" s="25"/>
      <c r="H149"/>
      <c r="I149" s="25"/>
      <c r="J149" s="30"/>
      <c r="L149" s="3"/>
      <c r="M149"/>
      <c r="N149"/>
    </row>
    <row r="150" spans="1:14" ht="12.75">
      <c r="A150" s="32">
        <v>37873</v>
      </c>
      <c r="B150" t="s">
        <v>84</v>
      </c>
      <c r="C150" s="2">
        <f>+C147</f>
        <v>327214.1353218252</v>
      </c>
      <c r="D150" s="2">
        <f>+D147</f>
        <v>33277.704419116104</v>
      </c>
      <c r="E150" s="2">
        <f>+E147</f>
        <v>293936.43090270896</v>
      </c>
      <c r="F150" s="2">
        <f>+F147</f>
        <v>327214.13532182504</v>
      </c>
      <c r="G150" s="2">
        <f>+G147</f>
        <v>1741054.5690972912</v>
      </c>
      <c r="H150"/>
      <c r="I150" s="25"/>
      <c r="J150" s="30"/>
      <c r="L150" s="3"/>
      <c r="M150"/>
      <c r="N150"/>
    </row>
    <row r="151" spans="1:14" ht="12.75">
      <c r="A151" s="32"/>
      <c r="B151" s="59" t="s">
        <v>234</v>
      </c>
      <c r="C151" s="2">
        <f>+$C$7</f>
        <v>102214.25</v>
      </c>
      <c r="E151" s="2">
        <f>+C151</f>
        <v>102214.25</v>
      </c>
      <c r="F151" s="2"/>
      <c r="H151"/>
      <c r="I151" s="25"/>
      <c r="J151" s="30"/>
      <c r="L151" s="3"/>
      <c r="M151"/>
      <c r="N151"/>
    </row>
    <row r="152" spans="2:14" ht="12.75">
      <c r="B152" t="s">
        <v>122</v>
      </c>
      <c r="C152" s="24">
        <f>-'Festival Sep 03'!N45</f>
        <v>-101772.44577742489</v>
      </c>
      <c r="E152" s="24">
        <f>+C152</f>
        <v>-101772.44577742489</v>
      </c>
      <c r="F152" s="4"/>
      <c r="G152" s="2">
        <f>-E152</f>
        <v>101772.44577742489</v>
      </c>
      <c r="H152"/>
      <c r="I152" s="25"/>
      <c r="J152" s="30"/>
      <c r="L152" s="3"/>
      <c r="M152"/>
      <c r="N152"/>
    </row>
    <row r="153" spans="2:14" ht="12.75">
      <c r="B153" t="s">
        <v>184</v>
      </c>
      <c r="C153" s="2">
        <f>SUM(C150:C152)</f>
        <v>327655.9395444003</v>
      </c>
      <c r="E153" s="2">
        <f>SUM(E150:E152)</f>
        <v>294378.23512528406</v>
      </c>
      <c r="F153" s="2"/>
      <c r="H153"/>
      <c r="I153" s="25"/>
      <c r="J153" s="30"/>
      <c r="L153" s="3"/>
      <c r="M153"/>
      <c r="N153"/>
    </row>
    <row r="154" spans="2:14" ht="12.75">
      <c r="B154" t="s">
        <v>172</v>
      </c>
      <c r="C154" s="2">
        <f>+E150*0.0725/365*30</f>
        <v>1751.5390060640877</v>
      </c>
      <c r="D154" s="2">
        <f>+C154</f>
        <v>1751.5390060640877</v>
      </c>
      <c r="E154" s="2">
        <v>0</v>
      </c>
      <c r="F154" s="2"/>
      <c r="H154"/>
      <c r="I154" s="25"/>
      <c r="J154" s="30"/>
      <c r="L154" s="3"/>
      <c r="M154"/>
      <c r="N154"/>
    </row>
    <row r="155" spans="2:14" ht="13.5" thickBot="1">
      <c r="B155" t="s">
        <v>123</v>
      </c>
      <c r="C155" s="26">
        <f>+C153+C154</f>
        <v>329407.4785504644</v>
      </c>
      <c r="D155" s="26">
        <f>+D147+D154+D153</f>
        <v>35029.24342518019</v>
      </c>
      <c r="E155" s="26">
        <f>+E153+E154</f>
        <v>294378.23512528406</v>
      </c>
      <c r="F155" s="26">
        <f>+E155+D155</f>
        <v>329407.47855046426</v>
      </c>
      <c r="G155" s="26">
        <f>SUM(G150:G154)</f>
        <v>1842827.014874716</v>
      </c>
      <c r="H155"/>
      <c r="I155" s="25"/>
      <c r="J155" s="30"/>
      <c r="L155" s="3"/>
      <c r="M155"/>
      <c r="N155"/>
    </row>
    <row r="156" spans="1:14" ht="13.5" thickTop="1">
      <c r="A156" s="3"/>
      <c r="B156" s="8"/>
      <c r="C156" s="52" t="s">
        <v>170</v>
      </c>
      <c r="D156" s="53">
        <f>+D148+D154</f>
        <v>5362.293478586003</v>
      </c>
      <c r="F156"/>
      <c r="G156" s="25"/>
      <c r="H156"/>
      <c r="I156" s="25"/>
      <c r="J156" s="30"/>
      <c r="L156" s="3"/>
      <c r="M156"/>
      <c r="N156"/>
    </row>
    <row r="157" spans="1:14" ht="12.75">
      <c r="A157" s="3"/>
      <c r="B157" s="8"/>
      <c r="C157" s="52"/>
      <c r="D157" s="53"/>
      <c r="F157"/>
      <c r="G157" s="25"/>
      <c r="H157"/>
      <c r="I157" s="25"/>
      <c r="J157" s="30"/>
      <c r="L157" s="3"/>
      <c r="M157"/>
      <c r="N157"/>
    </row>
    <row r="158" spans="1:14" ht="12.75">
      <c r="A158" s="32">
        <v>37904</v>
      </c>
      <c r="B158" t="s">
        <v>225</v>
      </c>
      <c r="C158" s="2">
        <f>+C155</f>
        <v>329407.4785504644</v>
      </c>
      <c r="D158" s="2">
        <f>+D155</f>
        <v>35029.24342518019</v>
      </c>
      <c r="E158" s="2">
        <f>+E155</f>
        <v>294378.23512528406</v>
      </c>
      <c r="F158" s="2">
        <f>+F155</f>
        <v>329407.47855046426</v>
      </c>
      <c r="G158" s="2">
        <f>+G155</f>
        <v>1842827.014874716</v>
      </c>
      <c r="H158"/>
      <c r="I158" s="25"/>
      <c r="J158" s="30"/>
      <c r="L158" s="3"/>
      <c r="M158"/>
      <c r="N158"/>
    </row>
    <row r="159" spans="1:14" ht="12.75">
      <c r="A159" s="32"/>
      <c r="B159" s="59" t="s">
        <v>234</v>
      </c>
      <c r="C159" s="2">
        <f>+$C$7</f>
        <v>102214.25</v>
      </c>
      <c r="E159" s="2">
        <f>+C159</f>
        <v>102214.25</v>
      </c>
      <c r="F159" s="2"/>
      <c r="H159"/>
      <c r="I159" s="25"/>
      <c r="J159" s="30"/>
      <c r="L159" s="3"/>
      <c r="M159"/>
      <c r="N159"/>
    </row>
    <row r="160" spans="2:14" ht="12.75">
      <c r="B160" t="s">
        <v>127</v>
      </c>
      <c r="C160" s="24">
        <f>-'Festival Oct 03 '!N45</f>
        <v>-97169.41438770694</v>
      </c>
      <c r="E160" s="24">
        <f>+C160</f>
        <v>-97169.41438770694</v>
      </c>
      <c r="F160" s="4"/>
      <c r="G160" s="2">
        <f>-E160</f>
        <v>97169.41438770694</v>
      </c>
      <c r="H160"/>
      <c r="I160" s="25"/>
      <c r="J160" s="30"/>
      <c r="L160" s="3"/>
      <c r="M160"/>
      <c r="N160"/>
    </row>
    <row r="161" spans="2:14" ht="12.75">
      <c r="B161" t="s">
        <v>184</v>
      </c>
      <c r="C161" s="2">
        <f>SUM(C158:C160)</f>
        <v>334452.3141627574</v>
      </c>
      <c r="E161" s="2">
        <f>SUM(E158:E160)</f>
        <v>299423.0707375771</v>
      </c>
      <c r="F161" s="2"/>
      <c r="H161"/>
      <c r="I161" s="25"/>
      <c r="J161" s="30"/>
      <c r="L161" s="3"/>
      <c r="M161"/>
      <c r="N161"/>
    </row>
    <row r="162" spans="2:14" ht="12.75">
      <c r="B162" t="s">
        <v>172</v>
      </c>
      <c r="C162" s="2">
        <f>+E158*0.0725/365*31</f>
        <v>1812.6440642303446</v>
      </c>
      <c r="D162" s="2">
        <f>+C162</f>
        <v>1812.6440642303446</v>
      </c>
      <c r="E162" s="2">
        <v>0</v>
      </c>
      <c r="F162" s="2"/>
      <c r="H162"/>
      <c r="I162" s="25"/>
      <c r="J162" s="30"/>
      <c r="L162" s="3"/>
      <c r="M162"/>
      <c r="N162"/>
    </row>
    <row r="163" spans="2:14" ht="13.5" thickBot="1">
      <c r="B163" t="s">
        <v>128</v>
      </c>
      <c r="C163" s="26">
        <f>+C161+C162</f>
        <v>336264.95822698774</v>
      </c>
      <c r="D163" s="26">
        <f>+D155+D162+D161</f>
        <v>36841.88748941053</v>
      </c>
      <c r="E163" s="26">
        <f>+E161+E162</f>
        <v>299423.0707375771</v>
      </c>
      <c r="F163" s="26">
        <f>+E163+D163</f>
        <v>336264.9582269876</v>
      </c>
      <c r="G163" s="26">
        <f>SUM(G158:G162)</f>
        <v>1939996.429262423</v>
      </c>
      <c r="H163"/>
      <c r="I163" s="25"/>
      <c r="J163" s="30"/>
      <c r="L163" s="3"/>
      <c r="M163"/>
      <c r="N163"/>
    </row>
    <row r="164" spans="1:14" ht="13.5" thickTop="1">
      <c r="A164" s="3"/>
      <c r="B164" s="8"/>
      <c r="C164" s="52" t="s">
        <v>170</v>
      </c>
      <c r="D164" s="53">
        <f>+D156+D162</f>
        <v>7174.937542816348</v>
      </c>
      <c r="F164"/>
      <c r="G164" s="25"/>
      <c r="H164"/>
      <c r="I164" s="25"/>
      <c r="J164" s="30"/>
      <c r="L164" s="3"/>
      <c r="M164"/>
      <c r="N164"/>
    </row>
    <row r="165" spans="1:14" ht="12.75">
      <c r="A165" s="3"/>
      <c r="B165" s="8"/>
      <c r="C165" s="52"/>
      <c r="D165" s="53"/>
      <c r="F165"/>
      <c r="G165" s="25"/>
      <c r="H165"/>
      <c r="I165" s="25"/>
      <c r="J165" s="30"/>
      <c r="L165" s="3"/>
      <c r="M165"/>
      <c r="N165"/>
    </row>
    <row r="166" spans="1:14" ht="12.75">
      <c r="A166" s="32">
        <v>37936</v>
      </c>
      <c r="B166" t="s">
        <v>225</v>
      </c>
      <c r="C166" s="2">
        <f>+C163</f>
        <v>336264.95822698774</v>
      </c>
      <c r="D166" s="2">
        <f>+D163</f>
        <v>36841.88748941053</v>
      </c>
      <c r="E166" s="2">
        <f>+E163</f>
        <v>299423.0707375771</v>
      </c>
      <c r="F166" s="2">
        <f>+F163</f>
        <v>336264.9582269876</v>
      </c>
      <c r="G166" s="2">
        <f>+G163</f>
        <v>1939996.429262423</v>
      </c>
      <c r="H166"/>
      <c r="I166" s="25"/>
      <c r="J166" s="30"/>
      <c r="L166" s="3"/>
      <c r="M166"/>
      <c r="N166"/>
    </row>
    <row r="167" spans="1:14" ht="12.75">
      <c r="A167" s="32"/>
      <c r="B167" s="59" t="s">
        <v>234</v>
      </c>
      <c r="C167" s="2">
        <f>+$C$7</f>
        <v>102214.25</v>
      </c>
      <c r="E167" s="2">
        <f>+C167</f>
        <v>102214.25</v>
      </c>
      <c r="F167" s="2"/>
      <c r="H167"/>
      <c r="I167" s="25"/>
      <c r="J167" s="30"/>
      <c r="L167" s="3"/>
      <c r="M167"/>
      <c r="N167"/>
    </row>
    <row r="168" spans="2:14" ht="12.75">
      <c r="B168" t="s">
        <v>135</v>
      </c>
      <c r="C168" s="24">
        <f>-'Festival Nov 03 '!N45</f>
        <v>-99267.13568141425</v>
      </c>
      <c r="E168" s="24">
        <f>+C168</f>
        <v>-99267.13568141425</v>
      </c>
      <c r="F168" s="4"/>
      <c r="G168" s="2">
        <f>-E168</f>
        <v>99267.13568141425</v>
      </c>
      <c r="H168"/>
      <c r="I168" s="25"/>
      <c r="J168" s="30"/>
      <c r="L168" s="3"/>
      <c r="M168"/>
      <c r="N168"/>
    </row>
    <row r="169" spans="2:14" ht="12.75">
      <c r="B169" t="s">
        <v>184</v>
      </c>
      <c r="C169" s="2">
        <f>SUM(C166:C168)</f>
        <v>339212.07254557346</v>
      </c>
      <c r="E169" s="2">
        <f>SUM(E166:E168)</f>
        <v>302370.1850561629</v>
      </c>
      <c r="F169" s="2"/>
      <c r="H169"/>
      <c r="I169" s="25"/>
      <c r="J169" s="30"/>
      <c r="L169" s="3"/>
      <c r="M169"/>
      <c r="N169"/>
    </row>
    <row r="170" spans="2:14" ht="12.75">
      <c r="B170" t="s">
        <v>172</v>
      </c>
      <c r="C170" s="2">
        <f>+E166*0.0725/365*30</f>
        <v>1784.2333667239182</v>
      </c>
      <c r="D170" s="2">
        <f>+C170</f>
        <v>1784.2333667239182</v>
      </c>
      <c r="E170" s="2">
        <v>0</v>
      </c>
      <c r="F170" s="2"/>
      <c r="H170"/>
      <c r="I170" s="25"/>
      <c r="J170" s="30"/>
      <c r="L170" s="3"/>
      <c r="M170"/>
      <c r="N170"/>
    </row>
    <row r="171" spans="2:14" ht="13.5" thickBot="1">
      <c r="B171" t="s">
        <v>128</v>
      </c>
      <c r="C171" s="26">
        <f>+C169+C170</f>
        <v>340996.3059122974</v>
      </c>
      <c r="D171" s="26">
        <f>+D163+D170+D169</f>
        <v>38626.120856134454</v>
      </c>
      <c r="E171" s="26">
        <f>+E169+E170</f>
        <v>302370.1850561629</v>
      </c>
      <c r="F171" s="26">
        <f>+E171+D171</f>
        <v>340996.30591229734</v>
      </c>
      <c r="G171" s="26">
        <f>SUM(G166:G170)</f>
        <v>2039263.5649438372</v>
      </c>
      <c r="H171"/>
      <c r="I171" s="25"/>
      <c r="J171" s="30"/>
      <c r="L171" s="3"/>
      <c r="M171"/>
      <c r="N171"/>
    </row>
    <row r="172" spans="1:14" ht="13.5" thickTop="1">
      <c r="A172" s="3"/>
      <c r="B172" s="8"/>
      <c r="C172" s="52" t="s">
        <v>170</v>
      </c>
      <c r="D172" s="53">
        <f>+D164+D170</f>
        <v>8959.170909540266</v>
      </c>
      <c r="F172"/>
      <c r="G172" s="25"/>
      <c r="H172"/>
      <c r="I172" s="25"/>
      <c r="J172" s="30"/>
      <c r="L172" s="3"/>
      <c r="M172"/>
      <c r="N172"/>
    </row>
    <row r="173" spans="1:14" ht="12.75">
      <c r="A173" s="3"/>
      <c r="B173" s="8"/>
      <c r="C173" s="52"/>
      <c r="D173" s="53"/>
      <c r="F173"/>
      <c r="G173" s="25"/>
      <c r="H173"/>
      <c r="I173" s="25"/>
      <c r="J173" s="30"/>
      <c r="L173" s="3"/>
      <c r="M173"/>
      <c r="N173"/>
    </row>
    <row r="174" spans="1:14" ht="12.75">
      <c r="A174" s="32">
        <v>37967</v>
      </c>
      <c r="B174" t="s">
        <v>225</v>
      </c>
      <c r="C174" s="2">
        <f>+C171</f>
        <v>340996.3059122974</v>
      </c>
      <c r="D174" s="2">
        <f>+D171</f>
        <v>38626.120856134454</v>
      </c>
      <c r="E174" s="2">
        <f>+E171</f>
        <v>302370.1850561629</v>
      </c>
      <c r="F174" s="2">
        <f>+F171</f>
        <v>340996.30591229734</v>
      </c>
      <c r="G174" s="2">
        <f>+G171</f>
        <v>2039263.5649438372</v>
      </c>
      <c r="H174"/>
      <c r="I174" s="25"/>
      <c r="J174" s="30"/>
      <c r="L174" s="3"/>
      <c r="M174"/>
      <c r="N174"/>
    </row>
    <row r="175" spans="1:14" ht="12.75">
      <c r="A175" s="32"/>
      <c r="B175" s="59" t="s">
        <v>234</v>
      </c>
      <c r="C175" s="2">
        <f>+$C$7</f>
        <v>102214.25</v>
      </c>
      <c r="E175" s="2">
        <f>+C175</f>
        <v>102214.25</v>
      </c>
      <c r="F175" s="2"/>
      <c r="H175"/>
      <c r="I175" s="25"/>
      <c r="J175" s="30"/>
      <c r="L175" s="3"/>
      <c r="M175"/>
      <c r="N175"/>
    </row>
    <row r="176" spans="2:14" ht="12.75">
      <c r="B176" t="s">
        <v>141</v>
      </c>
      <c r="C176" s="24">
        <f>-'Festival Dec 03'!N45</f>
        <v>-100550.4879736527</v>
      </c>
      <c r="E176" s="24">
        <f>+C176</f>
        <v>-100550.4879736527</v>
      </c>
      <c r="F176" s="4"/>
      <c r="G176" s="2">
        <f>-E176</f>
        <v>100550.4879736527</v>
      </c>
      <c r="H176"/>
      <c r="I176" s="25"/>
      <c r="J176" s="30"/>
      <c r="L176" s="3"/>
      <c r="M176"/>
      <c r="N176"/>
    </row>
    <row r="177" spans="2:14" ht="12.75">
      <c r="B177" t="s">
        <v>184</v>
      </c>
      <c r="C177" s="2">
        <f>SUM(C174:C176)</f>
        <v>342660.0679386447</v>
      </c>
      <c r="E177" s="2">
        <f>SUM(E174:E176)</f>
        <v>304033.9470825102</v>
      </c>
      <c r="F177" s="2"/>
      <c r="H177"/>
      <c r="I177" s="25"/>
      <c r="J177" s="30"/>
      <c r="L177" s="3"/>
      <c r="M177"/>
      <c r="N177"/>
    </row>
    <row r="178" spans="2:14" ht="12.75">
      <c r="B178" t="s">
        <v>172</v>
      </c>
      <c r="C178" s="2">
        <f>+E174*0.0725/365*31</f>
        <v>1861.8547696266467</v>
      </c>
      <c r="D178" s="2">
        <f>+C178</f>
        <v>1861.8547696266467</v>
      </c>
      <c r="E178" s="2">
        <v>0</v>
      </c>
      <c r="F178" s="2"/>
      <c r="H178"/>
      <c r="I178" s="25"/>
      <c r="J178" s="30"/>
      <c r="L178" s="3"/>
      <c r="M178"/>
      <c r="N178"/>
    </row>
    <row r="179" spans="2:14" ht="13.5" thickBot="1">
      <c r="B179" t="s">
        <v>128</v>
      </c>
      <c r="C179" s="26">
        <f>+C177+C178</f>
        <v>344521.9227082713</v>
      </c>
      <c r="D179" s="26">
        <f>+D171+D178+D177</f>
        <v>40487.9756257611</v>
      </c>
      <c r="E179" s="26">
        <f>+E177+E178</f>
        <v>304033.9470825102</v>
      </c>
      <c r="F179" s="26">
        <f>+E179+D179</f>
        <v>344521.9227082713</v>
      </c>
      <c r="G179" s="26">
        <f>SUM(G174:G178)</f>
        <v>2139814.05291749</v>
      </c>
      <c r="H179"/>
      <c r="I179" s="25"/>
      <c r="J179" s="30"/>
      <c r="L179" s="3"/>
      <c r="M179"/>
      <c r="N179"/>
    </row>
    <row r="180" spans="1:14" ht="13.5" thickTop="1">
      <c r="A180" s="3"/>
      <c r="B180" s="8"/>
      <c r="C180" s="52" t="s">
        <v>170</v>
      </c>
      <c r="D180" s="53">
        <f>+D172+D178</f>
        <v>10821.025679166913</v>
      </c>
      <c r="E180" s="2">
        <v>72388.02</v>
      </c>
      <c r="F180" t="s">
        <v>237</v>
      </c>
      <c r="G180" s="25"/>
      <c r="H180"/>
      <c r="I180" s="25"/>
      <c r="J180" s="30"/>
      <c r="L180" s="3"/>
      <c r="M180"/>
      <c r="N180"/>
    </row>
    <row r="181" spans="1:14" ht="13.5" thickBot="1">
      <c r="A181" s="3"/>
      <c r="B181" s="8"/>
      <c r="C181" s="16"/>
      <c r="D181" s="53"/>
      <c r="E181" s="58"/>
      <c r="F181" s="60"/>
      <c r="G181" s="25"/>
      <c r="H181"/>
      <c r="I181" s="25"/>
      <c r="J181" s="30"/>
      <c r="L181" s="3"/>
      <c r="M181"/>
      <c r="N181"/>
    </row>
    <row r="182" spans="8:14" ht="13.5" thickTop="1">
      <c r="H182"/>
      <c r="I182" s="25"/>
      <c r="J182" s="30"/>
      <c r="L182" s="3"/>
      <c r="M182"/>
      <c r="N182"/>
    </row>
    <row r="183" spans="1:14" ht="12.75">
      <c r="A183" t="s">
        <v>190</v>
      </c>
      <c r="D183" s="33" t="s">
        <v>260</v>
      </c>
      <c r="E183" s="1" t="s">
        <v>196</v>
      </c>
      <c r="F183" s="50"/>
      <c r="G183" s="50"/>
      <c r="H183"/>
      <c r="I183" s="25"/>
      <c r="J183" s="30"/>
      <c r="L183" s="3"/>
      <c r="M183"/>
      <c r="N183"/>
    </row>
    <row r="184" spans="1:14" ht="12.75">
      <c r="A184" t="s">
        <v>228</v>
      </c>
      <c r="D184">
        <v>0</v>
      </c>
      <c r="E184" s="2">
        <f>+C81</f>
        <v>337403.987243233</v>
      </c>
      <c r="F184" s="24"/>
      <c r="G184" s="24"/>
      <c r="H184"/>
      <c r="I184" s="25"/>
      <c r="J184" s="30"/>
      <c r="L184" s="3"/>
      <c r="M184"/>
      <c r="N184"/>
    </row>
    <row r="185" spans="1:14" ht="12.75">
      <c r="A185" t="s">
        <v>191</v>
      </c>
      <c r="C185" s="54"/>
      <c r="D185" s="2">
        <f>102214.25*24</f>
        <v>2453142</v>
      </c>
      <c r="E185" s="2">
        <f>102214.25*12</f>
        <v>1226571</v>
      </c>
      <c r="F185" s="50"/>
      <c r="G185" s="50"/>
      <c r="H185"/>
      <c r="I185" s="25"/>
      <c r="J185" s="30"/>
      <c r="L185" s="3"/>
      <c r="M185"/>
      <c r="N185"/>
    </row>
    <row r="186" spans="1:14" ht="12.75">
      <c r="A186" t="s">
        <v>194</v>
      </c>
      <c r="C186" s="54"/>
      <c r="D186" s="2">
        <f>+C127</f>
        <v>-9294</v>
      </c>
      <c r="E186" s="2">
        <f>+D186</f>
        <v>-9294</v>
      </c>
      <c r="H186"/>
      <c r="I186" s="25"/>
      <c r="J186" s="30"/>
      <c r="L186" s="3"/>
      <c r="M186"/>
      <c r="N186"/>
    </row>
    <row r="187" spans="1:14" ht="12.75">
      <c r="A187" t="s">
        <v>192</v>
      </c>
      <c r="D187" s="2">
        <f>+D179</f>
        <v>40487.9756257611</v>
      </c>
      <c r="E187" s="2">
        <f>+D179-D81</f>
        <v>21821.263007872363</v>
      </c>
      <c r="H187"/>
      <c r="I187" s="25"/>
      <c r="J187" s="30"/>
      <c r="L187" s="3"/>
      <c r="M187"/>
      <c r="N187"/>
    </row>
    <row r="188" spans="1:14" ht="12.75">
      <c r="A188" t="s">
        <v>193</v>
      </c>
      <c r="D188" s="2">
        <f>-G179</f>
        <v>-2139814.05291749</v>
      </c>
      <c r="E188" s="2">
        <f>-G179+G81</f>
        <v>-1231980.327542834</v>
      </c>
      <c r="H188"/>
      <c r="I188" s="25"/>
      <c r="J188" s="30"/>
      <c r="L188" s="3"/>
      <c r="M188"/>
      <c r="N188"/>
    </row>
    <row r="189" spans="1:14" ht="13.5" thickBot="1">
      <c r="A189" t="s">
        <v>69</v>
      </c>
      <c r="D189" s="26">
        <f>SUM(D184:D188)</f>
        <v>344521.92270827154</v>
      </c>
      <c r="E189" s="26">
        <f>SUM(E184:E188)</f>
        <v>344521.9227082713</v>
      </c>
      <c r="H189"/>
      <c r="I189" s="25"/>
      <c r="J189" s="30"/>
      <c r="L189" s="3"/>
      <c r="M189"/>
      <c r="N189"/>
    </row>
    <row r="190" spans="8:14" ht="13.5" thickTop="1">
      <c r="H190"/>
      <c r="I190" s="25"/>
      <c r="J190" s="30"/>
      <c r="L190" s="3"/>
      <c r="M190"/>
      <c r="N190"/>
    </row>
    <row r="191" spans="8:14" ht="12.75">
      <c r="H191"/>
      <c r="I191" s="25"/>
      <c r="J191" s="30"/>
      <c r="L191" s="3"/>
      <c r="M191"/>
      <c r="N191"/>
    </row>
    <row r="192" spans="1:14" ht="12.75">
      <c r="A192" s="61" t="s">
        <v>240</v>
      </c>
      <c r="B192" t="s">
        <v>225</v>
      </c>
      <c r="C192" s="2">
        <f>+C179</f>
        <v>344521.9227082713</v>
      </c>
      <c r="D192" s="2">
        <f>+D179</f>
        <v>40487.9756257611</v>
      </c>
      <c r="E192" s="2">
        <f>+E179</f>
        <v>304033.9470825102</v>
      </c>
      <c r="F192" s="2">
        <f>+F179</f>
        <v>344521.9227082713</v>
      </c>
      <c r="G192" s="2">
        <f>+G179</f>
        <v>2139814.05291749</v>
      </c>
      <c r="H192"/>
      <c r="I192" s="25"/>
      <c r="J192" s="30"/>
      <c r="L192" s="3"/>
      <c r="M192"/>
      <c r="N192"/>
    </row>
    <row r="193" spans="1:14" ht="12.75">
      <c r="A193" s="32"/>
      <c r="B193" s="59" t="s">
        <v>250</v>
      </c>
      <c r="C193" s="2">
        <v>0</v>
      </c>
      <c r="E193" s="2">
        <f>+C193</f>
        <v>0</v>
      </c>
      <c r="F193" s="2"/>
      <c r="H193"/>
      <c r="I193" s="25"/>
      <c r="J193" s="30"/>
      <c r="L193" s="3"/>
      <c r="M193"/>
      <c r="N193"/>
    </row>
    <row r="194" spans="2:14" ht="12.75">
      <c r="B194" t="s">
        <v>165</v>
      </c>
      <c r="C194" s="24">
        <f>-'Festival JAN 04'!N45</f>
        <v>-108655.56428504459</v>
      </c>
      <c r="E194" s="24">
        <f>+C194</f>
        <v>-108655.56428504459</v>
      </c>
      <c r="F194" s="4"/>
      <c r="G194" s="2">
        <f>-E194</f>
        <v>108655.56428504459</v>
      </c>
      <c r="H194"/>
      <c r="I194" s="25"/>
      <c r="J194" s="30"/>
      <c r="L194" s="3"/>
      <c r="M194"/>
      <c r="N194"/>
    </row>
    <row r="195" spans="2:14" ht="12.75">
      <c r="B195" t="s">
        <v>184</v>
      </c>
      <c r="C195" s="2">
        <f>SUM(C192:C194)</f>
        <v>235866.35842322672</v>
      </c>
      <c r="E195" s="2">
        <f>SUM(E192:E194)</f>
        <v>195378.38279746563</v>
      </c>
      <c r="F195" s="2"/>
      <c r="H195"/>
      <c r="I195" s="25"/>
      <c r="J195" s="30"/>
      <c r="L195" s="3"/>
      <c r="M195"/>
      <c r="N195"/>
    </row>
    <row r="196" spans="2:14" ht="12.75">
      <c r="B196" t="s">
        <v>172</v>
      </c>
      <c r="C196" s="2">
        <f>+E192*0.0725/365*31</f>
        <v>1872.099441282032</v>
      </c>
      <c r="D196" s="2">
        <f>+C196</f>
        <v>1872.099441282032</v>
      </c>
      <c r="E196" s="2">
        <v>0</v>
      </c>
      <c r="F196" s="2"/>
      <c r="H196"/>
      <c r="I196" s="25"/>
      <c r="J196" s="30"/>
      <c r="L196" s="3"/>
      <c r="M196"/>
      <c r="N196"/>
    </row>
    <row r="197" spans="2:14" ht="13.5" thickBot="1">
      <c r="B197" t="s">
        <v>128</v>
      </c>
      <c r="C197" s="26">
        <f>+C195+C196</f>
        <v>237738.45786450876</v>
      </c>
      <c r="D197" s="26">
        <f>+D192+D196</f>
        <v>42360.07506704313</v>
      </c>
      <c r="E197" s="26">
        <f>+E195+E196</f>
        <v>195378.38279746563</v>
      </c>
      <c r="F197" s="26">
        <f>+E197+D197</f>
        <v>237738.45786450876</v>
      </c>
      <c r="G197" s="26">
        <f>SUM(G192:G196)</f>
        <v>2248469.6172025343</v>
      </c>
      <c r="H197"/>
      <c r="I197" s="25"/>
      <c r="J197" s="30"/>
      <c r="L197" s="3"/>
      <c r="M197"/>
      <c r="N197"/>
    </row>
    <row r="198" spans="3:14" ht="13.5" thickTop="1">
      <c r="C198" s="52" t="s">
        <v>170</v>
      </c>
      <c r="D198" s="2">
        <f>+D196</f>
        <v>1872.099441282032</v>
      </c>
      <c r="H198"/>
      <c r="I198" s="25"/>
      <c r="J198" s="30"/>
      <c r="L198" s="3"/>
      <c r="M198"/>
      <c r="N198"/>
    </row>
    <row r="199" spans="8:14" ht="12.75">
      <c r="H199"/>
      <c r="I199" s="25"/>
      <c r="J199" s="30"/>
      <c r="L199" s="3"/>
      <c r="M199"/>
      <c r="N199"/>
    </row>
    <row r="200" spans="1:14" ht="13.5" thickBot="1">
      <c r="A200" s="61" t="s">
        <v>241</v>
      </c>
      <c r="B200" t="s">
        <v>225</v>
      </c>
      <c r="C200" s="2">
        <f>+C197</f>
        <v>237738.45786450876</v>
      </c>
      <c r="D200" s="2">
        <f>+D197</f>
        <v>42360.07506704313</v>
      </c>
      <c r="E200" s="2">
        <f>+E197</f>
        <v>195378.38279746563</v>
      </c>
      <c r="F200" s="26">
        <f>+E200+D200</f>
        <v>237738.45786450876</v>
      </c>
      <c r="G200" s="2">
        <f>+G197</f>
        <v>2248469.6172025343</v>
      </c>
      <c r="H200"/>
      <c r="I200" s="25"/>
      <c r="J200" s="30"/>
      <c r="L200" s="3"/>
      <c r="M200"/>
      <c r="N200"/>
    </row>
    <row r="201" spans="1:14" ht="13.5" thickTop="1">
      <c r="A201" s="32"/>
      <c r="B201" s="59" t="s">
        <v>250</v>
      </c>
      <c r="C201" s="2">
        <v>0</v>
      </c>
      <c r="E201" s="2">
        <f>+C201</f>
        <v>0</v>
      </c>
      <c r="F201" s="2"/>
      <c r="H201"/>
      <c r="I201" s="25"/>
      <c r="J201" s="30"/>
      <c r="L201" s="3"/>
      <c r="M201"/>
      <c r="N201"/>
    </row>
    <row r="202" spans="2:14" ht="12.75">
      <c r="B202" t="s">
        <v>168</v>
      </c>
      <c r="C202" s="24">
        <f>-'Festival Feb 04'!N45</f>
        <v>-111105.70752388902</v>
      </c>
      <c r="E202" s="24">
        <f>+C202</f>
        <v>-111105.70752388902</v>
      </c>
      <c r="F202" s="4"/>
      <c r="G202" s="2">
        <f>-E202</f>
        <v>111105.70752388902</v>
      </c>
      <c r="H202"/>
      <c r="I202" s="25"/>
      <c r="J202" s="30"/>
      <c r="L202" s="3"/>
      <c r="M202"/>
      <c r="N202"/>
    </row>
    <row r="203" spans="2:14" ht="12.75">
      <c r="B203" t="s">
        <v>184</v>
      </c>
      <c r="C203" s="2">
        <f>SUM(C200:C202)</f>
        <v>126632.75034061974</v>
      </c>
      <c r="E203" s="2">
        <f>SUM(E200:E202)</f>
        <v>84272.6752735766</v>
      </c>
      <c r="F203" s="2"/>
      <c r="H203"/>
      <c r="I203" s="25"/>
      <c r="J203" s="30"/>
      <c r="L203" s="3"/>
      <c r="M203"/>
      <c r="N203"/>
    </row>
    <row r="204" spans="2:14" ht="12.75">
      <c r="B204" t="s">
        <v>172</v>
      </c>
      <c r="C204" s="2">
        <f>+E200*0.0725/365*29</f>
        <v>1125.433013237456</v>
      </c>
      <c r="D204" s="2">
        <f>+C204</f>
        <v>1125.433013237456</v>
      </c>
      <c r="E204" s="2">
        <v>0</v>
      </c>
      <c r="F204" s="2"/>
      <c r="H204"/>
      <c r="I204" s="25"/>
      <c r="J204" s="30"/>
      <c r="L204" s="3"/>
      <c r="M204"/>
      <c r="N204"/>
    </row>
    <row r="205" spans="2:14" ht="13.5" thickBot="1">
      <c r="B205" t="s">
        <v>242</v>
      </c>
      <c r="C205" s="26">
        <f>+C203+C204</f>
        <v>127758.1833538572</v>
      </c>
      <c r="D205" s="26">
        <f>+D200+D204</f>
        <v>43485.50808028058</v>
      </c>
      <c r="E205" s="26">
        <f>+E203+E204</f>
        <v>84272.6752735766</v>
      </c>
      <c r="F205" s="26">
        <f>+E205+D205</f>
        <v>127758.1833538572</v>
      </c>
      <c r="G205" s="26">
        <f>SUM(G200:G204)</f>
        <v>2359575.3247264232</v>
      </c>
      <c r="H205"/>
      <c r="I205" s="25"/>
      <c r="J205" s="30"/>
      <c r="L205" s="3"/>
      <c r="M205"/>
      <c r="N205"/>
    </row>
    <row r="206" spans="3:14" ht="13.5" thickTop="1">
      <c r="C206" s="52" t="s">
        <v>170</v>
      </c>
      <c r="D206" s="2">
        <f>+D204+D198</f>
        <v>2997.532454519488</v>
      </c>
      <c r="H206"/>
      <c r="I206" s="25"/>
      <c r="J206" s="30"/>
      <c r="L206" s="3"/>
      <c r="M206"/>
      <c r="N206"/>
    </row>
    <row r="207" spans="3:14" ht="12.75">
      <c r="C207" s="52"/>
      <c r="H207"/>
      <c r="I207" s="25"/>
      <c r="J207" s="30"/>
      <c r="L207" s="3"/>
      <c r="M207"/>
      <c r="N207"/>
    </row>
    <row r="208" spans="1:14" ht="13.5" thickBot="1">
      <c r="A208" s="61" t="s">
        <v>244</v>
      </c>
      <c r="B208" t="s">
        <v>225</v>
      </c>
      <c r="C208" s="2">
        <f>+C205</f>
        <v>127758.1833538572</v>
      </c>
      <c r="D208" s="2">
        <f>+D205</f>
        <v>43485.50808028058</v>
      </c>
      <c r="E208" s="2">
        <f>+E205</f>
        <v>84272.6752735766</v>
      </c>
      <c r="F208" s="26">
        <f>+E208+D208</f>
        <v>127758.1833538572</v>
      </c>
      <c r="G208" s="2">
        <f>+G205</f>
        <v>2359575.3247264232</v>
      </c>
      <c r="H208"/>
      <c r="I208" s="25"/>
      <c r="J208" s="30"/>
      <c r="L208" s="3"/>
      <c r="M208"/>
      <c r="N208"/>
    </row>
    <row r="209" spans="1:14" ht="13.5" thickTop="1">
      <c r="A209" s="32"/>
      <c r="B209" s="59" t="s">
        <v>250</v>
      </c>
      <c r="C209" s="2">
        <v>0</v>
      </c>
      <c r="E209" s="2">
        <f>+C209</f>
        <v>0</v>
      </c>
      <c r="F209" s="2"/>
      <c r="H209"/>
      <c r="I209" s="25"/>
      <c r="J209" s="30"/>
      <c r="L209" s="3"/>
      <c r="M209"/>
      <c r="N209"/>
    </row>
    <row r="210" spans="2:14" ht="12.75">
      <c r="B210" t="s">
        <v>183</v>
      </c>
      <c r="C210" s="24">
        <f>-'Festival Mar 04'!N45</f>
        <v>-183309.33196200442</v>
      </c>
      <c r="E210" s="24">
        <f>+C210</f>
        <v>-183309.33196200442</v>
      </c>
      <c r="F210" s="4"/>
      <c r="G210" s="2">
        <f>-E210</f>
        <v>183309.33196200442</v>
      </c>
      <c r="H210"/>
      <c r="I210" s="25"/>
      <c r="J210" s="30"/>
      <c r="L210" s="3"/>
      <c r="M210"/>
      <c r="N210"/>
    </row>
    <row r="211" spans="2:14" ht="12.75">
      <c r="B211" t="s">
        <v>184</v>
      </c>
      <c r="C211" s="2">
        <f>SUM(C208:C210)</f>
        <v>-55551.148608147225</v>
      </c>
      <c r="E211" s="2">
        <f>SUM(E208:E210)</f>
        <v>-99036.65668842781</v>
      </c>
      <c r="F211" s="2"/>
      <c r="H211"/>
      <c r="I211" s="25"/>
      <c r="J211" s="30"/>
      <c r="L211" s="3"/>
      <c r="M211"/>
      <c r="N211"/>
    </row>
    <row r="212" spans="2:14" ht="12.75">
      <c r="B212" t="s">
        <v>172</v>
      </c>
      <c r="C212" s="2">
        <f>+E208*0.0725/365*31</f>
        <v>518.9118840475709</v>
      </c>
      <c r="D212" s="2">
        <f>+C212</f>
        <v>518.9118840475709</v>
      </c>
      <c r="E212" s="2">
        <v>0</v>
      </c>
      <c r="F212" s="2"/>
      <c r="H212"/>
      <c r="I212" s="25"/>
      <c r="J212" s="30"/>
      <c r="L212" s="3"/>
      <c r="M212"/>
      <c r="N212"/>
    </row>
    <row r="213" spans="2:14" ht="13.5" thickBot="1">
      <c r="B213" t="s">
        <v>242</v>
      </c>
      <c r="C213" s="26">
        <f>+C211+C212</f>
        <v>-55032.236724099654</v>
      </c>
      <c r="D213" s="26">
        <f>+D208+D212</f>
        <v>44004.41996432815</v>
      </c>
      <c r="E213" s="26">
        <f>+E211+E212</f>
        <v>-99036.65668842781</v>
      </c>
      <c r="F213" s="26">
        <f>+E213+D213</f>
        <v>-55032.23672409966</v>
      </c>
      <c r="G213" s="26">
        <f>SUM(G208:G212)</f>
        <v>2542884.6566884276</v>
      </c>
      <c r="H213"/>
      <c r="I213" s="25"/>
      <c r="J213" s="30"/>
      <c r="L213" s="3"/>
      <c r="M213"/>
      <c r="N213"/>
    </row>
    <row r="214" spans="3:14" ht="13.5" thickTop="1">
      <c r="C214" s="52" t="s">
        <v>170</v>
      </c>
      <c r="D214" s="2">
        <f>+D212+D206</f>
        <v>3516.444338567059</v>
      </c>
      <c r="H214"/>
      <c r="I214" s="25"/>
      <c r="J214" s="30"/>
      <c r="L214" s="3"/>
      <c r="M214"/>
      <c r="N214"/>
    </row>
    <row r="215" spans="2:14" ht="12.75">
      <c r="B215" s="1" t="s">
        <v>259</v>
      </c>
      <c r="C215" s="52"/>
      <c r="H215"/>
      <c r="I215" s="25"/>
      <c r="J215" s="30"/>
      <c r="L215" s="3"/>
      <c r="M215"/>
      <c r="N215"/>
    </row>
    <row r="216" spans="3:14" ht="12.75">
      <c r="C216" s="52"/>
      <c r="H216"/>
      <c r="I216" s="25"/>
      <c r="J216" s="30"/>
      <c r="L216" s="3"/>
      <c r="M216"/>
      <c r="N216"/>
    </row>
    <row r="217" spans="1:14" ht="13.5" thickBot="1">
      <c r="A217" s="61">
        <v>38081</v>
      </c>
      <c r="B217" t="s">
        <v>225</v>
      </c>
      <c r="C217" s="2">
        <f>+C213</f>
        <v>-55032.236724099654</v>
      </c>
      <c r="D217" s="2">
        <f>+D213</f>
        <v>44004.41996432815</v>
      </c>
      <c r="E217" s="2">
        <f>+E213</f>
        <v>-99036.65668842781</v>
      </c>
      <c r="F217" s="26">
        <f>+E217+D217</f>
        <v>-55032.23672409966</v>
      </c>
      <c r="G217" s="2">
        <f>+G213</f>
        <v>2542884.6566884276</v>
      </c>
      <c r="H217"/>
      <c r="I217" s="25"/>
      <c r="J217" s="30"/>
      <c r="L217" s="3"/>
      <c r="M217"/>
      <c r="N217"/>
    </row>
    <row r="218" spans="2:14" ht="13.5" thickTop="1">
      <c r="B218" t="s">
        <v>172</v>
      </c>
      <c r="C218" s="2">
        <f>+E217*0.0725/365*30</f>
        <v>-590.1499405406315</v>
      </c>
      <c r="D218" s="2">
        <f>+C218</f>
        <v>-590.1499405406315</v>
      </c>
      <c r="E218" s="2">
        <v>0</v>
      </c>
      <c r="F218" s="2"/>
      <c r="H218"/>
      <c r="I218" s="25"/>
      <c r="J218" s="30"/>
      <c r="L218" s="3"/>
      <c r="M218"/>
      <c r="N218"/>
    </row>
    <row r="219" spans="2:14" ht="13.5" thickBot="1">
      <c r="B219" t="s">
        <v>242</v>
      </c>
      <c r="C219" s="26">
        <f>SUM(C217:C218)</f>
        <v>-55622.38666464028</v>
      </c>
      <c r="D219" s="26">
        <f>SUM(D217:D218)</f>
        <v>43414.270023787525</v>
      </c>
      <c r="E219" s="26">
        <f>SUM(E217:E218)</f>
        <v>-99036.65668842781</v>
      </c>
      <c r="F219" s="26">
        <f>+E219+D219</f>
        <v>-55622.38666464029</v>
      </c>
      <c r="G219" s="26">
        <f>SUM(G217:G218)</f>
        <v>2542884.6566884276</v>
      </c>
      <c r="H219"/>
      <c r="I219" s="25"/>
      <c r="J219" s="30"/>
      <c r="L219" s="3"/>
      <c r="M219"/>
      <c r="N219"/>
    </row>
    <row r="220" spans="3:14" ht="13.5" thickTop="1">
      <c r="C220" s="52" t="s">
        <v>170</v>
      </c>
      <c r="D220" s="2">
        <f>+D218+D214</f>
        <v>2926.294398026427</v>
      </c>
      <c r="H220"/>
      <c r="I220" s="25"/>
      <c r="J220" s="30"/>
      <c r="L220" s="3"/>
      <c r="M220"/>
      <c r="N220"/>
    </row>
    <row r="221" spans="3:14" ht="12.75">
      <c r="C221" s="52"/>
      <c r="H221"/>
      <c r="I221" s="25"/>
      <c r="J221" s="30"/>
      <c r="L221" s="3"/>
      <c r="M221"/>
      <c r="N221"/>
    </row>
    <row r="222" spans="1:14" ht="13.5" thickBot="1">
      <c r="A222" s="61">
        <v>38112</v>
      </c>
      <c r="B222" t="s">
        <v>225</v>
      </c>
      <c r="C222" s="2">
        <f>+C219</f>
        <v>-55622.38666464028</v>
      </c>
      <c r="D222" s="2">
        <f>+D219</f>
        <v>43414.270023787525</v>
      </c>
      <c r="E222" s="2">
        <f>+E219</f>
        <v>-99036.65668842781</v>
      </c>
      <c r="F222" s="26">
        <f>+E222+D222</f>
        <v>-55622.38666464029</v>
      </c>
      <c r="G222" s="2">
        <f>+G219</f>
        <v>2542884.6566884276</v>
      </c>
      <c r="H222"/>
      <c r="I222" s="25"/>
      <c r="J222" s="30"/>
      <c r="L222" s="3"/>
      <c r="M222"/>
      <c r="N222"/>
    </row>
    <row r="223" spans="2:14" ht="13.5" thickTop="1">
      <c r="B223" t="s">
        <v>172</v>
      </c>
      <c r="C223" s="2">
        <f>+E222*0.0725/365*31</f>
        <v>-609.8216052253192</v>
      </c>
      <c r="D223" s="2">
        <f>+C223</f>
        <v>-609.8216052253192</v>
      </c>
      <c r="E223" s="2">
        <v>0</v>
      </c>
      <c r="F223" s="2"/>
      <c r="H223"/>
      <c r="I223" s="25"/>
      <c r="J223" s="30"/>
      <c r="L223" s="3"/>
      <c r="M223"/>
      <c r="N223"/>
    </row>
    <row r="224" spans="2:14" ht="13.5" thickBot="1">
      <c r="B224" t="s">
        <v>242</v>
      </c>
      <c r="C224" s="26">
        <f>SUM(C222:C223)</f>
        <v>-56232.2082698656</v>
      </c>
      <c r="D224" s="26">
        <f>SUM(D222:D223)</f>
        <v>42804.448418562206</v>
      </c>
      <c r="E224" s="26">
        <f>SUM(E222:E223)</f>
        <v>-99036.65668842781</v>
      </c>
      <c r="F224" s="26">
        <f>+E224+D224</f>
        <v>-56232.20826986561</v>
      </c>
      <c r="G224" s="26">
        <f>SUM(G222:G223)</f>
        <v>2542884.6566884276</v>
      </c>
      <c r="H224"/>
      <c r="I224" s="25"/>
      <c r="J224" s="30"/>
      <c r="L224" s="3"/>
      <c r="M224"/>
      <c r="N224"/>
    </row>
    <row r="225" spans="3:14" ht="13.5" thickTop="1">
      <c r="C225" s="52" t="s">
        <v>170</v>
      </c>
      <c r="D225" s="2">
        <f>+D223+D220</f>
        <v>2316.472792801108</v>
      </c>
      <c r="H225"/>
      <c r="I225" s="25"/>
      <c r="J225" s="30"/>
      <c r="L225" s="3"/>
      <c r="M225"/>
      <c r="N225"/>
    </row>
    <row r="226" spans="3:14" ht="12.75">
      <c r="C226" s="52"/>
      <c r="H226"/>
      <c r="I226" s="25"/>
      <c r="J226" s="30"/>
      <c r="L226" s="3"/>
      <c r="M226"/>
      <c r="N226"/>
    </row>
    <row r="227" spans="1:14" ht="13.5" thickBot="1">
      <c r="A227" s="61">
        <v>38144</v>
      </c>
      <c r="B227" t="s">
        <v>225</v>
      </c>
      <c r="C227" s="2">
        <f>+C224</f>
        <v>-56232.2082698656</v>
      </c>
      <c r="D227" s="2">
        <f>+D224</f>
        <v>42804.448418562206</v>
      </c>
      <c r="E227" s="2">
        <f>+E224</f>
        <v>-99036.65668842781</v>
      </c>
      <c r="F227" s="26">
        <f>+E227+D227</f>
        <v>-56232.20826986561</v>
      </c>
      <c r="G227" s="2">
        <f>+G224</f>
        <v>2542884.6566884276</v>
      </c>
      <c r="H227"/>
      <c r="I227" s="25"/>
      <c r="J227" s="30"/>
      <c r="L227" s="3"/>
      <c r="M227"/>
      <c r="N227"/>
    </row>
    <row r="228" spans="1:14" ht="13.5" thickTop="1">
      <c r="A228" s="61"/>
      <c r="B228" s="33" t="s">
        <v>271</v>
      </c>
      <c r="C228" s="2">
        <f>-55404+14183</f>
        <v>-41221</v>
      </c>
      <c r="E228" s="2">
        <f>+C228</f>
        <v>-41221</v>
      </c>
      <c r="F228" s="25"/>
      <c r="H228"/>
      <c r="I228" s="25"/>
      <c r="J228" s="30"/>
      <c r="L228" s="3"/>
      <c r="M228"/>
      <c r="N228"/>
    </row>
    <row r="229" spans="2:14" ht="12.75">
      <c r="B229" t="s">
        <v>172</v>
      </c>
      <c r="C229" s="2">
        <f>+E227*0.0725/365*30</f>
        <v>-590.1499405406315</v>
      </c>
      <c r="D229" s="2">
        <f>+C229</f>
        <v>-590.1499405406315</v>
      </c>
      <c r="E229" s="2">
        <v>0</v>
      </c>
      <c r="F229" s="2"/>
      <c r="H229"/>
      <c r="I229" s="25"/>
      <c r="J229" s="30"/>
      <c r="L229" s="3"/>
      <c r="M229"/>
      <c r="N229"/>
    </row>
    <row r="230" spans="2:14" ht="13.5" thickBot="1">
      <c r="B230" t="s">
        <v>242</v>
      </c>
      <c r="C230" s="26">
        <f>SUM(C227:C229)</f>
        <v>-98043.35821040624</v>
      </c>
      <c r="D230" s="26">
        <f>SUM(D227:D229)</f>
        <v>42214.29847802158</v>
      </c>
      <c r="E230" s="26">
        <f>SUM(E227:E229)</f>
        <v>-140257.6566884278</v>
      </c>
      <c r="F230" s="26">
        <f>+E230+D230</f>
        <v>-98043.35821040624</v>
      </c>
      <c r="G230" s="26">
        <f>SUM(G227:G229)</f>
        <v>2542884.6566884276</v>
      </c>
      <c r="H230"/>
      <c r="I230" s="25"/>
      <c r="J230" s="30"/>
      <c r="L230" s="3"/>
      <c r="M230"/>
      <c r="N230"/>
    </row>
    <row r="231" spans="3:14" ht="13.5" thickTop="1">
      <c r="C231" s="52" t="s">
        <v>170</v>
      </c>
      <c r="D231" s="2">
        <f>+D229+D225</f>
        <v>1726.3228522604763</v>
      </c>
      <c r="H231"/>
      <c r="I231" s="25"/>
      <c r="J231" s="30"/>
      <c r="L231" s="3"/>
      <c r="M231"/>
      <c r="N231"/>
    </row>
    <row r="232" spans="8:14" ht="12.75">
      <c r="H232"/>
      <c r="I232" s="25"/>
      <c r="J232" s="30"/>
      <c r="L232" s="3"/>
      <c r="M232"/>
      <c r="N232"/>
    </row>
    <row r="233" spans="1:14" ht="13.5" thickBot="1">
      <c r="A233" s="61">
        <v>38175</v>
      </c>
      <c r="B233" t="s">
        <v>225</v>
      </c>
      <c r="C233" s="2">
        <f>+C230</f>
        <v>-98043.35821040624</v>
      </c>
      <c r="D233" s="2">
        <f>+D230</f>
        <v>42214.29847802158</v>
      </c>
      <c r="E233" s="2">
        <f>+E230</f>
        <v>-140257.6566884278</v>
      </c>
      <c r="F233" s="26">
        <f>+E233+D233</f>
        <v>-98043.35821040624</v>
      </c>
      <c r="G233" s="2">
        <f>+G230</f>
        <v>2542884.6566884276</v>
      </c>
      <c r="H233"/>
      <c r="I233" s="25"/>
      <c r="J233" s="30"/>
      <c r="L233" s="3"/>
      <c r="M233"/>
      <c r="N233"/>
    </row>
    <row r="234" spans="1:14" ht="13.5" thickTop="1">
      <c r="A234" s="61"/>
      <c r="B234" t="s">
        <v>235</v>
      </c>
      <c r="C234" s="2">
        <v>0</v>
      </c>
      <c r="E234" s="2">
        <v>0</v>
      </c>
      <c r="F234" s="25"/>
      <c r="H234"/>
      <c r="I234" s="25"/>
      <c r="J234" s="30"/>
      <c r="L234" s="3"/>
      <c r="M234"/>
      <c r="N234"/>
    </row>
    <row r="235" spans="2:14" ht="12.75">
      <c r="B235" t="s">
        <v>172</v>
      </c>
      <c r="C235" s="2">
        <f>+E233*0.0725/365*31</f>
        <v>-863.6413244034013</v>
      </c>
      <c r="D235" s="2">
        <f>+C235</f>
        <v>-863.6413244034013</v>
      </c>
      <c r="E235" s="2">
        <v>0</v>
      </c>
      <c r="F235" s="2"/>
      <c r="H235"/>
      <c r="I235" s="25"/>
      <c r="J235" s="30"/>
      <c r="L235" s="3"/>
      <c r="M235"/>
      <c r="N235"/>
    </row>
    <row r="236" spans="2:14" ht="13.5" thickBot="1">
      <c r="B236" t="s">
        <v>242</v>
      </c>
      <c r="C236" s="26">
        <f>SUM(C233:C235)</f>
        <v>-98906.99953480964</v>
      </c>
      <c r="D236" s="26">
        <f>SUM(D233:D235)</f>
        <v>41350.65715361817</v>
      </c>
      <c r="E236" s="26">
        <f>SUM(E233:E235)</f>
        <v>-140257.6566884278</v>
      </c>
      <c r="F236" s="26">
        <f>+E236+D236</f>
        <v>-98906.99953480964</v>
      </c>
      <c r="G236" s="26">
        <f>SUM(G233:G235)</f>
        <v>2542884.6566884276</v>
      </c>
      <c r="H236"/>
      <c r="I236" s="25"/>
      <c r="J236" s="30"/>
      <c r="L236" s="3"/>
      <c r="M236"/>
      <c r="N236"/>
    </row>
    <row r="237" spans="3:14" ht="13.5" thickTop="1">
      <c r="C237" s="52" t="s">
        <v>170</v>
      </c>
      <c r="D237" s="2">
        <f>+D235+D231</f>
        <v>862.681527857075</v>
      </c>
      <c r="H237"/>
      <c r="I237" s="25"/>
      <c r="J237" s="30"/>
      <c r="L237" s="3"/>
      <c r="M237"/>
      <c r="N237"/>
    </row>
    <row r="238" spans="8:14" ht="12.75">
      <c r="H238"/>
      <c r="I238" s="25"/>
      <c r="J238" s="30"/>
      <c r="L238" s="3"/>
      <c r="M238"/>
      <c r="N238"/>
    </row>
    <row r="239" spans="1:14" ht="13.5" thickBot="1">
      <c r="A239" s="61">
        <v>38207</v>
      </c>
      <c r="B239" t="s">
        <v>225</v>
      </c>
      <c r="C239" s="2">
        <f>+C236</f>
        <v>-98906.99953480964</v>
      </c>
      <c r="D239" s="2">
        <f>+D236</f>
        <v>41350.65715361817</v>
      </c>
      <c r="E239" s="2">
        <f>+E236</f>
        <v>-140257.6566884278</v>
      </c>
      <c r="F239" s="26">
        <f>+E239+D239</f>
        <v>-98906.99953480964</v>
      </c>
      <c r="G239" s="2">
        <f>+G236</f>
        <v>2542884.6566884276</v>
      </c>
      <c r="H239"/>
      <c r="I239" s="25"/>
      <c r="J239" s="30"/>
      <c r="L239" s="3"/>
      <c r="M239"/>
      <c r="N239"/>
    </row>
    <row r="240" spans="1:14" ht="13.5" thickTop="1">
      <c r="A240" s="61"/>
      <c r="B240" t="s">
        <v>235</v>
      </c>
      <c r="C240" s="2">
        <v>0</v>
      </c>
      <c r="E240" s="2">
        <v>0</v>
      </c>
      <c r="F240" s="25"/>
      <c r="H240"/>
      <c r="I240" s="25"/>
      <c r="J240" s="30"/>
      <c r="L240" s="3"/>
      <c r="M240"/>
      <c r="N240"/>
    </row>
    <row r="241" spans="2:14" ht="12.75">
      <c r="B241" t="s">
        <v>172</v>
      </c>
      <c r="C241" s="2">
        <f>+E239*0.0725/365*31</f>
        <v>-863.6413244034013</v>
      </c>
      <c r="D241" s="2">
        <f>+C241</f>
        <v>-863.6413244034013</v>
      </c>
      <c r="E241" s="2">
        <v>0</v>
      </c>
      <c r="F241" s="2"/>
      <c r="H241"/>
      <c r="I241" s="25"/>
      <c r="J241" s="30"/>
      <c r="L241" s="3"/>
      <c r="M241"/>
      <c r="N241"/>
    </row>
    <row r="242" spans="2:14" ht="13.5" thickBot="1">
      <c r="B242" t="s">
        <v>242</v>
      </c>
      <c r="C242" s="26">
        <f>SUM(C239:C241)</f>
        <v>-99770.64085921305</v>
      </c>
      <c r="D242" s="26">
        <f>SUM(D239:D241)</f>
        <v>40487.01582921477</v>
      </c>
      <c r="E242" s="26">
        <f>SUM(E239:E241)</f>
        <v>-140257.6566884278</v>
      </c>
      <c r="F242" s="26">
        <f>+E242+D242</f>
        <v>-99770.64085921305</v>
      </c>
      <c r="G242" s="26">
        <f>SUM(G239:G241)</f>
        <v>2542884.6566884276</v>
      </c>
      <c r="H242"/>
      <c r="I242" s="25"/>
      <c r="J242" s="30"/>
      <c r="L242" s="3"/>
      <c r="M242"/>
      <c r="N242"/>
    </row>
    <row r="243" spans="3:14" ht="13.5" thickTop="1">
      <c r="C243" s="52" t="s">
        <v>170</v>
      </c>
      <c r="D243" s="2">
        <f>+D241+D237</f>
        <v>-0.9597965463262881</v>
      </c>
      <c r="H243"/>
      <c r="I243" s="25"/>
      <c r="J243" s="30"/>
      <c r="L243" s="3"/>
      <c r="M243"/>
      <c r="N243"/>
    </row>
    <row r="244" spans="8:14" ht="12.75">
      <c r="H244"/>
      <c r="I244" s="25"/>
      <c r="J244" s="30"/>
      <c r="L244" s="3"/>
      <c r="M244"/>
      <c r="N244"/>
    </row>
    <row r="245" spans="1:14" ht="13.5" thickBot="1">
      <c r="A245" s="61">
        <v>38239</v>
      </c>
      <c r="B245" t="s">
        <v>225</v>
      </c>
      <c r="C245" s="2">
        <f>+C242</f>
        <v>-99770.64085921305</v>
      </c>
      <c r="D245" s="2">
        <f>+D242</f>
        <v>40487.01582921477</v>
      </c>
      <c r="E245" s="2">
        <f>+E242</f>
        <v>-140257.6566884278</v>
      </c>
      <c r="F245" s="26">
        <f>+E245+D245</f>
        <v>-99770.64085921305</v>
      </c>
      <c r="G245" s="2">
        <f>+G242</f>
        <v>2542884.6566884276</v>
      </c>
      <c r="H245"/>
      <c r="I245" s="25"/>
      <c r="J245" s="30"/>
      <c r="L245" s="3"/>
      <c r="M245"/>
      <c r="N245"/>
    </row>
    <row r="246" spans="1:14" ht="13.5" thickTop="1">
      <c r="A246" s="61"/>
      <c r="B246" t="s">
        <v>235</v>
      </c>
      <c r="C246" s="2">
        <v>0</v>
      </c>
      <c r="E246" s="2">
        <v>0</v>
      </c>
      <c r="F246" s="25"/>
      <c r="H246"/>
      <c r="I246" s="25"/>
      <c r="J246" s="30"/>
      <c r="L246" s="3"/>
      <c r="M246"/>
      <c r="N246"/>
    </row>
    <row r="247" spans="2:14" ht="12.75">
      <c r="B247" t="s">
        <v>172</v>
      </c>
      <c r="C247" s="2">
        <f>+E245*0.0725/365*30</f>
        <v>-835.7819268420013</v>
      </c>
      <c r="D247" s="2">
        <f>+C247</f>
        <v>-835.7819268420013</v>
      </c>
      <c r="E247" s="2">
        <v>0</v>
      </c>
      <c r="F247" s="2"/>
      <c r="H247"/>
      <c r="I247" s="25"/>
      <c r="J247" s="30"/>
      <c r="L247" s="3"/>
      <c r="M247"/>
      <c r="N247"/>
    </row>
    <row r="248" spans="2:14" ht="13.5" thickBot="1">
      <c r="B248" t="s">
        <v>242</v>
      </c>
      <c r="C248" s="26">
        <f>SUM(C245:C247)</f>
        <v>-100606.42278605505</v>
      </c>
      <c r="D248" s="26">
        <f>SUM(D245:D247)</f>
        <v>39651.23390237277</v>
      </c>
      <c r="E248" s="26">
        <f>SUM(E245:E247)</f>
        <v>-140257.6566884278</v>
      </c>
      <c r="F248" s="26">
        <f>+E248+D248</f>
        <v>-100606.42278605505</v>
      </c>
      <c r="G248" s="26">
        <f>SUM(G245:G247)</f>
        <v>2542884.6566884276</v>
      </c>
      <c r="H248"/>
      <c r="I248" s="25"/>
      <c r="J248" s="30"/>
      <c r="L248" s="3"/>
      <c r="M248"/>
      <c r="N248"/>
    </row>
    <row r="249" spans="3:14" ht="13.5" thickTop="1">
      <c r="C249" s="52" t="s">
        <v>170</v>
      </c>
      <c r="D249" s="2">
        <f>+D247+D243</f>
        <v>-836.7417233883276</v>
      </c>
      <c r="H249"/>
      <c r="I249" s="25"/>
      <c r="J249" s="30"/>
      <c r="L249" s="3"/>
      <c r="M249"/>
      <c r="N249"/>
    </row>
    <row r="250" spans="3:14" ht="12.75">
      <c r="C250" s="52"/>
      <c r="H250"/>
      <c r="I250" s="25"/>
      <c r="J250" s="30"/>
      <c r="L250" s="3"/>
      <c r="M250"/>
      <c r="N250"/>
    </row>
    <row r="251" spans="1:14" ht="13.5" thickBot="1">
      <c r="A251" s="61">
        <v>38270</v>
      </c>
      <c r="B251" t="s">
        <v>225</v>
      </c>
      <c r="C251" s="2">
        <f>+C248</f>
        <v>-100606.42278605505</v>
      </c>
      <c r="D251" s="2">
        <f>+D248</f>
        <v>39651.23390237277</v>
      </c>
      <c r="E251" s="2">
        <f>+E248</f>
        <v>-140257.6566884278</v>
      </c>
      <c r="F251" s="26">
        <f>+E251+D251</f>
        <v>-100606.42278605505</v>
      </c>
      <c r="G251" s="2">
        <f>+G248</f>
        <v>2542884.6566884276</v>
      </c>
      <c r="H251"/>
      <c r="I251" s="25"/>
      <c r="J251" s="30"/>
      <c r="L251" s="3"/>
      <c r="M251"/>
      <c r="N251"/>
    </row>
    <row r="252" spans="1:14" ht="13.5" thickTop="1">
      <c r="A252" s="61"/>
      <c r="B252" t="s">
        <v>235</v>
      </c>
      <c r="C252" s="2">
        <v>0</v>
      </c>
      <c r="E252" s="2">
        <v>0</v>
      </c>
      <c r="F252" s="25"/>
      <c r="H252"/>
      <c r="I252" s="25"/>
      <c r="J252" s="30"/>
      <c r="L252" s="3"/>
      <c r="M252"/>
      <c r="N252"/>
    </row>
    <row r="253" spans="2:14" ht="12.75">
      <c r="B253" t="s">
        <v>172</v>
      </c>
      <c r="C253" s="2">
        <f>+E251*0.0725/365*31</f>
        <v>-863.6413244034013</v>
      </c>
      <c r="D253" s="2">
        <f>+C253</f>
        <v>-863.6413244034013</v>
      </c>
      <c r="E253" s="2">
        <v>0</v>
      </c>
      <c r="F253" s="2"/>
      <c r="H253"/>
      <c r="I253" s="25"/>
      <c r="J253" s="30"/>
      <c r="L253" s="3"/>
      <c r="M253"/>
      <c r="N253"/>
    </row>
    <row r="254" spans="2:14" ht="13.5" thickBot="1">
      <c r="B254" t="s">
        <v>242</v>
      </c>
      <c r="C254" s="26">
        <f>SUM(C251:C253)</f>
        <v>-101470.06411045845</v>
      </c>
      <c r="D254" s="26">
        <f>SUM(D251:D253)</f>
        <v>38787.592577969364</v>
      </c>
      <c r="E254" s="26">
        <f>SUM(E251:E253)</f>
        <v>-140257.6566884278</v>
      </c>
      <c r="F254" s="26">
        <f>+E254+D254</f>
        <v>-101470.06411045845</v>
      </c>
      <c r="G254" s="26">
        <f>SUM(G251:G253)</f>
        <v>2542884.6566884276</v>
      </c>
      <c r="H254"/>
      <c r="I254" s="25"/>
      <c r="J254" s="30"/>
      <c r="L254" s="3"/>
      <c r="M254"/>
      <c r="N254"/>
    </row>
    <row r="255" spans="3:14" ht="13.5" thickTop="1">
      <c r="C255" s="52" t="s">
        <v>170</v>
      </c>
      <c r="D255" s="2">
        <f>+D253+D249</f>
        <v>-1700.383047791729</v>
      </c>
      <c r="H255"/>
      <c r="I255" s="25"/>
      <c r="J255" s="30"/>
      <c r="L255" s="3"/>
      <c r="M255"/>
      <c r="N255"/>
    </row>
    <row r="256" spans="3:14" ht="12.75">
      <c r="C256" s="52"/>
      <c r="H256"/>
      <c r="I256" s="25"/>
      <c r="J256" s="30"/>
      <c r="L256" s="3"/>
      <c r="M256"/>
      <c r="N256"/>
    </row>
    <row r="257" spans="1:14" ht="13.5" thickBot="1">
      <c r="A257" s="61">
        <v>38302</v>
      </c>
      <c r="B257" t="s">
        <v>225</v>
      </c>
      <c r="C257" s="2">
        <f>+C254</f>
        <v>-101470.06411045845</v>
      </c>
      <c r="D257" s="2">
        <f>+D254</f>
        <v>38787.592577969364</v>
      </c>
      <c r="E257" s="2">
        <f>+E254</f>
        <v>-140257.6566884278</v>
      </c>
      <c r="F257" s="26">
        <f>+E257+D257</f>
        <v>-101470.06411045845</v>
      </c>
      <c r="G257" s="2">
        <f>+G254</f>
        <v>2542884.6566884276</v>
      </c>
      <c r="H257"/>
      <c r="I257" s="25"/>
      <c r="J257" s="30"/>
      <c r="L257" s="3"/>
      <c r="M257"/>
      <c r="N257"/>
    </row>
    <row r="258" spans="1:14" ht="13.5" thickTop="1">
      <c r="A258" s="61"/>
      <c r="B258" t="s">
        <v>235</v>
      </c>
      <c r="C258" s="2">
        <v>0</v>
      </c>
      <c r="E258" s="2">
        <v>0</v>
      </c>
      <c r="F258" s="25"/>
      <c r="H258"/>
      <c r="I258" s="25"/>
      <c r="J258" s="30"/>
      <c r="L258" s="3"/>
      <c r="M258"/>
      <c r="N258"/>
    </row>
    <row r="259" spans="2:14" ht="12.75">
      <c r="B259" t="s">
        <v>172</v>
      </c>
      <c r="C259" s="2">
        <f>+E257*0.0725/365*30</f>
        <v>-835.7819268420013</v>
      </c>
      <c r="D259" s="2">
        <f>+C259</f>
        <v>-835.7819268420013</v>
      </c>
      <c r="E259" s="2">
        <v>0</v>
      </c>
      <c r="F259" s="2"/>
      <c r="H259"/>
      <c r="I259" s="25"/>
      <c r="J259" s="30"/>
      <c r="L259" s="3"/>
      <c r="M259"/>
      <c r="N259"/>
    </row>
    <row r="260" spans="2:14" ht="13.5" thickBot="1">
      <c r="B260" t="s">
        <v>242</v>
      </c>
      <c r="C260" s="26">
        <f>SUM(C257:C259)</f>
        <v>-102305.84603730045</v>
      </c>
      <c r="D260" s="26">
        <f>SUM(D257:D259)</f>
        <v>37951.810651127365</v>
      </c>
      <c r="E260" s="26">
        <f>SUM(E257:E259)</f>
        <v>-140257.6566884278</v>
      </c>
      <c r="F260" s="26">
        <f>+E260+D260</f>
        <v>-102305.84603730045</v>
      </c>
      <c r="G260" s="26">
        <f>SUM(G257:G259)</f>
        <v>2542884.6566884276</v>
      </c>
      <c r="H260"/>
      <c r="I260" s="25"/>
      <c r="J260" s="30"/>
      <c r="L260" s="3"/>
      <c r="M260"/>
      <c r="N260"/>
    </row>
    <row r="261" spans="3:14" ht="13.5" thickTop="1">
      <c r="C261" s="52" t="s">
        <v>170</v>
      </c>
      <c r="D261" s="2">
        <f>+D259+D255</f>
        <v>-2536.1649746337303</v>
      </c>
      <c r="H261"/>
      <c r="I261" s="25"/>
      <c r="J261" s="30"/>
      <c r="L261" s="3"/>
      <c r="M261"/>
      <c r="N261"/>
    </row>
    <row r="262" spans="3:14" ht="12.75">
      <c r="C262" s="52"/>
      <c r="H262"/>
      <c r="I262" s="25"/>
      <c r="J262" s="30"/>
      <c r="L262" s="3"/>
      <c r="M262"/>
      <c r="N262"/>
    </row>
    <row r="263" spans="1:14" ht="13.5" thickBot="1">
      <c r="A263" s="61">
        <v>38333</v>
      </c>
      <c r="B263" t="s">
        <v>225</v>
      </c>
      <c r="C263" s="2">
        <f>+C260</f>
        <v>-102305.84603730045</v>
      </c>
      <c r="D263" s="2">
        <f>+D260</f>
        <v>37951.810651127365</v>
      </c>
      <c r="E263" s="2">
        <f>+E260</f>
        <v>-140257.6566884278</v>
      </c>
      <c r="F263" s="26">
        <f>+E263+D263</f>
        <v>-102305.84603730045</v>
      </c>
      <c r="G263" s="2">
        <f>+G260</f>
        <v>2542884.6566884276</v>
      </c>
      <c r="H263"/>
      <c r="I263" s="25"/>
      <c r="J263" s="30"/>
      <c r="L263" s="3"/>
      <c r="M263"/>
      <c r="N263"/>
    </row>
    <row r="264" spans="1:14" ht="13.5" thickTop="1">
      <c r="A264" s="61"/>
      <c r="B264" t="s">
        <v>235</v>
      </c>
      <c r="C264" s="2">
        <v>0</v>
      </c>
      <c r="E264" s="2">
        <v>0</v>
      </c>
      <c r="F264" s="25"/>
      <c r="H264"/>
      <c r="I264" s="25"/>
      <c r="J264" s="30"/>
      <c r="L264" s="3"/>
      <c r="M264"/>
      <c r="N264"/>
    </row>
    <row r="265" spans="2:14" ht="12.75">
      <c r="B265" t="s">
        <v>172</v>
      </c>
      <c r="C265" s="2">
        <f>+E263*0.0725/365*31</f>
        <v>-863.6413244034013</v>
      </c>
      <c r="D265" s="2">
        <f>+C265</f>
        <v>-863.6413244034013</v>
      </c>
      <c r="E265" s="2">
        <v>0</v>
      </c>
      <c r="F265" s="2"/>
      <c r="H265"/>
      <c r="I265" s="25"/>
      <c r="J265" s="30"/>
      <c r="L265" s="3"/>
      <c r="M265"/>
      <c r="N265"/>
    </row>
    <row r="266" spans="2:14" ht="13.5" thickBot="1">
      <c r="B266" t="s">
        <v>242</v>
      </c>
      <c r="C266" s="26">
        <f>SUM(C263:C265)</f>
        <v>-103169.48736170385</v>
      </c>
      <c r="D266" s="26">
        <f>SUM(D263:D265)</f>
        <v>37088.16932672396</v>
      </c>
      <c r="E266" s="26">
        <f>SUM(E263:E265)</f>
        <v>-140257.6566884278</v>
      </c>
      <c r="F266" s="26">
        <f>+E266+D266</f>
        <v>-103169.48736170385</v>
      </c>
      <c r="G266" s="26">
        <f>SUM(G263:G265)</f>
        <v>2542884.6566884276</v>
      </c>
      <c r="H266"/>
      <c r="I266" s="25"/>
      <c r="J266" s="30"/>
      <c r="L266" s="3"/>
      <c r="M266"/>
      <c r="N266"/>
    </row>
    <row r="267" spans="3:14" ht="13.5" thickTop="1">
      <c r="C267" s="52" t="s">
        <v>170</v>
      </c>
      <c r="D267" s="2">
        <f>+D265+D261</f>
        <v>-3399.806299037132</v>
      </c>
      <c r="H267"/>
      <c r="I267" s="25"/>
      <c r="J267" s="30"/>
      <c r="L267" s="3"/>
      <c r="M267"/>
      <c r="N267"/>
    </row>
    <row r="268" spans="1:14" ht="12.75" hidden="1">
      <c r="A268" s="1" t="s">
        <v>254</v>
      </c>
      <c r="C268" s="52"/>
      <c r="H268"/>
      <c r="I268" s="25"/>
      <c r="J268" s="30"/>
      <c r="L268" s="3"/>
      <c r="M268"/>
      <c r="N268"/>
    </row>
    <row r="269" spans="1:16" ht="12.75" hidden="1">
      <c r="A269" s="45" t="s">
        <v>255</v>
      </c>
      <c r="B269" s="2"/>
      <c r="E269" s="19"/>
      <c r="F269" s="2"/>
      <c r="P269" s="2"/>
    </row>
    <row r="270" spans="1:16" ht="12.75" hidden="1">
      <c r="A270" s="3"/>
      <c r="C270"/>
      <c r="D270"/>
      <c r="E270"/>
      <c r="F270"/>
      <c r="G270"/>
      <c r="P270" s="2"/>
    </row>
    <row r="271" spans="1:16" ht="12.75" hidden="1">
      <c r="A271" s="36" t="s">
        <v>253</v>
      </c>
      <c r="B271" t="s">
        <v>92</v>
      </c>
      <c r="C271" t="s">
        <v>93</v>
      </c>
      <c r="D271"/>
      <c r="E271"/>
      <c r="G271" s="2">
        <f>-C259-C265</f>
        <v>1699.4232512454028</v>
      </c>
      <c r="P271" s="2"/>
    </row>
    <row r="272" spans="1:16" ht="12.75" hidden="1">
      <c r="A272" s="3"/>
      <c r="B272" t="s">
        <v>94</v>
      </c>
      <c r="C272" t="s">
        <v>95</v>
      </c>
      <c r="D272"/>
      <c r="E272"/>
      <c r="F272" s="2">
        <f>+G271</f>
        <v>1699.4232512454028</v>
      </c>
      <c r="P272" s="2"/>
    </row>
    <row r="273" spans="1:16" ht="12.75" hidden="1">
      <c r="A273" s="3"/>
      <c r="C273" t="s">
        <v>96</v>
      </c>
      <c r="D273"/>
      <c r="E273"/>
      <c r="F273"/>
      <c r="P273" s="2"/>
    </row>
    <row r="274" spans="1:16" ht="12.75" hidden="1">
      <c r="A274" s="3"/>
      <c r="C274" t="s">
        <v>251</v>
      </c>
      <c r="D274"/>
      <c r="E274"/>
      <c r="F274"/>
      <c r="P274" s="2"/>
    </row>
    <row r="275" spans="1:16" ht="9.75" customHeight="1" hidden="1">
      <c r="A275" s="2"/>
      <c r="B275" s="2"/>
      <c r="E275"/>
      <c r="F275"/>
      <c r="P275" s="2"/>
    </row>
    <row r="276" spans="1:16" ht="12.75" hidden="1">
      <c r="A276" s="36" t="s">
        <v>253</v>
      </c>
      <c r="B276" t="s">
        <v>94</v>
      </c>
      <c r="C276" t="s">
        <v>173</v>
      </c>
      <c r="D276"/>
      <c r="E276"/>
      <c r="G276" s="2">
        <f>+E281</f>
        <v>1078.2547525143245</v>
      </c>
      <c r="H276"/>
      <c r="I276"/>
      <c r="P276" s="2"/>
    </row>
    <row r="277" spans="2:16" ht="12.75" hidden="1">
      <c r="B277" t="s">
        <v>174</v>
      </c>
      <c r="C277" t="s">
        <v>175</v>
      </c>
      <c r="D277"/>
      <c r="E277"/>
      <c r="F277" s="2">
        <f>+G276</f>
        <v>1078.2547525143245</v>
      </c>
      <c r="H277"/>
      <c r="P277" s="2"/>
    </row>
    <row r="278" spans="3:16" ht="12.75" hidden="1">
      <c r="C278" t="s">
        <v>252</v>
      </c>
      <c r="D278"/>
      <c r="E278"/>
      <c r="F278"/>
      <c r="G278"/>
      <c r="H278"/>
      <c r="P278" s="2"/>
    </row>
    <row r="279" spans="3:16" ht="9.75" customHeight="1" hidden="1">
      <c r="C279" s="62" t="s">
        <v>176</v>
      </c>
      <c r="D279" s="62"/>
      <c r="E279" s="54">
        <f>+G271</f>
        <v>1699.4232512454028</v>
      </c>
      <c r="F279"/>
      <c r="G279"/>
      <c r="H279"/>
      <c r="I279"/>
      <c r="P279" s="2"/>
    </row>
    <row r="280" spans="3:16" ht="9.75" customHeight="1" hidden="1">
      <c r="C280" s="62" t="s">
        <v>177</v>
      </c>
      <c r="D280" s="62"/>
      <c r="E280" s="63">
        <f>+E279/7.25*2.65</f>
        <v>621.1684987310782</v>
      </c>
      <c r="F280"/>
      <c r="G280"/>
      <c r="H280"/>
      <c r="I280"/>
      <c r="P280" s="2"/>
    </row>
    <row r="281" spans="3:16" ht="9.75" customHeight="1" hidden="1">
      <c r="C281" s="62"/>
      <c r="D281" s="62"/>
      <c r="E281" s="64">
        <f>+E279-E280</f>
        <v>1078.2547525143245</v>
      </c>
      <c r="F281"/>
      <c r="G281"/>
      <c r="H281"/>
      <c r="I281"/>
      <c r="P281" s="2"/>
    </row>
    <row r="282" spans="3:16" ht="12.75" hidden="1">
      <c r="C282"/>
      <c r="D282"/>
      <c r="E282" s="25"/>
      <c r="F282"/>
      <c r="G282"/>
      <c r="H282"/>
      <c r="I282"/>
      <c r="P282" s="2"/>
    </row>
    <row r="283" spans="3:16" ht="12.75" hidden="1">
      <c r="C283"/>
      <c r="D283"/>
      <c r="E283" s="25"/>
      <c r="F283"/>
      <c r="G283"/>
      <c r="H283"/>
      <c r="I283"/>
      <c r="P283" s="2"/>
    </row>
    <row r="284" spans="2:16" ht="12.75" hidden="1">
      <c r="B284" t="s">
        <v>245</v>
      </c>
      <c r="C284" s="2">
        <f>+C192</f>
        <v>344521.9227082713</v>
      </c>
      <c r="D284"/>
      <c r="E284" s="25"/>
      <c r="F284"/>
      <c r="G284"/>
      <c r="H284"/>
      <c r="I284"/>
      <c r="P284" s="2"/>
    </row>
    <row r="285" spans="2:16" ht="12.75" hidden="1">
      <c r="B285" t="s">
        <v>246</v>
      </c>
      <c r="C285" s="2">
        <f>+C194+C202+C210</f>
        <v>-403070.603770938</v>
      </c>
      <c r="D285"/>
      <c r="E285" s="25"/>
      <c r="F285"/>
      <c r="G285"/>
      <c r="H285"/>
      <c r="I285"/>
      <c r="P285" s="2"/>
    </row>
    <row r="286" spans="2:16" ht="12.75" hidden="1">
      <c r="B286" t="s">
        <v>247</v>
      </c>
      <c r="C286" s="2">
        <f>+C193+C201+C209</f>
        <v>0</v>
      </c>
      <c r="D286"/>
      <c r="E286" s="25"/>
      <c r="F286"/>
      <c r="G286"/>
      <c r="H286"/>
      <c r="I286"/>
      <c r="P286" s="2"/>
    </row>
    <row r="287" spans="2:16" ht="12.75" hidden="1">
      <c r="B287" t="s">
        <v>248</v>
      </c>
      <c r="C287" s="2">
        <f>+C228</f>
        <v>-41221</v>
      </c>
      <c r="D287"/>
      <c r="E287" s="25"/>
      <c r="F287"/>
      <c r="G287"/>
      <c r="H287"/>
      <c r="I287"/>
      <c r="P287" s="2"/>
    </row>
    <row r="288" spans="2:16" ht="12.75" hidden="1">
      <c r="B288" t="s">
        <v>149</v>
      </c>
      <c r="C288" s="2">
        <f>+D231</f>
        <v>1726.3228522604763</v>
      </c>
      <c r="D288"/>
      <c r="E288" s="25"/>
      <c r="F288"/>
      <c r="G288"/>
      <c r="H288"/>
      <c r="I288"/>
      <c r="P288" s="2"/>
    </row>
    <row r="289" spans="2:16" ht="13.5" hidden="1" thickBot="1">
      <c r="B289" t="s">
        <v>249</v>
      </c>
      <c r="C289" s="26">
        <f>SUM(C284:C288)</f>
        <v>-98043.35821040622</v>
      </c>
      <c r="D289"/>
      <c r="E289" s="25"/>
      <c r="F289"/>
      <c r="G289"/>
      <c r="H289"/>
      <c r="I289"/>
      <c r="P289" s="2"/>
    </row>
    <row r="290" spans="1:16" ht="12.75">
      <c r="A290" t="s">
        <v>190</v>
      </c>
      <c r="D290" s="33" t="s">
        <v>260</v>
      </c>
      <c r="E290" s="1" t="s">
        <v>196</v>
      </c>
      <c r="F290"/>
      <c r="G290"/>
      <c r="H290"/>
      <c r="I290"/>
      <c r="P290" s="2"/>
    </row>
    <row r="291" spans="1:16" ht="12.75">
      <c r="A291" t="s">
        <v>228</v>
      </c>
      <c r="D291">
        <v>0</v>
      </c>
      <c r="E291" s="2">
        <f>+C192</f>
        <v>344521.9227082713</v>
      </c>
      <c r="F291"/>
      <c r="G291" s="2">
        <f>+C192</f>
        <v>344521.9227082713</v>
      </c>
      <c r="H291"/>
      <c r="I291"/>
      <c r="P291" s="2"/>
    </row>
    <row r="292" spans="1:16" ht="12.75">
      <c r="A292" t="s">
        <v>191</v>
      </c>
      <c r="C292" s="54"/>
      <c r="D292" s="2">
        <f>102214.25*24</f>
        <v>2453142</v>
      </c>
      <c r="E292" s="2">
        <v>0</v>
      </c>
      <c r="F292"/>
      <c r="G292"/>
      <c r="H292"/>
      <c r="I292"/>
      <c r="P292" s="2"/>
    </row>
    <row r="293" spans="1:16" ht="12.75">
      <c r="A293" t="s">
        <v>194</v>
      </c>
      <c r="C293" s="54"/>
      <c r="D293" s="2">
        <f>+C228+C127</f>
        <v>-50515</v>
      </c>
      <c r="E293" s="2">
        <f>+C228</f>
        <v>-41221</v>
      </c>
      <c r="F293" s="69"/>
      <c r="G293"/>
      <c r="H293"/>
      <c r="I293"/>
      <c r="P293" s="2"/>
    </row>
    <row r="294" spans="1:16" ht="12.75">
      <c r="A294" t="s">
        <v>192</v>
      </c>
      <c r="D294" s="2">
        <f>+D266</f>
        <v>37088.16932672396</v>
      </c>
      <c r="E294" s="2">
        <f>+D267</f>
        <v>-3399.806299037132</v>
      </c>
      <c r="F294" s="2"/>
      <c r="G294"/>
      <c r="H294"/>
      <c r="I294"/>
      <c r="P294" s="2"/>
    </row>
    <row r="295" spans="1:16" ht="12.75">
      <c r="A295" t="s">
        <v>193</v>
      </c>
      <c r="D295" s="2">
        <f>-G266</f>
        <v>-2542884.6566884276</v>
      </c>
      <c r="E295" s="2">
        <f>-G194-G210-G202</f>
        <v>-403070.603770938</v>
      </c>
      <c r="F295"/>
      <c r="G295" s="68"/>
      <c r="H295"/>
      <c r="I295"/>
      <c r="P295" s="2"/>
    </row>
    <row r="296" spans="1:16" ht="13.5" thickBot="1">
      <c r="A296" t="s">
        <v>69</v>
      </c>
      <c r="D296" s="26">
        <f>SUM(D291:D295)</f>
        <v>-103169.48736170353</v>
      </c>
      <c r="E296" s="26">
        <f>SUM(E291:E295)</f>
        <v>-103169.48736170382</v>
      </c>
      <c r="F296" s="2"/>
      <c r="G296"/>
      <c r="H296"/>
      <c r="I296"/>
      <c r="P296" s="2"/>
    </row>
    <row r="297" spans="4:16" ht="13.5" thickTop="1">
      <c r="D297" s="25"/>
      <c r="E297" s="25"/>
      <c r="F297"/>
      <c r="G297"/>
      <c r="H297"/>
      <c r="I297"/>
      <c r="P297" s="2"/>
    </row>
    <row r="298" spans="1:16" ht="12.75">
      <c r="A298" s="61">
        <v>38353</v>
      </c>
      <c r="B298" t="s">
        <v>225</v>
      </c>
      <c r="C298" s="2">
        <f>+C266</f>
        <v>-103169.48736170385</v>
      </c>
      <c r="D298" s="2">
        <f>+D266</f>
        <v>37088.16932672396</v>
      </c>
      <c r="E298" s="2">
        <f>+E266</f>
        <v>-140257.6566884278</v>
      </c>
      <c r="F298" s="2">
        <f>+F266</f>
        <v>-103169.48736170385</v>
      </c>
      <c r="G298" s="2">
        <f>+G266</f>
        <v>2542884.6566884276</v>
      </c>
      <c r="H298"/>
      <c r="I298"/>
      <c r="P298" s="2"/>
    </row>
    <row r="299" spans="1:16" ht="12.75">
      <c r="A299" s="61"/>
      <c r="B299" t="s">
        <v>235</v>
      </c>
      <c r="C299" s="2">
        <v>0</v>
      </c>
      <c r="E299" s="2">
        <v>0</v>
      </c>
      <c r="F299" s="25"/>
      <c r="H299"/>
      <c r="I299"/>
      <c r="P299" s="2"/>
    </row>
    <row r="300" spans="2:16" ht="12.75">
      <c r="B300" t="s">
        <v>172</v>
      </c>
      <c r="C300" s="2">
        <f>+E298*0.0725/365*31</f>
        <v>-863.6413244034013</v>
      </c>
      <c r="D300" s="2">
        <f>+C300</f>
        <v>-863.6413244034013</v>
      </c>
      <c r="E300" s="2">
        <v>0</v>
      </c>
      <c r="F300" s="2"/>
      <c r="H300"/>
      <c r="I300"/>
      <c r="P300" s="2"/>
    </row>
    <row r="301" spans="2:16" ht="13.5" thickBot="1">
      <c r="B301" t="s">
        <v>242</v>
      </c>
      <c r="C301" s="26">
        <f>SUM(C298:C300)</f>
        <v>-104033.12868610726</v>
      </c>
      <c r="D301" s="26">
        <f>SUM(D298:D300)</f>
        <v>36224.528002320556</v>
      </c>
      <c r="E301" s="26">
        <f>SUM(E298:E300)</f>
        <v>-140257.6566884278</v>
      </c>
      <c r="F301" s="26">
        <f>+E301+D301</f>
        <v>-104033.12868610726</v>
      </c>
      <c r="G301" s="26">
        <f>SUM(G298:G300)</f>
        <v>2542884.6566884276</v>
      </c>
      <c r="H301"/>
      <c r="I301"/>
      <c r="P301" s="2"/>
    </row>
    <row r="302" spans="3:16" ht="13.5" thickTop="1">
      <c r="C302" s="52" t="s">
        <v>170</v>
      </c>
      <c r="D302" s="2">
        <f>+D300+D289</f>
        <v>-863.6413244034013</v>
      </c>
      <c r="H302"/>
      <c r="I302"/>
      <c r="P302" s="2"/>
    </row>
    <row r="303" spans="3:16" ht="12.75">
      <c r="C303" s="25"/>
      <c r="D303"/>
      <c r="E303" s="25"/>
      <c r="F303"/>
      <c r="G303"/>
      <c r="H303"/>
      <c r="I303"/>
      <c r="P303" s="2"/>
    </row>
    <row r="304" spans="1:16" ht="12.75">
      <c r="A304" s="61">
        <v>38385</v>
      </c>
      <c r="B304" t="s">
        <v>225</v>
      </c>
      <c r="C304" s="2">
        <f>+C301</f>
        <v>-104033.12868610726</v>
      </c>
      <c r="D304" s="2">
        <f>+D301</f>
        <v>36224.528002320556</v>
      </c>
      <c r="E304" s="2">
        <f>+E301</f>
        <v>-140257.6566884278</v>
      </c>
      <c r="F304" s="2">
        <f>+F301</f>
        <v>-104033.12868610726</v>
      </c>
      <c r="G304" s="2">
        <f>+G301</f>
        <v>2542884.6566884276</v>
      </c>
      <c r="H304"/>
      <c r="I304"/>
      <c r="P304" s="2"/>
    </row>
    <row r="305" spans="1:16" ht="12.75">
      <c r="A305" s="61"/>
      <c r="B305" t="s">
        <v>235</v>
      </c>
      <c r="C305" s="2">
        <v>0</v>
      </c>
      <c r="E305" s="2">
        <v>0</v>
      </c>
      <c r="F305" s="25"/>
      <c r="H305"/>
      <c r="I305"/>
      <c r="P305" s="2"/>
    </row>
    <row r="306" spans="2:16" ht="12.75">
      <c r="B306" t="s">
        <v>172</v>
      </c>
      <c r="C306" s="2">
        <f>+E304*0.0725/365*28</f>
        <v>-780.0631317192012</v>
      </c>
      <c r="D306" s="2">
        <f>+C306</f>
        <v>-780.0631317192012</v>
      </c>
      <c r="E306" s="2">
        <v>0</v>
      </c>
      <c r="F306" s="2"/>
      <c r="H306"/>
      <c r="I306"/>
      <c r="P306" s="2"/>
    </row>
    <row r="307" spans="2:16" ht="13.5" thickBot="1">
      <c r="B307" t="s">
        <v>242</v>
      </c>
      <c r="C307" s="26">
        <f>SUM(C304:C306)</f>
        <v>-104813.19181782646</v>
      </c>
      <c r="D307" s="26">
        <f>SUM(D304:D306)</f>
        <v>35444.464870601354</v>
      </c>
      <c r="E307" s="26">
        <f>SUM(E304:E306)</f>
        <v>-140257.6566884278</v>
      </c>
      <c r="F307" s="26">
        <f>+E307+D307</f>
        <v>-104813.19181782646</v>
      </c>
      <c r="G307" s="26">
        <f>SUM(G304:G306)</f>
        <v>2542884.6566884276</v>
      </c>
      <c r="H307"/>
      <c r="I307"/>
      <c r="P307" s="2"/>
    </row>
    <row r="308" spans="3:16" ht="13.5" thickTop="1">
      <c r="C308" s="52" t="s">
        <v>170</v>
      </c>
      <c r="D308" s="2">
        <f>+D306+D302</f>
        <v>-1643.7044561226026</v>
      </c>
      <c r="H308"/>
      <c r="I308"/>
      <c r="P308" s="2"/>
    </row>
    <row r="309" spans="3:16" ht="12.75">
      <c r="C309" s="25"/>
      <c r="D309"/>
      <c r="E309" s="25"/>
      <c r="F309"/>
      <c r="G309"/>
      <c r="H309"/>
      <c r="I309"/>
      <c r="P309" s="2"/>
    </row>
    <row r="310" spans="1:16" ht="12.75">
      <c r="A310" s="61">
        <v>38414</v>
      </c>
      <c r="B310" t="s">
        <v>225</v>
      </c>
      <c r="C310" s="2">
        <f>+C307</f>
        <v>-104813.19181782646</v>
      </c>
      <c r="D310" s="2">
        <f>+D307</f>
        <v>35444.464870601354</v>
      </c>
      <c r="E310" s="2">
        <f>+E307</f>
        <v>-140257.6566884278</v>
      </c>
      <c r="F310" s="2">
        <f>+F307</f>
        <v>-104813.19181782646</v>
      </c>
      <c r="G310" s="2">
        <f>+G307</f>
        <v>2542884.6566884276</v>
      </c>
      <c r="H310"/>
      <c r="I310"/>
      <c r="P310" s="2"/>
    </row>
    <row r="311" spans="1:16" ht="12.75">
      <c r="A311" s="61"/>
      <c r="B311" t="s">
        <v>235</v>
      </c>
      <c r="C311" s="2">
        <v>0</v>
      </c>
      <c r="E311" s="2">
        <v>0</v>
      </c>
      <c r="F311" s="25"/>
      <c r="H311"/>
      <c r="I311"/>
      <c r="P311" s="2"/>
    </row>
    <row r="312" spans="2:16" ht="12.75">
      <c r="B312" t="s">
        <v>172</v>
      </c>
      <c r="C312" s="2">
        <f>+E310*0.0725/365*28</f>
        <v>-780.0631317192012</v>
      </c>
      <c r="D312" s="2">
        <f>+C312</f>
        <v>-780.0631317192012</v>
      </c>
      <c r="E312" s="2">
        <v>0</v>
      </c>
      <c r="F312" s="2"/>
      <c r="H312"/>
      <c r="I312"/>
      <c r="P312" s="2"/>
    </row>
    <row r="313" spans="2:16" ht="13.5" thickBot="1">
      <c r="B313" t="s">
        <v>242</v>
      </c>
      <c r="C313" s="26">
        <f>SUM(C310:C312)</f>
        <v>-105593.25494954566</v>
      </c>
      <c r="D313" s="26">
        <f>SUM(D310:D312)</f>
        <v>34664.40173888215</v>
      </c>
      <c r="E313" s="26">
        <f>SUM(E310:E312)</f>
        <v>-140257.6566884278</v>
      </c>
      <c r="F313" s="26">
        <f>+E313+D313</f>
        <v>-105593.25494954566</v>
      </c>
      <c r="G313" s="26">
        <f>SUM(G310:G312)</f>
        <v>2542884.6566884276</v>
      </c>
      <c r="H313"/>
      <c r="I313"/>
      <c r="P313" s="2"/>
    </row>
    <row r="314" spans="3:16" ht="13.5" thickTop="1">
      <c r="C314" s="52" t="s">
        <v>170</v>
      </c>
      <c r="D314" s="2">
        <f>+D312+D308</f>
        <v>-2423.767587841804</v>
      </c>
      <c r="H314"/>
      <c r="I314"/>
      <c r="P314" s="2"/>
    </row>
    <row r="315" spans="3:16" ht="12.75">
      <c r="C315" s="52"/>
      <c r="H315"/>
      <c r="I315"/>
      <c r="P315" s="2"/>
    </row>
    <row r="316" spans="1:16" ht="12.75">
      <c r="A316" s="61">
        <v>38446</v>
      </c>
      <c r="B316" t="s">
        <v>225</v>
      </c>
      <c r="C316" s="2">
        <f>+C313</f>
        <v>-105593.25494954566</v>
      </c>
      <c r="D316" s="2">
        <f>+D313</f>
        <v>34664.40173888215</v>
      </c>
      <c r="E316" s="2">
        <f>+E313</f>
        <v>-140257.6566884278</v>
      </c>
      <c r="F316" s="2">
        <f>+F313</f>
        <v>-105593.25494954566</v>
      </c>
      <c r="G316" s="2">
        <f>+G313</f>
        <v>2542884.6566884276</v>
      </c>
      <c r="H316"/>
      <c r="I316"/>
      <c r="P316" s="2"/>
    </row>
    <row r="317" spans="1:16" ht="12.75">
      <c r="A317" s="61"/>
      <c r="B317" t="s">
        <v>235</v>
      </c>
      <c r="C317" s="2">
        <v>0</v>
      </c>
      <c r="E317" s="2">
        <v>0</v>
      </c>
      <c r="F317" s="25"/>
      <c r="H317"/>
      <c r="I317"/>
      <c r="P317" s="2"/>
    </row>
    <row r="318" spans="2:16" ht="12.75">
      <c r="B318" t="s">
        <v>172</v>
      </c>
      <c r="C318" s="2">
        <f>+E316*0.0725/365*30</f>
        <v>-835.7819268420013</v>
      </c>
      <c r="D318" s="2">
        <f>+C318</f>
        <v>-835.7819268420013</v>
      </c>
      <c r="E318" s="2">
        <v>0</v>
      </c>
      <c r="F318" s="2"/>
      <c r="H318"/>
      <c r="I318"/>
      <c r="P318" s="2"/>
    </row>
    <row r="319" spans="2:16" ht="13.5" thickBot="1">
      <c r="B319" t="s">
        <v>242</v>
      </c>
      <c r="C319" s="26">
        <f>SUM(C316:C318)</f>
        <v>-106429.03687638766</v>
      </c>
      <c r="D319" s="26">
        <f>SUM(D316:D318)</f>
        <v>33828.61981204015</v>
      </c>
      <c r="E319" s="26">
        <f>SUM(E316:E318)</f>
        <v>-140257.6566884278</v>
      </c>
      <c r="F319" s="26">
        <f>+E319+D319</f>
        <v>-106429.03687638766</v>
      </c>
      <c r="G319" s="26">
        <f>SUM(G316:G318)</f>
        <v>2542884.6566884276</v>
      </c>
      <c r="H319"/>
      <c r="I319"/>
      <c r="P319" s="2"/>
    </row>
    <row r="320" spans="3:16" ht="13.5" thickTop="1">
      <c r="C320" s="52" t="s">
        <v>170</v>
      </c>
      <c r="D320" s="2">
        <f>+D318+D314</f>
        <v>-3259.5495146838052</v>
      </c>
      <c r="H320"/>
      <c r="I320"/>
      <c r="P320" s="2"/>
    </row>
    <row r="321" spans="3:16" ht="12.75">
      <c r="C321" s="52"/>
      <c r="H321"/>
      <c r="I321"/>
      <c r="P321" s="2"/>
    </row>
    <row r="322" spans="1:16" ht="12.75">
      <c r="A322" s="61">
        <v>38477</v>
      </c>
      <c r="B322" t="s">
        <v>225</v>
      </c>
      <c r="C322" s="2">
        <f>+C319</f>
        <v>-106429.03687638766</v>
      </c>
      <c r="D322" s="2">
        <f>+D319</f>
        <v>33828.61981204015</v>
      </c>
      <c r="E322" s="2">
        <f>+E319</f>
        <v>-140257.6566884278</v>
      </c>
      <c r="F322" s="2">
        <f>+F319</f>
        <v>-106429.03687638766</v>
      </c>
      <c r="G322" s="2">
        <f>+G319</f>
        <v>2542884.6566884276</v>
      </c>
      <c r="H322"/>
      <c r="I322"/>
      <c r="P322" s="2"/>
    </row>
    <row r="323" spans="1:16" ht="12.75">
      <c r="A323" s="61"/>
      <c r="B323" t="s">
        <v>235</v>
      </c>
      <c r="C323" s="2">
        <v>0</v>
      </c>
      <c r="E323" s="2">
        <v>0</v>
      </c>
      <c r="F323" s="25"/>
      <c r="H323"/>
      <c r="I323"/>
      <c r="P323" s="2"/>
    </row>
    <row r="324" spans="2:16" ht="12.75">
      <c r="B324" t="s">
        <v>172</v>
      </c>
      <c r="C324" s="2">
        <f>+E322*0.0725/365*31</f>
        <v>-863.6413244034013</v>
      </c>
      <c r="D324" s="2">
        <f>+C324</f>
        <v>-863.6413244034013</v>
      </c>
      <c r="E324" s="2">
        <v>0</v>
      </c>
      <c r="F324" s="2"/>
      <c r="H324"/>
      <c r="I324"/>
      <c r="P324" s="2"/>
    </row>
    <row r="325" spans="2:16" ht="13.5" thickBot="1">
      <c r="B325" t="s">
        <v>242</v>
      </c>
      <c r="C325" s="26">
        <f>SUM(C322:C324)</f>
        <v>-107292.67820079107</v>
      </c>
      <c r="D325" s="26">
        <f>SUM(D322:D324)</f>
        <v>32964.97848763675</v>
      </c>
      <c r="E325" s="26">
        <f>SUM(E322:E324)</f>
        <v>-140257.6566884278</v>
      </c>
      <c r="F325" s="26">
        <f>+E325+D325</f>
        <v>-107292.67820079107</v>
      </c>
      <c r="G325" s="26">
        <f>SUM(G322:G324)</f>
        <v>2542884.6566884276</v>
      </c>
      <c r="H325"/>
      <c r="I325"/>
      <c r="P325" s="2"/>
    </row>
    <row r="326" spans="3:16" ht="13.5" thickTop="1">
      <c r="C326" s="52" t="s">
        <v>170</v>
      </c>
      <c r="D326" s="2">
        <f>+D324+D320</f>
        <v>-4123.190839087207</v>
      </c>
      <c r="H326"/>
      <c r="I326"/>
      <c r="P326" s="2"/>
    </row>
    <row r="327" spans="3:16" ht="12.75">
      <c r="C327" s="52"/>
      <c r="H327"/>
      <c r="I327"/>
      <c r="P327" s="2"/>
    </row>
    <row r="328" spans="1:16" ht="12.75">
      <c r="A328" s="61">
        <v>38509</v>
      </c>
      <c r="B328" t="s">
        <v>225</v>
      </c>
      <c r="C328" s="2">
        <f>+C325</f>
        <v>-107292.67820079107</v>
      </c>
      <c r="D328" s="2">
        <f>+D325</f>
        <v>32964.97848763675</v>
      </c>
      <c r="E328" s="2">
        <f>+E325</f>
        <v>-140257.6566884278</v>
      </c>
      <c r="F328" s="2">
        <f>+F325</f>
        <v>-107292.67820079107</v>
      </c>
      <c r="G328" s="2">
        <f>+G325</f>
        <v>2542884.6566884276</v>
      </c>
      <c r="H328"/>
      <c r="I328"/>
      <c r="P328" s="2"/>
    </row>
    <row r="329" spans="1:16" ht="12.75">
      <c r="A329" s="61"/>
      <c r="B329" t="s">
        <v>235</v>
      </c>
      <c r="C329" s="2">
        <v>0</v>
      </c>
      <c r="E329" s="2">
        <v>0</v>
      </c>
      <c r="F329" s="25"/>
      <c r="H329"/>
      <c r="I329"/>
      <c r="P329" s="2"/>
    </row>
    <row r="330" spans="2:16" ht="12.75">
      <c r="B330" t="s">
        <v>172</v>
      </c>
      <c r="C330" s="2">
        <f>+E328*0.0725/365*30</f>
        <v>-835.7819268420013</v>
      </c>
      <c r="D330" s="2">
        <f>+C330</f>
        <v>-835.7819268420013</v>
      </c>
      <c r="E330" s="2">
        <v>0</v>
      </c>
      <c r="F330" s="2"/>
      <c r="H330"/>
      <c r="I330"/>
      <c r="P330" s="2"/>
    </row>
    <row r="331" spans="2:16" ht="13.5" thickBot="1">
      <c r="B331" t="s">
        <v>242</v>
      </c>
      <c r="C331" s="26">
        <f>SUM(C328:C330)</f>
        <v>-108128.46012763306</v>
      </c>
      <c r="D331" s="26">
        <f>SUM(D328:D330)</f>
        <v>32129.196560794746</v>
      </c>
      <c r="E331" s="26">
        <f>SUM(E328:E330)</f>
        <v>-140257.6566884278</v>
      </c>
      <c r="F331" s="26">
        <f>+E331+D331</f>
        <v>-108128.46012763306</v>
      </c>
      <c r="G331" s="26">
        <f>SUM(G328:G330)</f>
        <v>2542884.6566884276</v>
      </c>
      <c r="H331"/>
      <c r="I331"/>
      <c r="P331" s="2"/>
    </row>
    <row r="332" spans="3:16" ht="13.5" thickTop="1">
      <c r="C332" s="52" t="s">
        <v>170</v>
      </c>
      <c r="D332" s="2">
        <f>+D330+D326</f>
        <v>-4958.972765929208</v>
      </c>
      <c r="H332"/>
      <c r="I332"/>
      <c r="P332" s="2"/>
    </row>
    <row r="333" spans="3:16" ht="12.75">
      <c r="C333" s="25"/>
      <c r="D333"/>
      <c r="E333" s="25"/>
      <c r="F333"/>
      <c r="G333"/>
      <c r="H333"/>
      <c r="I333"/>
      <c r="P333" s="2"/>
    </row>
    <row r="334" spans="1:16" ht="12.75">
      <c r="A334" s="61">
        <v>38540</v>
      </c>
      <c r="B334" t="s">
        <v>225</v>
      </c>
      <c r="C334" s="2">
        <f>+C331</f>
        <v>-108128.46012763306</v>
      </c>
      <c r="D334" s="2">
        <f>+D331</f>
        <v>32129.196560794746</v>
      </c>
      <c r="E334" s="2">
        <f>+E331</f>
        <v>-140257.6566884278</v>
      </c>
      <c r="F334" s="2">
        <f>+F331</f>
        <v>-108128.46012763306</v>
      </c>
      <c r="G334" s="2">
        <f>+G331</f>
        <v>2542884.6566884276</v>
      </c>
      <c r="H334"/>
      <c r="I334"/>
      <c r="P334" s="2"/>
    </row>
    <row r="335" spans="1:16" ht="12.75">
      <c r="A335" s="61"/>
      <c r="B335" t="s">
        <v>235</v>
      </c>
      <c r="C335" s="2">
        <v>0</v>
      </c>
      <c r="E335" s="2">
        <v>0</v>
      </c>
      <c r="F335" s="25"/>
      <c r="H335"/>
      <c r="I335"/>
      <c r="P335" s="2"/>
    </row>
    <row r="336" spans="2:16" ht="12.75">
      <c r="B336" t="s">
        <v>172</v>
      </c>
      <c r="C336" s="2">
        <f>+E334*0.0725/365*31</f>
        <v>-863.6413244034013</v>
      </c>
      <c r="D336" s="2">
        <f>+C336</f>
        <v>-863.6413244034013</v>
      </c>
      <c r="E336" s="2">
        <v>0</v>
      </c>
      <c r="F336" s="2"/>
      <c r="H336"/>
      <c r="I336"/>
      <c r="P336" s="2"/>
    </row>
    <row r="337" spans="2:16" ht="13.5" thickBot="1">
      <c r="B337" t="s">
        <v>242</v>
      </c>
      <c r="C337" s="26">
        <f>SUM(C334:C336)</f>
        <v>-108992.10145203647</v>
      </c>
      <c r="D337" s="26">
        <f>SUM(D334:D336)</f>
        <v>31265.555236391345</v>
      </c>
      <c r="E337" s="26">
        <f>SUM(E334:E336)</f>
        <v>-140257.6566884278</v>
      </c>
      <c r="F337" s="26">
        <f>+E337+D337</f>
        <v>-108992.10145203647</v>
      </c>
      <c r="G337" s="26">
        <f>SUM(G334:G336)</f>
        <v>2542884.6566884276</v>
      </c>
      <c r="H337"/>
      <c r="I337"/>
      <c r="P337" s="2"/>
    </row>
    <row r="338" spans="3:16" ht="13.5" thickTop="1">
      <c r="C338" s="52" t="s">
        <v>170</v>
      </c>
      <c r="D338" s="2">
        <f>+D336+D332</f>
        <v>-5822.6140903326095</v>
      </c>
      <c r="H338"/>
      <c r="I338"/>
      <c r="P338" s="2"/>
    </row>
    <row r="339" spans="3:16" ht="12.75">
      <c r="C339" s="25"/>
      <c r="D339"/>
      <c r="E339" s="25"/>
      <c r="F339"/>
      <c r="G339"/>
      <c r="H339"/>
      <c r="I339"/>
      <c r="P339" s="2"/>
    </row>
    <row r="340" spans="1:16" ht="12.75">
      <c r="A340" s="61">
        <v>38572</v>
      </c>
      <c r="B340" t="s">
        <v>225</v>
      </c>
      <c r="C340" s="2">
        <f>+C337</f>
        <v>-108992.10145203647</v>
      </c>
      <c r="D340" s="2">
        <f>+D337</f>
        <v>31265.555236391345</v>
      </c>
      <c r="E340" s="2">
        <f>+E337</f>
        <v>-140257.6566884278</v>
      </c>
      <c r="F340" s="2">
        <f>+F337</f>
        <v>-108992.10145203647</v>
      </c>
      <c r="G340" s="2">
        <f>+G337</f>
        <v>2542884.6566884276</v>
      </c>
      <c r="H340"/>
      <c r="I340"/>
      <c r="P340" s="2"/>
    </row>
    <row r="341" spans="1:16" ht="12.75">
      <c r="A341" s="61"/>
      <c r="B341" t="s">
        <v>235</v>
      </c>
      <c r="C341" s="2">
        <v>0</v>
      </c>
      <c r="E341" s="2">
        <v>0</v>
      </c>
      <c r="F341" s="25"/>
      <c r="H341"/>
      <c r="I341"/>
      <c r="P341" s="2"/>
    </row>
    <row r="342" spans="2:16" ht="12.75">
      <c r="B342" t="s">
        <v>172</v>
      </c>
      <c r="C342" s="2">
        <f>+E340*0.0725/365*31</f>
        <v>-863.6413244034013</v>
      </c>
      <c r="D342" s="2">
        <f>+C342</f>
        <v>-863.6413244034013</v>
      </c>
      <c r="E342" s="2">
        <v>0</v>
      </c>
      <c r="F342" s="2"/>
      <c r="H342"/>
      <c r="I342"/>
      <c r="P342" s="2"/>
    </row>
    <row r="343" spans="2:16" ht="13.5" thickBot="1">
      <c r="B343" t="s">
        <v>242</v>
      </c>
      <c r="C343" s="26">
        <f>SUM(C340:C342)</f>
        <v>-109855.74277643987</v>
      </c>
      <c r="D343" s="26">
        <f>SUM(D340:D342)</f>
        <v>30401.913911987944</v>
      </c>
      <c r="E343" s="26">
        <f>SUM(E340:E342)</f>
        <v>-140257.6566884278</v>
      </c>
      <c r="F343" s="26">
        <f>+E343+D343</f>
        <v>-109855.74277643987</v>
      </c>
      <c r="G343" s="26">
        <f>SUM(G340:G342)</f>
        <v>2542884.6566884276</v>
      </c>
      <c r="H343"/>
      <c r="I343"/>
      <c r="P343" s="2"/>
    </row>
    <row r="344" spans="3:16" ht="13.5" thickTop="1">
      <c r="C344" s="52" t="s">
        <v>170</v>
      </c>
      <c r="D344" s="2">
        <f>+D342+D338</f>
        <v>-6686.255414736011</v>
      </c>
      <c r="H344"/>
      <c r="I344"/>
      <c r="P344" s="2"/>
    </row>
    <row r="345" spans="3:16" ht="12.75">
      <c r="C345" s="25"/>
      <c r="D345"/>
      <c r="E345" s="25"/>
      <c r="F345"/>
      <c r="G345"/>
      <c r="H345"/>
      <c r="I345"/>
      <c r="P345" s="2"/>
    </row>
    <row r="346" spans="1:16" ht="12.75">
      <c r="A346" s="61">
        <v>38604</v>
      </c>
      <c r="B346" t="s">
        <v>225</v>
      </c>
      <c r="C346" s="2">
        <f>+C343</f>
        <v>-109855.74277643987</v>
      </c>
      <c r="D346" s="2">
        <f>+D343</f>
        <v>30401.913911987944</v>
      </c>
      <c r="E346" s="2">
        <f>+E343</f>
        <v>-140257.6566884278</v>
      </c>
      <c r="F346" s="2">
        <f>+F343</f>
        <v>-109855.74277643987</v>
      </c>
      <c r="G346" s="2">
        <f>+G343</f>
        <v>2542884.6566884276</v>
      </c>
      <c r="H346"/>
      <c r="I346"/>
      <c r="P346" s="2"/>
    </row>
    <row r="347" spans="1:16" ht="12.75">
      <c r="A347" s="61"/>
      <c r="B347" t="s">
        <v>235</v>
      </c>
      <c r="C347" s="2">
        <v>0</v>
      </c>
      <c r="E347" s="2">
        <v>0</v>
      </c>
      <c r="F347" s="25"/>
      <c r="H347"/>
      <c r="I347"/>
      <c r="P347" s="2"/>
    </row>
    <row r="348" spans="2:16" ht="12.75">
      <c r="B348" t="s">
        <v>172</v>
      </c>
      <c r="C348" s="2">
        <f>+E346*0.0725/365*30</f>
        <v>-835.7819268420013</v>
      </c>
      <c r="D348" s="2">
        <f>+C348</f>
        <v>-835.7819268420013</v>
      </c>
      <c r="E348" s="2">
        <v>0</v>
      </c>
      <c r="F348" s="2"/>
      <c r="H348"/>
      <c r="I348"/>
      <c r="P348" s="2"/>
    </row>
    <row r="349" spans="2:16" ht="13.5" thickBot="1">
      <c r="B349" t="s">
        <v>242</v>
      </c>
      <c r="C349" s="26">
        <f>SUM(C346:C348)</f>
        <v>-110691.52470328187</v>
      </c>
      <c r="D349" s="26">
        <f>SUM(D346:D348)</f>
        <v>29566.13198514594</v>
      </c>
      <c r="E349" s="26">
        <f>SUM(E346:E348)</f>
        <v>-140257.6566884278</v>
      </c>
      <c r="F349" s="26">
        <f>+E349+D349</f>
        <v>-110691.52470328187</v>
      </c>
      <c r="G349" s="26">
        <f>SUM(G346:G348)</f>
        <v>2542884.6566884276</v>
      </c>
      <c r="H349"/>
      <c r="I349"/>
      <c r="P349" s="2"/>
    </row>
    <row r="350" spans="3:16" ht="13.5" thickTop="1">
      <c r="C350" s="52" t="s">
        <v>170</v>
      </c>
      <c r="D350" s="2">
        <f>+D348+D344</f>
        <v>-7522.037341578012</v>
      </c>
      <c r="H350"/>
      <c r="I350"/>
      <c r="P350" s="2"/>
    </row>
    <row r="351" spans="3:16" ht="12.75">
      <c r="C351" s="25"/>
      <c r="D351"/>
      <c r="E351" s="25"/>
      <c r="F351"/>
      <c r="G351"/>
      <c r="H351"/>
      <c r="I351"/>
      <c r="P351" s="2"/>
    </row>
    <row r="352" spans="1:16" ht="12.75">
      <c r="A352" s="61">
        <v>38635</v>
      </c>
      <c r="B352" t="s">
        <v>225</v>
      </c>
      <c r="C352" s="2">
        <f>+C349</f>
        <v>-110691.52470328187</v>
      </c>
      <c r="D352" s="2">
        <f>+D349</f>
        <v>29566.13198514594</v>
      </c>
      <c r="E352" s="2">
        <f>+E349</f>
        <v>-140257.6566884278</v>
      </c>
      <c r="F352" s="2">
        <f>+F349</f>
        <v>-110691.52470328187</v>
      </c>
      <c r="G352" s="2">
        <f>+G349</f>
        <v>2542884.6566884276</v>
      </c>
      <c r="H352"/>
      <c r="I352"/>
      <c r="P352" s="2"/>
    </row>
    <row r="353" spans="1:16" ht="12.75">
      <c r="A353" s="61"/>
      <c r="B353" t="s">
        <v>235</v>
      </c>
      <c r="C353" s="2">
        <v>0</v>
      </c>
      <c r="E353" s="2">
        <v>0</v>
      </c>
      <c r="F353" s="25"/>
      <c r="H353"/>
      <c r="I353"/>
      <c r="P353" s="2"/>
    </row>
    <row r="354" spans="2:16" ht="12.75">
      <c r="B354" t="s">
        <v>172</v>
      </c>
      <c r="C354" s="2">
        <f>+E352*0.0725/365*31</f>
        <v>-863.6413244034013</v>
      </c>
      <c r="D354" s="2">
        <f>+C354</f>
        <v>-863.6413244034013</v>
      </c>
      <c r="E354" s="2">
        <v>0</v>
      </c>
      <c r="F354" s="2"/>
      <c r="H354"/>
      <c r="I354"/>
      <c r="P354" s="2"/>
    </row>
    <row r="355" spans="2:16" ht="13.5" thickBot="1">
      <c r="B355" t="s">
        <v>242</v>
      </c>
      <c r="C355" s="26">
        <f>SUM(C352:C354)</f>
        <v>-111555.16602768528</v>
      </c>
      <c r="D355" s="26">
        <f>SUM(D352:D354)</f>
        <v>28702.49066074254</v>
      </c>
      <c r="E355" s="26">
        <f>SUM(E352:E354)</f>
        <v>-140257.6566884278</v>
      </c>
      <c r="F355" s="26">
        <f>+E355+D355</f>
        <v>-111555.16602768528</v>
      </c>
      <c r="G355" s="26">
        <f>SUM(G352:G354)</f>
        <v>2542884.6566884276</v>
      </c>
      <c r="H355"/>
      <c r="I355"/>
      <c r="P355" s="2"/>
    </row>
    <row r="356" spans="3:16" ht="13.5" thickTop="1">
      <c r="C356" s="52" t="s">
        <v>170</v>
      </c>
      <c r="D356" s="2">
        <f>+D354+D350</f>
        <v>-8385.678665981413</v>
      </c>
      <c r="H356"/>
      <c r="I356"/>
      <c r="P356" s="2"/>
    </row>
    <row r="357" spans="3:16" ht="12.75">
      <c r="C357" s="25"/>
      <c r="D357"/>
      <c r="E357" s="25"/>
      <c r="F357"/>
      <c r="G357"/>
      <c r="H357"/>
      <c r="I357"/>
      <c r="P357" s="2"/>
    </row>
    <row r="358" spans="1:16" ht="12.75">
      <c r="A358" s="61">
        <v>38667</v>
      </c>
      <c r="B358" t="s">
        <v>225</v>
      </c>
      <c r="C358" s="2">
        <f>+C355</f>
        <v>-111555.16602768528</v>
      </c>
      <c r="D358" s="2">
        <f>+D355</f>
        <v>28702.49066074254</v>
      </c>
      <c r="E358" s="2">
        <f>+E355</f>
        <v>-140257.6566884278</v>
      </c>
      <c r="F358" s="2">
        <f>+F355</f>
        <v>-111555.16602768528</v>
      </c>
      <c r="G358" s="2">
        <f>+G355</f>
        <v>2542884.6566884276</v>
      </c>
      <c r="H358"/>
      <c r="I358"/>
      <c r="P358" s="2"/>
    </row>
    <row r="359" spans="1:16" ht="12.75">
      <c r="A359" s="61"/>
      <c r="B359" t="s">
        <v>235</v>
      </c>
      <c r="C359" s="2">
        <v>0</v>
      </c>
      <c r="E359" s="2">
        <v>0</v>
      </c>
      <c r="F359" s="25"/>
      <c r="H359"/>
      <c r="I359"/>
      <c r="P359" s="2"/>
    </row>
    <row r="360" spans="2:16" ht="12.75">
      <c r="B360" t="s">
        <v>172</v>
      </c>
      <c r="C360" s="2">
        <f>+E358*0.0725/365*30</f>
        <v>-835.7819268420013</v>
      </c>
      <c r="D360" s="2">
        <f>+C360</f>
        <v>-835.7819268420013</v>
      </c>
      <c r="E360" s="2">
        <v>0</v>
      </c>
      <c r="F360" s="2"/>
      <c r="H360"/>
      <c r="I360"/>
      <c r="P360" s="2"/>
    </row>
    <row r="361" spans="2:16" ht="13.5" thickBot="1">
      <c r="B361" t="s">
        <v>242</v>
      </c>
      <c r="C361" s="26">
        <f>SUM(C358:C360)</f>
        <v>-112390.94795452728</v>
      </c>
      <c r="D361" s="26">
        <f>SUM(D358:D360)</f>
        <v>27866.708733900537</v>
      </c>
      <c r="E361" s="26">
        <f>SUM(E358:E360)</f>
        <v>-140257.6566884278</v>
      </c>
      <c r="F361" s="26">
        <f>+E361+D361</f>
        <v>-112390.94795452728</v>
      </c>
      <c r="G361" s="26">
        <f>SUM(G358:G360)</f>
        <v>2542884.6566884276</v>
      </c>
      <c r="H361"/>
      <c r="I361"/>
      <c r="P361" s="2"/>
    </row>
    <row r="362" spans="3:16" ht="13.5" thickTop="1">
      <c r="C362" s="52" t="s">
        <v>170</v>
      </c>
      <c r="D362" s="2">
        <f>+D360+D356</f>
        <v>-9221.460592823414</v>
      </c>
      <c r="H362"/>
      <c r="I362"/>
      <c r="P362" s="2"/>
    </row>
    <row r="363" spans="3:16" ht="12.75">
      <c r="C363" s="52"/>
      <c r="H363"/>
      <c r="I363"/>
      <c r="P363" s="2"/>
    </row>
    <row r="364" spans="1:16" ht="12.75">
      <c r="A364" s="61">
        <v>38698</v>
      </c>
      <c r="B364" t="s">
        <v>225</v>
      </c>
      <c r="C364" s="2">
        <f>+C361</f>
        <v>-112390.94795452728</v>
      </c>
      <c r="D364" s="2">
        <f>+D361</f>
        <v>27866.708733900537</v>
      </c>
      <c r="E364" s="2">
        <f>+E361</f>
        <v>-140257.6566884278</v>
      </c>
      <c r="F364" s="2">
        <f>+F361</f>
        <v>-112390.94795452728</v>
      </c>
      <c r="G364" s="2">
        <f>+G361</f>
        <v>2542884.6566884276</v>
      </c>
      <c r="H364"/>
      <c r="I364"/>
      <c r="P364" s="2"/>
    </row>
    <row r="365" spans="2:16" ht="12.75">
      <c r="B365" t="s">
        <v>172</v>
      </c>
      <c r="C365" s="2">
        <f>+E364*0.0725/365*31</f>
        <v>-863.6413244034013</v>
      </c>
      <c r="D365" s="2">
        <f>+C365</f>
        <v>-863.6413244034013</v>
      </c>
      <c r="E365" s="2">
        <v>0</v>
      </c>
      <c r="F365" s="2"/>
      <c r="H365"/>
      <c r="I365"/>
      <c r="P365" s="2"/>
    </row>
    <row r="366" spans="2:16" ht="13.5" thickBot="1">
      <c r="B366" t="s">
        <v>242</v>
      </c>
      <c r="C366" s="26">
        <f>SUM(C364:C365)</f>
        <v>-113254.58927893068</v>
      </c>
      <c r="D366" s="26">
        <f>SUM(D364:D365)</f>
        <v>27003.067409497136</v>
      </c>
      <c r="E366" s="26">
        <f>SUM(E364:E365)</f>
        <v>-140257.6566884278</v>
      </c>
      <c r="F366" s="26">
        <f>+E366+D366</f>
        <v>-113254.58927893068</v>
      </c>
      <c r="G366" s="26">
        <f>SUM(G364:G365)</f>
        <v>2542884.6566884276</v>
      </c>
      <c r="H366"/>
      <c r="I366"/>
      <c r="P366" s="2"/>
    </row>
    <row r="367" spans="3:16" ht="13.5" thickTop="1">
      <c r="C367" s="52" t="s">
        <v>170</v>
      </c>
      <c r="D367" s="2">
        <f>+D365+D362</f>
        <v>-10085.101917226815</v>
      </c>
      <c r="H367"/>
      <c r="I367"/>
      <c r="P367" s="2"/>
    </row>
    <row r="368" spans="1:16" ht="12.75">
      <c r="A368" t="s">
        <v>190</v>
      </c>
      <c r="D368" s="33" t="s">
        <v>260</v>
      </c>
      <c r="E368" s="1" t="s">
        <v>196</v>
      </c>
      <c r="H368"/>
      <c r="I368"/>
      <c r="P368" s="2"/>
    </row>
    <row r="369" spans="1:16" ht="12.75">
      <c r="A369" t="s">
        <v>228</v>
      </c>
      <c r="D369">
        <v>0</v>
      </c>
      <c r="E369" s="2">
        <f>+C298</f>
        <v>-103169.48736170385</v>
      </c>
      <c r="H369"/>
      <c r="I369"/>
      <c r="P369" s="2"/>
    </row>
    <row r="370" spans="1:16" ht="12.75">
      <c r="A370" t="s">
        <v>191</v>
      </c>
      <c r="C370" s="54"/>
      <c r="D370" s="2">
        <f>102214.25*24</f>
        <v>2453142</v>
      </c>
      <c r="E370" s="2">
        <v>0</v>
      </c>
      <c r="H370"/>
      <c r="I370"/>
      <c r="P370" s="2"/>
    </row>
    <row r="371" spans="1:16" ht="12.75">
      <c r="A371" t="s">
        <v>194</v>
      </c>
      <c r="C371" s="54"/>
      <c r="D371" s="2">
        <f>+D293</f>
        <v>-50515</v>
      </c>
      <c r="E371" s="2">
        <v>0</v>
      </c>
      <c r="H371"/>
      <c r="I371"/>
      <c r="P371" s="2"/>
    </row>
    <row r="372" spans="1:16" ht="12.75">
      <c r="A372" t="s">
        <v>192</v>
      </c>
      <c r="D372" s="2">
        <f>+D366</f>
        <v>27003.067409497136</v>
      </c>
      <c r="E372" s="2">
        <f>+D367</f>
        <v>-10085.101917226815</v>
      </c>
      <c r="H372"/>
      <c r="I372"/>
      <c r="P372" s="2"/>
    </row>
    <row r="373" spans="1:16" ht="12.75">
      <c r="A373" t="s">
        <v>193</v>
      </c>
      <c r="D373" s="2">
        <f>-G366</f>
        <v>-2542884.6566884276</v>
      </c>
      <c r="E373" s="2">
        <f>-G272-G288-G280</f>
        <v>0</v>
      </c>
      <c r="H373"/>
      <c r="I373"/>
      <c r="P373" s="2"/>
    </row>
    <row r="374" spans="1:16" ht="13.5" thickBot="1">
      <c r="A374" t="s">
        <v>69</v>
      </c>
      <c r="D374" s="26">
        <f>SUM(D369:D373)</f>
        <v>-113254.58927893033</v>
      </c>
      <c r="E374" s="26">
        <f>SUM(E369:E373)</f>
        <v>-113254.58927893067</v>
      </c>
      <c r="H374"/>
      <c r="I374"/>
      <c r="P374" s="2"/>
    </row>
    <row r="375" spans="4:16" ht="13.5" thickTop="1">
      <c r="D375" s="25"/>
      <c r="E375" s="25"/>
      <c r="H375"/>
      <c r="I375"/>
      <c r="P375" s="2"/>
    </row>
    <row r="376" spans="1:16" ht="12.75">
      <c r="A376" s="61">
        <v>38718</v>
      </c>
      <c r="B376" t="s">
        <v>225</v>
      </c>
      <c r="C376" s="2">
        <f>+C366</f>
        <v>-113254.58927893068</v>
      </c>
      <c r="D376" s="2">
        <f>+D366</f>
        <v>27003.067409497136</v>
      </c>
      <c r="E376" s="2">
        <f>+E366</f>
        <v>-140257.6566884278</v>
      </c>
      <c r="F376" s="2">
        <f>+F366</f>
        <v>-113254.58927893068</v>
      </c>
      <c r="G376" s="2">
        <f>+G366</f>
        <v>2542884.6566884276</v>
      </c>
      <c r="H376"/>
      <c r="I376"/>
      <c r="P376" s="2"/>
    </row>
    <row r="377" spans="2:16" ht="12.75">
      <c r="B377" t="s">
        <v>172</v>
      </c>
      <c r="C377" s="2">
        <f>+E376*0.0725/365*31</f>
        <v>-863.6413244034013</v>
      </c>
      <c r="D377" s="2">
        <f>+C377</f>
        <v>-863.6413244034013</v>
      </c>
      <c r="E377" s="2">
        <v>0</v>
      </c>
      <c r="F377" s="2"/>
      <c r="H377"/>
      <c r="I377"/>
      <c r="P377" s="2"/>
    </row>
    <row r="378" spans="2:16" ht="13.5" thickBot="1">
      <c r="B378" t="s">
        <v>242</v>
      </c>
      <c r="C378" s="26">
        <f>SUM(C376:C377)</f>
        <v>-114118.23060333409</v>
      </c>
      <c r="D378" s="26">
        <f>SUM(D376:D377)</f>
        <v>26139.426085093735</v>
      </c>
      <c r="E378" s="26">
        <f>SUM(E376:E377)</f>
        <v>-140257.6566884278</v>
      </c>
      <c r="F378" s="26">
        <f>+E378+D378</f>
        <v>-114118.23060333409</v>
      </c>
      <c r="G378" s="26">
        <f>SUM(G376:G377)</f>
        <v>2542884.6566884276</v>
      </c>
      <c r="H378"/>
      <c r="I378"/>
      <c r="P378" s="2"/>
    </row>
    <row r="379" spans="3:16" ht="13.5" thickTop="1">
      <c r="C379" s="52" t="s">
        <v>170</v>
      </c>
      <c r="D379" s="2">
        <f>+D377</f>
        <v>-863.6413244034013</v>
      </c>
      <c r="H379"/>
      <c r="I379"/>
      <c r="P379" s="2"/>
    </row>
    <row r="380" spans="3:16" ht="12.75">
      <c r="C380" s="52"/>
      <c r="H380"/>
      <c r="I380"/>
      <c r="P380" s="2"/>
    </row>
    <row r="381" spans="1:16" ht="12.75">
      <c r="A381" s="61">
        <v>38750</v>
      </c>
      <c r="B381" t="s">
        <v>225</v>
      </c>
      <c r="C381" s="2">
        <f>+C378</f>
        <v>-114118.23060333409</v>
      </c>
      <c r="D381" s="2">
        <f>+D378</f>
        <v>26139.426085093735</v>
      </c>
      <c r="E381" s="2">
        <f>+E378</f>
        <v>-140257.6566884278</v>
      </c>
      <c r="F381" s="2">
        <f>+F378</f>
        <v>-114118.23060333409</v>
      </c>
      <c r="G381" s="2">
        <f>+G378</f>
        <v>2542884.6566884276</v>
      </c>
      <c r="H381"/>
      <c r="I381"/>
      <c r="P381" s="2"/>
    </row>
    <row r="382" spans="2:16" ht="12.75">
      <c r="B382" t="s">
        <v>172</v>
      </c>
      <c r="C382" s="2">
        <f>+E381*0.0725/365*28</f>
        <v>-780.0631317192012</v>
      </c>
      <c r="D382" s="2">
        <f>+C382</f>
        <v>-780.0631317192012</v>
      </c>
      <c r="E382" s="2">
        <v>0</v>
      </c>
      <c r="F382" s="2"/>
      <c r="H382"/>
      <c r="I382"/>
      <c r="P382" s="2"/>
    </row>
    <row r="383" spans="2:16" ht="13.5" thickBot="1">
      <c r="B383" t="s">
        <v>242</v>
      </c>
      <c r="C383" s="26">
        <f>SUM(C381:C382)</f>
        <v>-114898.29373505329</v>
      </c>
      <c r="D383" s="26">
        <f>SUM(D381:D382)</f>
        <v>25359.362953374533</v>
      </c>
      <c r="E383" s="26">
        <f>SUM(E381:E382)</f>
        <v>-140257.6566884278</v>
      </c>
      <c r="F383" s="26">
        <f>+E383+D383</f>
        <v>-114898.29373505327</v>
      </c>
      <c r="G383" s="26">
        <f>SUM(G381:G382)</f>
        <v>2542884.6566884276</v>
      </c>
      <c r="H383"/>
      <c r="I383"/>
      <c r="P383" s="2"/>
    </row>
    <row r="384" spans="3:16" ht="13.5" thickTop="1">
      <c r="C384" s="52" t="s">
        <v>170</v>
      </c>
      <c r="D384" s="2">
        <f>+D382+D379</f>
        <v>-1643.7044561226026</v>
      </c>
      <c r="P384" s="2"/>
    </row>
    <row r="385" spans="3:16" ht="12.75">
      <c r="C385" s="52"/>
      <c r="P385" s="2"/>
    </row>
    <row r="386" spans="1:16" ht="12.75">
      <c r="A386" s="61">
        <v>38779</v>
      </c>
      <c r="B386" t="s">
        <v>225</v>
      </c>
      <c r="C386" s="2">
        <f>+C383</f>
        <v>-114898.29373505329</v>
      </c>
      <c r="D386" s="2">
        <f>+D383</f>
        <v>25359.362953374533</v>
      </c>
      <c r="E386" s="2">
        <f>+E383</f>
        <v>-140257.6566884278</v>
      </c>
      <c r="F386" s="2">
        <f>+F383</f>
        <v>-114898.29373505327</v>
      </c>
      <c r="G386" s="2">
        <f>+G383</f>
        <v>2542884.6566884276</v>
      </c>
      <c r="P386" s="2"/>
    </row>
    <row r="387" spans="2:16" ht="12.75">
      <c r="B387" t="s">
        <v>172</v>
      </c>
      <c r="C387" s="2">
        <f>+E386*0.0725/365*31</f>
        <v>-863.6413244034013</v>
      </c>
      <c r="D387" s="2">
        <f>+C387</f>
        <v>-863.6413244034013</v>
      </c>
      <c r="E387" s="2">
        <v>0</v>
      </c>
      <c r="F387" s="2"/>
      <c r="P387" s="2"/>
    </row>
    <row r="388" spans="2:16" ht="13.5" thickBot="1">
      <c r="B388" t="s">
        <v>242</v>
      </c>
      <c r="C388" s="26">
        <f>SUM(C386:C387)</f>
        <v>-115761.9350594567</v>
      </c>
      <c r="D388" s="26">
        <f>SUM(D386:D387)</f>
        <v>24495.721628971132</v>
      </c>
      <c r="E388" s="26">
        <f>SUM(E386:E387)</f>
        <v>-140257.6566884278</v>
      </c>
      <c r="F388" s="26">
        <f>+E388+D388</f>
        <v>-115761.93505945668</v>
      </c>
      <c r="G388" s="26">
        <f>SUM(G386:G387)</f>
        <v>2542884.6566884276</v>
      </c>
      <c r="P388" s="2"/>
    </row>
    <row r="389" spans="3:16" ht="13.5" thickTop="1">
      <c r="C389" s="52" t="s">
        <v>170</v>
      </c>
      <c r="D389" s="2">
        <f>+D387+D384</f>
        <v>-2507.345780526004</v>
      </c>
      <c r="P389" s="2"/>
    </row>
    <row r="390" spans="3:16" ht="12.75">
      <c r="C390" s="52"/>
      <c r="P390" s="2"/>
    </row>
    <row r="391" spans="1:16" ht="12.75">
      <c r="A391" s="61">
        <v>38811</v>
      </c>
      <c r="B391" t="s">
        <v>225</v>
      </c>
      <c r="C391" s="2">
        <f>+C388</f>
        <v>-115761.9350594567</v>
      </c>
      <c r="D391" s="2">
        <f>+D388</f>
        <v>24495.721628971132</v>
      </c>
      <c r="E391" s="2">
        <f>+E388</f>
        <v>-140257.6566884278</v>
      </c>
      <c r="F391" s="2">
        <f>+F388</f>
        <v>-115761.93505945668</v>
      </c>
      <c r="G391" s="2">
        <f>+G388</f>
        <v>2542884.6566884276</v>
      </c>
      <c r="P391" s="2"/>
    </row>
    <row r="392" spans="2:16" ht="12.75">
      <c r="B392" t="s">
        <v>172</v>
      </c>
      <c r="C392" s="2">
        <f>+E391*0.0725/365*30</f>
        <v>-835.7819268420013</v>
      </c>
      <c r="D392" s="2">
        <f>+C392</f>
        <v>-835.7819268420013</v>
      </c>
      <c r="E392" s="2">
        <v>0</v>
      </c>
      <c r="F392" s="2"/>
      <c r="P392" s="2"/>
    </row>
    <row r="393" spans="2:16" ht="13.5" thickBot="1">
      <c r="B393" t="s">
        <v>242</v>
      </c>
      <c r="C393" s="26">
        <f>SUM(C391:C392)</f>
        <v>-116597.71698629869</v>
      </c>
      <c r="D393" s="26">
        <f>SUM(D391:D392)</f>
        <v>23659.93970212913</v>
      </c>
      <c r="E393" s="26">
        <f>SUM(E391:E392)</f>
        <v>-140257.6566884278</v>
      </c>
      <c r="F393" s="26">
        <f>+E393+D393</f>
        <v>-116597.71698629868</v>
      </c>
      <c r="G393" s="26">
        <f>SUM(G391:G392)</f>
        <v>2542884.6566884276</v>
      </c>
      <c r="P393" s="2"/>
    </row>
    <row r="394" spans="3:16" ht="13.5" thickTop="1">
      <c r="C394" s="52" t="s">
        <v>170</v>
      </c>
      <c r="D394" s="2">
        <f>+D392+D389</f>
        <v>-3343.1277073680053</v>
      </c>
      <c r="H394" s="57"/>
      <c r="P394" s="2"/>
    </row>
    <row r="395" spans="1:16" ht="12.75">
      <c r="A395" s="44"/>
      <c r="B395" s="67" t="s">
        <v>262</v>
      </c>
      <c r="C395" s="70" t="s">
        <v>264</v>
      </c>
      <c r="D395" s="70" t="s">
        <v>270</v>
      </c>
      <c r="E395" s="44"/>
      <c r="F395"/>
      <c r="G395"/>
      <c r="P395" s="2"/>
    </row>
    <row r="396" spans="1:16" ht="12.75">
      <c r="A396" s="65" t="s">
        <v>207</v>
      </c>
      <c r="B396" s="2">
        <v>0</v>
      </c>
      <c r="C396" s="2">
        <f>+C376</f>
        <v>-113254.58927893068</v>
      </c>
      <c r="F396" s="2"/>
      <c r="G396"/>
      <c r="P396" s="2"/>
    </row>
    <row r="397" spans="1:16" ht="12.75">
      <c r="A397" s="65" t="s">
        <v>256</v>
      </c>
      <c r="B397" s="2">
        <f>+C7*24</f>
        <v>2453142</v>
      </c>
      <c r="C397" s="2">
        <v>0</v>
      </c>
      <c r="D397" s="2">
        <v>2453142</v>
      </c>
      <c r="F397" s="2"/>
      <c r="P397" s="2"/>
    </row>
    <row r="398" spans="1:16" ht="12.75">
      <c r="A398" s="66" t="s">
        <v>261</v>
      </c>
      <c r="B398" s="2">
        <f>+D371</f>
        <v>-50515</v>
      </c>
      <c r="C398" s="2">
        <v>0</v>
      </c>
      <c r="D398" s="2">
        <v>-35662</v>
      </c>
      <c r="F398" s="2"/>
      <c r="P398" s="2"/>
    </row>
    <row r="399" spans="1:16" ht="12.75">
      <c r="A399" s="66" t="s">
        <v>149</v>
      </c>
      <c r="B399" s="2">
        <f>+D393</f>
        <v>23659.93970212913</v>
      </c>
      <c r="C399" s="2">
        <f>+D394</f>
        <v>-3343.1277073680053</v>
      </c>
      <c r="D399" s="2">
        <v>11829.79</v>
      </c>
      <c r="F399" s="2"/>
      <c r="G399"/>
      <c r="P399" s="2"/>
    </row>
    <row r="400" spans="1:16" ht="12.75">
      <c r="A400" s="66" t="s">
        <v>246</v>
      </c>
      <c r="B400" s="2">
        <f>-G393</f>
        <v>-2542884.6566884276</v>
      </c>
      <c r="C400" s="2">
        <v>0</v>
      </c>
      <c r="D400" s="2">
        <v>-2542124.49</v>
      </c>
      <c r="F400" s="2"/>
      <c r="G400"/>
      <c r="P400" s="2"/>
    </row>
    <row r="401" spans="1:16" ht="13.5" thickBot="1">
      <c r="A401" s="66" t="s">
        <v>257</v>
      </c>
      <c r="B401" s="26">
        <f>SUM(B396:B400)</f>
        <v>-116597.71698629856</v>
      </c>
      <c r="C401" s="26">
        <f>SUM(C396:C400)</f>
        <v>-116597.71698629869</v>
      </c>
      <c r="D401" s="26">
        <f>SUM(D396:D400)</f>
        <v>-112814.70000000019</v>
      </c>
      <c r="F401" s="2"/>
      <c r="P401" s="2"/>
    </row>
    <row r="402" spans="1:16" ht="13.5" thickTop="1">
      <c r="A402" s="44"/>
      <c r="B402" s="44"/>
      <c r="C402" s="44"/>
      <c r="D402" s="44"/>
      <c r="E402" s="44"/>
      <c r="F402" s="2"/>
      <c r="G402" s="44"/>
      <c r="H402" s="44"/>
      <c r="J402"/>
      <c r="P402" s="2"/>
    </row>
    <row r="403" spans="1:16" ht="12.75" hidden="1">
      <c r="A403" s="46" t="s">
        <v>200</v>
      </c>
      <c r="B403" s="55" t="s">
        <v>201</v>
      </c>
      <c r="C403" s="56" t="s">
        <v>202</v>
      </c>
      <c r="D403" s="56" t="s">
        <v>203</v>
      </c>
      <c r="E403" s="55" t="s">
        <v>204</v>
      </c>
      <c r="F403" s="57" t="s">
        <v>205</v>
      </c>
      <c r="G403" s="57" t="s">
        <v>230</v>
      </c>
      <c r="H403" s="44"/>
      <c r="J403"/>
      <c r="P403" s="2"/>
    </row>
    <row r="404" spans="1:10" ht="12.75" hidden="1">
      <c r="A404" s="44"/>
      <c r="B404" s="44"/>
      <c r="C404" s="25"/>
      <c r="D404" s="25"/>
      <c r="E404" s="44"/>
      <c r="F404"/>
      <c r="G404" s="44"/>
      <c r="H404" s="44"/>
      <c r="J404"/>
    </row>
    <row r="405" spans="1:10" ht="12.75" hidden="1">
      <c r="A405" s="44" t="s">
        <v>206</v>
      </c>
      <c r="B405" s="2">
        <f>+'[3]Rec &amp; JEs'!E192</f>
        <v>58913.91</v>
      </c>
      <c r="D405" s="2">
        <f>+B405</f>
        <v>58913.91</v>
      </c>
      <c r="F405" s="2">
        <f>+D405</f>
        <v>58913.91</v>
      </c>
      <c r="H405" s="44"/>
      <c r="J405"/>
    </row>
    <row r="406" spans="1:8" ht="12.75" hidden="1">
      <c r="A406" s="44" t="s">
        <v>207</v>
      </c>
      <c r="B406" s="2">
        <v>132478.08</v>
      </c>
      <c r="D406" s="2">
        <f>+B406</f>
        <v>132478.08</v>
      </c>
      <c r="F406" s="2">
        <f>+D406</f>
        <v>132478.08</v>
      </c>
      <c r="H406" s="2" t="e">
        <f>+#REF!+#REF!</f>
        <v>#REF!</v>
      </c>
    </row>
    <row r="407" spans="1:8" ht="12.75" hidden="1">
      <c r="A407" s="44" t="s">
        <v>208</v>
      </c>
      <c r="B407" s="2">
        <f>+'[3]Rec &amp; JEs'!E194</f>
        <v>747.14</v>
      </c>
      <c r="C407" s="2">
        <f>+'[3]Rec &amp; JEs'!G194</f>
        <v>2738.77</v>
      </c>
      <c r="D407" s="2">
        <f aca="true" t="shared" si="0" ref="D407:D414">+C407+B407</f>
        <v>3485.91</v>
      </c>
      <c r="E407" s="2">
        <f>+'[3]Rec &amp; JEs'!J194</f>
        <v>1264.27</v>
      </c>
      <c r="F407" s="2">
        <f aca="true" t="shared" si="1" ref="F407:F414">+D407+E407</f>
        <v>4750.18</v>
      </c>
      <c r="G407" s="2">
        <f>+'[4]Rec &amp; JEs'!$K$213</f>
        <v>1293.4279370032837</v>
      </c>
      <c r="H407"/>
    </row>
    <row r="408" spans="1:8" ht="12.75" hidden="1">
      <c r="A408" s="44" t="s">
        <v>209</v>
      </c>
      <c r="B408" s="2">
        <v>2041.07</v>
      </c>
      <c r="C408" s="2">
        <f>1778.68+4438.34+0.98</f>
        <v>6218</v>
      </c>
      <c r="D408" s="2">
        <f t="shared" si="0"/>
        <v>8259.07</v>
      </c>
      <c r="E408" s="2">
        <v>3368.34</v>
      </c>
      <c r="F408" s="2">
        <f t="shared" si="1"/>
        <v>11627.41</v>
      </c>
      <c r="G408" s="2">
        <f>+G397</f>
        <v>0</v>
      </c>
      <c r="H408" s="2" t="e">
        <f>+#REF!+#REF!</f>
        <v>#REF!</v>
      </c>
    </row>
    <row r="409" spans="1:7" ht="12.75" hidden="1">
      <c r="A409" s="51" t="s">
        <v>210</v>
      </c>
      <c r="B409" s="2">
        <f>+'[3]Rec &amp; JEs'!E196</f>
        <v>-99196.94</v>
      </c>
      <c r="C409" s="2">
        <f>+'[3]Rec &amp; JEs'!G196</f>
        <v>-90667.8</v>
      </c>
      <c r="D409" s="2">
        <f t="shared" si="0"/>
        <v>-189864.74</v>
      </c>
      <c r="E409" s="2">
        <f>+'[3]Rec &amp; JEs'!J196</f>
        <v>-91858.68</v>
      </c>
      <c r="F409" s="2">
        <f t="shared" si="1"/>
        <v>-281723.42</v>
      </c>
      <c r="G409" s="2">
        <f>+'[4]Rec &amp; JEs'!$K$215</f>
        <v>-89820.32719990585</v>
      </c>
    </row>
    <row r="410" spans="1:8" ht="12.75" hidden="1">
      <c r="A410" s="51" t="s">
        <v>211</v>
      </c>
      <c r="B410" s="2">
        <v>-327991.34</v>
      </c>
      <c r="C410" s="2">
        <v>-303275.28</v>
      </c>
      <c r="D410" s="2">
        <f t="shared" si="0"/>
        <v>-631266.6200000001</v>
      </c>
      <c r="E410" s="2">
        <v>-303726.67</v>
      </c>
      <c r="F410" s="2">
        <f t="shared" si="1"/>
        <v>-934993.29</v>
      </c>
      <c r="G410" s="2" t="e">
        <f>+#REF!</f>
        <v>#REF!</v>
      </c>
      <c r="H410" s="2" t="e">
        <f>+#REF!+#REF!</f>
        <v>#REF!</v>
      </c>
    </row>
    <row r="411" spans="1:7" ht="12.75" hidden="1">
      <c r="A411" s="51" t="s">
        <v>214</v>
      </c>
      <c r="B411" s="2">
        <f>+'[3]Rec &amp; JEs'!E198</f>
        <v>92740.5</v>
      </c>
      <c r="C411" s="2">
        <f>+'[3]Rec &amp; JEs'!G198</f>
        <v>92740.5</v>
      </c>
      <c r="D411" s="2">
        <f t="shared" si="0"/>
        <v>185481</v>
      </c>
      <c r="E411" s="2">
        <f>+'[3]Rec &amp; JEs'!J198</f>
        <v>92740.5</v>
      </c>
      <c r="F411" s="2">
        <f t="shared" si="1"/>
        <v>278221.5</v>
      </c>
      <c r="G411" s="2">
        <f>+'[4]Rec &amp; JEs'!$K$217</f>
        <v>92740.5</v>
      </c>
    </row>
    <row r="412" spans="1:9" ht="12.75" hidden="1">
      <c r="A412" s="51" t="s">
        <v>215</v>
      </c>
      <c r="B412" s="2">
        <v>306642.75</v>
      </c>
      <c r="C412" s="2">
        <v>306642.75</v>
      </c>
      <c r="D412" s="2">
        <f t="shared" si="0"/>
        <v>613285.5</v>
      </c>
      <c r="E412" s="2">
        <v>306642.75</v>
      </c>
      <c r="F412" s="2">
        <f t="shared" si="1"/>
        <v>919928.25</v>
      </c>
      <c r="G412" s="2">
        <v>306642.75</v>
      </c>
      <c r="H412" s="2" t="e">
        <f>+#REF!+#REF!</f>
        <v>#REF!</v>
      </c>
      <c r="I412" s="2" t="e">
        <f>+H412+H410</f>
        <v>#REF!</v>
      </c>
    </row>
    <row r="413" spans="1:7" ht="12.75" hidden="1">
      <c r="A413" s="51" t="s">
        <v>212</v>
      </c>
      <c r="B413" s="2">
        <f>+'[3]Rec &amp; JEs'!E200</f>
        <v>0</v>
      </c>
      <c r="C413" s="2">
        <f>+'[3]Rec &amp; JEs'!G200</f>
        <v>29848</v>
      </c>
      <c r="D413" s="2">
        <f t="shared" si="0"/>
        <v>29848</v>
      </c>
      <c r="E413" s="2">
        <f>+'[3]Rec &amp; JEs'!J200</f>
        <v>0</v>
      </c>
      <c r="F413" s="2">
        <f t="shared" si="1"/>
        <v>29848</v>
      </c>
      <c r="G413" s="2">
        <f>+'[3]Rec &amp; JEs'!L200</f>
        <v>0</v>
      </c>
    </row>
    <row r="414" spans="1:8" ht="12.75" hidden="1">
      <c r="A414" s="51" t="s">
        <v>213</v>
      </c>
      <c r="B414" s="2"/>
      <c r="C414" s="2">
        <v>81875</v>
      </c>
      <c r="D414" s="2">
        <f t="shared" si="0"/>
        <v>81875</v>
      </c>
      <c r="E414" s="2">
        <v>0</v>
      </c>
      <c r="F414" s="2">
        <f t="shared" si="1"/>
        <v>81875</v>
      </c>
      <c r="G414" s="2">
        <v>0</v>
      </c>
      <c r="H414" s="2" t="e">
        <f>+#REF!+#REF!</f>
        <v>#REF!</v>
      </c>
    </row>
    <row r="415" spans="1:7" ht="13.5" hidden="1" thickBot="1">
      <c r="A415" s="51" t="s">
        <v>117</v>
      </c>
      <c r="B415" s="26">
        <f>SUM(B405:B413)</f>
        <v>166375.16999999998</v>
      </c>
      <c r="C415" s="26">
        <f>SUM(C405:C414)</f>
        <v>126119.93999999994</v>
      </c>
      <c r="D415" s="26">
        <f>SUM(D405:D414)</f>
        <v>292495.10999999987</v>
      </c>
      <c r="E415" s="26">
        <f>SUM(E405:E414)</f>
        <v>8430.51000000001</v>
      </c>
      <c r="F415" s="26">
        <f>SUM(F405:F414)</f>
        <v>300925.62</v>
      </c>
      <c r="G415" s="26" t="e">
        <f>SUM(G405:G414)</f>
        <v>#REF!</v>
      </c>
    </row>
    <row r="416" spans="1:6" ht="12.75" hidden="1">
      <c r="A416" s="44"/>
      <c r="B416" s="44"/>
      <c r="C416" s="44"/>
      <c r="D416" s="44"/>
      <c r="E416" s="44"/>
      <c r="F416" s="2"/>
    </row>
    <row r="417" spans="2:7" ht="12.75" hidden="1">
      <c r="B417" s="2"/>
      <c r="E417" s="19" t="s">
        <v>229</v>
      </c>
      <c r="F417" s="2" t="s">
        <v>232</v>
      </c>
      <c r="G417" s="2" t="s">
        <v>223</v>
      </c>
    </row>
    <row r="418" spans="2:6" ht="12.75" hidden="1">
      <c r="B418" s="2"/>
      <c r="E418" s="19"/>
      <c r="F418" s="2" t="s">
        <v>233</v>
      </c>
    </row>
    <row r="419" spans="6:7" ht="12.75" hidden="1">
      <c r="F419" s="2"/>
      <c r="G419" s="2" t="s">
        <v>223</v>
      </c>
    </row>
    <row r="420" spans="1:8" ht="12.75" hidden="1">
      <c r="A420" t="s">
        <v>216</v>
      </c>
      <c r="B420" s="55" t="s">
        <v>201</v>
      </c>
      <c r="C420" s="56" t="s">
        <v>202</v>
      </c>
      <c r="D420" s="56" t="s">
        <v>203</v>
      </c>
      <c r="E420" s="19"/>
      <c r="F420" s="2"/>
      <c r="G420" s="17" t="s">
        <v>236</v>
      </c>
      <c r="H420" s="2" t="s">
        <v>231</v>
      </c>
    </row>
    <row r="421" spans="1:8" ht="12.75" hidden="1">
      <c r="A421" t="s">
        <v>217</v>
      </c>
      <c r="B421" s="2">
        <v>191391.4</v>
      </c>
      <c r="C421" s="2">
        <f>+B425</f>
        <v>-94601.26000000004</v>
      </c>
      <c r="D421" s="2">
        <v>191391.4</v>
      </c>
      <c r="E421" s="19"/>
      <c r="F421" s="16">
        <f>+D415</f>
        <v>292495.10999999987</v>
      </c>
      <c r="G421" s="2">
        <f>+B421</f>
        <v>191391.4</v>
      </c>
      <c r="H421" s="2">
        <f>+G421</f>
        <v>191391.4</v>
      </c>
    </row>
    <row r="422" spans="1:8" ht="12.75" hidden="1">
      <c r="A422" t="s">
        <v>218</v>
      </c>
      <c r="B422" s="2">
        <f>11745.59-10643.1</f>
        <v>1102.4899999999998</v>
      </c>
      <c r="C422" s="2">
        <v>10643.1</v>
      </c>
      <c r="D422" s="2">
        <v>11745.59</v>
      </c>
      <c r="E422" s="19"/>
      <c r="F422" s="16">
        <f>+E407+E408</f>
        <v>4632.610000000001</v>
      </c>
      <c r="G422" s="2">
        <f>+F422+D422</f>
        <v>16378.2</v>
      </c>
      <c r="H422" s="2" t="e">
        <f>+H408</f>
        <v>#REF!</v>
      </c>
    </row>
    <row r="423" spans="1:8" ht="12.75" hidden="1">
      <c r="A423" t="s">
        <v>219</v>
      </c>
      <c r="B423" s="2">
        <f>511670.35-798765.5</f>
        <v>-287095.15</v>
      </c>
      <c r="C423" s="2">
        <v>798765.5</v>
      </c>
      <c r="D423" s="2">
        <v>511670.35</v>
      </c>
      <c r="E423" s="19"/>
      <c r="F423" s="16">
        <v>-530237.31</v>
      </c>
      <c r="G423" s="2">
        <v>-18566.96</v>
      </c>
      <c r="H423" s="2" t="e">
        <f>+H410+H412</f>
        <v>#REF!</v>
      </c>
    </row>
    <row r="424" spans="1:8" ht="12.75" hidden="1">
      <c r="A424" t="s">
        <v>220</v>
      </c>
      <c r="B424" s="2">
        <v>0</v>
      </c>
      <c r="C424" s="2">
        <v>-422312.13</v>
      </c>
      <c r="D424" s="2">
        <v>-422312.13</v>
      </c>
      <c r="E424" s="19"/>
      <c r="F424" s="16">
        <v>111723</v>
      </c>
      <c r="G424" s="2">
        <v>111723</v>
      </c>
      <c r="H424" s="2">
        <v>111723</v>
      </c>
    </row>
    <row r="425" spans="1:8" ht="13.5" hidden="1" thickBot="1">
      <c r="A425" t="s">
        <v>221</v>
      </c>
      <c r="B425" s="2">
        <f>SUM(B421:B424)</f>
        <v>-94601.26000000004</v>
      </c>
      <c r="C425" s="2">
        <f>SUM(C421:C424)</f>
        <v>292495.20999999996</v>
      </c>
      <c r="D425" s="2">
        <f>SUM(D421:D424)</f>
        <v>292495.20999999996</v>
      </c>
      <c r="E425" s="19"/>
      <c r="F425" s="58">
        <f>SUM(F421:F424)</f>
        <v>-121386.5900000002</v>
      </c>
      <c r="G425" s="58">
        <f>SUM(G421:G424)</f>
        <v>300925.64</v>
      </c>
      <c r="H425" s="58" t="e">
        <f>SUM(H421:H424)</f>
        <v>#REF!</v>
      </c>
    </row>
    <row r="426" spans="2:6" ht="12.75" hidden="1">
      <c r="B426" s="2"/>
      <c r="E426" s="19"/>
      <c r="F426" s="2"/>
    </row>
    <row r="427" spans="2:6" ht="12.75" hidden="1">
      <c r="B427" s="2"/>
      <c r="E427" s="19"/>
      <c r="F427" s="2"/>
    </row>
    <row r="428" spans="1:6" ht="12.75" hidden="1">
      <c r="A428" s="46" t="s">
        <v>222</v>
      </c>
      <c r="B428" s="2"/>
      <c r="E428" s="19"/>
      <c r="F428" s="2"/>
    </row>
    <row r="429" spans="2:6" ht="12.75" hidden="1">
      <c r="B429" s="2"/>
      <c r="E429" s="19"/>
      <c r="F429" s="2"/>
    </row>
    <row r="430" spans="1:6" ht="12.75" hidden="1">
      <c r="A430" t="s">
        <v>216</v>
      </c>
      <c r="B430" s="55" t="s">
        <v>201</v>
      </c>
      <c r="C430" s="56" t="s">
        <v>202</v>
      </c>
      <c r="D430" s="56" t="s">
        <v>203</v>
      </c>
      <c r="E430" s="55" t="s">
        <v>204</v>
      </c>
      <c r="F430" s="2"/>
    </row>
    <row r="431" spans="2:7" ht="12.75" hidden="1">
      <c r="B431" s="2"/>
      <c r="E431" s="19"/>
      <c r="F431" s="2"/>
      <c r="G431" s="17" t="s">
        <v>196</v>
      </c>
    </row>
    <row r="432" spans="1:7" ht="12.75" hidden="1">
      <c r="A432" t="s">
        <v>217</v>
      </c>
      <c r="B432" s="2">
        <v>-161575.06</v>
      </c>
      <c r="C432" s="2">
        <v>125520.09</v>
      </c>
      <c r="D432" s="2">
        <v>-161575.06</v>
      </c>
      <c r="E432" s="2">
        <f>+D436</f>
        <v>-250933.2799999999</v>
      </c>
      <c r="F432" s="16"/>
      <c r="G432" s="2">
        <f>+B432</f>
        <v>-161575.06</v>
      </c>
    </row>
    <row r="433" spans="1:7" ht="12.75" hidden="1">
      <c r="A433" t="s">
        <v>218</v>
      </c>
      <c r="B433" s="2">
        <v>0</v>
      </c>
      <c r="C433" s="2">
        <v>0</v>
      </c>
      <c r="D433" s="2">
        <v>0</v>
      </c>
      <c r="E433" s="19"/>
      <c r="F433" s="16"/>
      <c r="G433" s="2">
        <f>+F433+D433</f>
        <v>0</v>
      </c>
    </row>
    <row r="434" spans="1:7" ht="12.75" hidden="1">
      <c r="A434" t="s">
        <v>219</v>
      </c>
      <c r="B434" s="2">
        <f>798765.5-511670.35</f>
        <v>287095.15</v>
      </c>
      <c r="C434" s="2">
        <v>-798765.5</v>
      </c>
      <c r="D434" s="2">
        <v>-511670.35</v>
      </c>
      <c r="E434" s="2">
        <f>-(+E409+E410+E411+E412)</f>
        <v>-3797.9000000000233</v>
      </c>
      <c r="F434" s="16"/>
      <c r="G434" s="2">
        <f>+B434+C434+E434</f>
        <v>-515468.25</v>
      </c>
    </row>
    <row r="435" spans="1:7" ht="12.75" hidden="1">
      <c r="A435" t="s">
        <v>220</v>
      </c>
      <c r="B435" s="2">
        <v>0</v>
      </c>
      <c r="C435" s="2">
        <v>422312.13</v>
      </c>
      <c r="D435" s="2">
        <v>422312.13</v>
      </c>
      <c r="E435" s="2">
        <v>0</v>
      </c>
      <c r="F435" s="16"/>
      <c r="G435" s="2">
        <f>+D435+F435</f>
        <v>422312.13</v>
      </c>
    </row>
    <row r="436" spans="1:7" ht="13.5" hidden="1" thickBot="1">
      <c r="A436" t="s">
        <v>221</v>
      </c>
      <c r="B436" s="2">
        <f>SUM(B432:B435)</f>
        <v>125520.09000000003</v>
      </c>
      <c r="C436" s="2">
        <f>SUM(C432:C435)</f>
        <v>-250933.28000000003</v>
      </c>
      <c r="D436" s="2">
        <f>SUM(D432:D435)</f>
        <v>-250933.2799999999</v>
      </c>
      <c r="E436" s="2">
        <f>SUM(E432:E435)</f>
        <v>-254731.17999999993</v>
      </c>
      <c r="F436" s="58"/>
      <c r="G436" s="58">
        <f>SUM(G432:G435)</f>
        <v>-254731.18000000005</v>
      </c>
    </row>
    <row r="437" spans="2:6" ht="12.75" hidden="1">
      <c r="B437" s="2"/>
      <c r="E437" s="19"/>
      <c r="F437" s="2"/>
    </row>
    <row r="438" spans="1:6" ht="12.75" hidden="1">
      <c r="A438" t="s">
        <v>223</v>
      </c>
      <c r="B438" s="2"/>
      <c r="E438" s="19"/>
      <c r="F438" s="2"/>
    </row>
    <row r="439" spans="2:7" ht="12.75" hidden="1">
      <c r="B439" s="2"/>
      <c r="E439" s="19"/>
      <c r="F439" s="2"/>
      <c r="G439" s="2">
        <v>185263.26</v>
      </c>
    </row>
    <row r="440" spans="2:7" ht="12.75" hidden="1">
      <c r="B440" s="2"/>
      <c r="E440" s="19"/>
      <c r="F440" s="2"/>
      <c r="G440" s="2">
        <v>69467.84</v>
      </c>
    </row>
    <row r="441" spans="2:7" ht="13.5" hidden="1" thickBot="1">
      <c r="B441" s="2"/>
      <c r="E441" s="19"/>
      <c r="F441" s="2"/>
      <c r="G441" s="26">
        <f>+G439+G440</f>
        <v>254731.1</v>
      </c>
    </row>
    <row r="442" spans="2:6" ht="12.75" hidden="1">
      <c r="B442" s="2"/>
      <c r="E442" s="19"/>
      <c r="F442" s="2"/>
    </row>
    <row r="443" spans="2:6" ht="12.75" hidden="1">
      <c r="B443" s="2"/>
      <c r="E443" s="19"/>
      <c r="F443" s="2"/>
    </row>
    <row r="444" spans="2:6" ht="12.75">
      <c r="B444" s="2"/>
      <c r="E444" s="19"/>
      <c r="F444" s="34" t="s">
        <v>272</v>
      </c>
    </row>
    <row r="445" spans="1:8" ht="12.75">
      <c r="A445" s="71" t="s">
        <v>265</v>
      </c>
      <c r="B445" s="71" t="s">
        <v>217</v>
      </c>
      <c r="C445" s="71" t="s">
        <v>266</v>
      </c>
      <c r="D445" s="71" t="s">
        <v>267</v>
      </c>
      <c r="E445" s="71" t="s">
        <v>246</v>
      </c>
      <c r="F445" s="73" t="s">
        <v>269</v>
      </c>
      <c r="G445" s="71" t="s">
        <v>268</v>
      </c>
      <c r="H445" s="71"/>
    </row>
    <row r="446" spans="1:8" ht="12.75">
      <c r="A446" s="72">
        <v>2002</v>
      </c>
      <c r="B446">
        <v>0</v>
      </c>
      <c r="C446" s="2">
        <v>1226571</v>
      </c>
      <c r="D446" s="2">
        <f>+G83</f>
        <v>18666.712617888737</v>
      </c>
      <c r="E446" s="2">
        <v>-907833.73</v>
      </c>
      <c r="G446" s="2">
        <f>SUM(C446:F446)</f>
        <v>337403.98261788883</v>
      </c>
      <c r="H446"/>
    </row>
    <row r="447" spans="1:8" ht="12.75">
      <c r="A447" s="72">
        <v>2003</v>
      </c>
      <c r="B447" s="2">
        <f>+G446</f>
        <v>337403.98261788883</v>
      </c>
      <c r="C447" s="2">
        <v>1226571</v>
      </c>
      <c r="D447" s="2">
        <f>+E187</f>
        <v>21821.263007872363</v>
      </c>
      <c r="E447" s="2">
        <v>-1231980.33</v>
      </c>
      <c r="F447" s="2">
        <f>+E186</f>
        <v>-9294</v>
      </c>
      <c r="G447" s="2">
        <f>SUM(B447:F447)</f>
        <v>344521.91562576103</v>
      </c>
      <c r="H447"/>
    </row>
    <row r="448" spans="1:8" ht="12.75">
      <c r="A448" s="72">
        <v>2004</v>
      </c>
      <c r="B448" s="2">
        <f>+G447</f>
        <v>344521.91562576103</v>
      </c>
      <c r="C448" s="2">
        <v>0</v>
      </c>
      <c r="D448" s="2">
        <f>+E294</f>
        <v>-3399.806299037132</v>
      </c>
      <c r="E448" s="2">
        <v>-403070.6</v>
      </c>
      <c r="F448" s="2">
        <f>+E293</f>
        <v>-41221</v>
      </c>
      <c r="G448" s="2">
        <f>SUM(B448:F448)</f>
        <v>-103169.49067327607</v>
      </c>
      <c r="H448"/>
    </row>
    <row r="449" spans="1:8" ht="12.75">
      <c r="A449" s="72">
        <v>2005</v>
      </c>
      <c r="B449" s="2">
        <f>+G448</f>
        <v>-103169.49067327607</v>
      </c>
      <c r="C449" s="2">
        <v>0</v>
      </c>
      <c r="D449" s="2">
        <f>+E372</f>
        <v>-10085.101917226815</v>
      </c>
      <c r="E449" s="2">
        <v>0</v>
      </c>
      <c r="F449" s="2"/>
      <c r="G449" s="2">
        <f>SUM(B449:F449)</f>
        <v>-113254.59259050289</v>
      </c>
      <c r="H449"/>
    </row>
    <row r="450" spans="1:8" ht="12.75">
      <c r="A450" s="72">
        <v>2006</v>
      </c>
      <c r="B450" s="2">
        <f>+G449</f>
        <v>-113254.59259050289</v>
      </c>
      <c r="C450" s="2">
        <v>0</v>
      </c>
      <c r="D450" s="2">
        <f>+D394</f>
        <v>-3343.1277073680053</v>
      </c>
      <c r="E450" s="2">
        <v>0</v>
      </c>
      <c r="G450" s="2">
        <f>SUM(B450:F450)</f>
        <v>-116597.7202978709</v>
      </c>
      <c r="H450"/>
    </row>
    <row r="451" spans="1:8" ht="12.75">
      <c r="A451" s="72"/>
      <c r="B451" s="2">
        <f>+G450</f>
        <v>-116597.7202978709</v>
      </c>
      <c r="C451" s="2">
        <v>0</v>
      </c>
      <c r="D451" s="2">
        <v>0</v>
      </c>
      <c r="G451" s="2">
        <f>SUM(B451:F451)</f>
        <v>-116597.7202978709</v>
      </c>
      <c r="H451"/>
    </row>
    <row r="452" spans="2:8" ht="13.5" thickBot="1">
      <c r="B452" s="33"/>
      <c r="C452" s="26">
        <f>SUM(C446:C451)</f>
        <v>2453142</v>
      </c>
      <c r="D452" s="26">
        <f>SUM(D446:D451)</f>
        <v>23659.939702129148</v>
      </c>
      <c r="E452" s="26">
        <f>SUM(E446:E450)</f>
        <v>-2542884.66</v>
      </c>
      <c r="F452" s="26">
        <f>SUM(F446:F450)</f>
        <v>-50515</v>
      </c>
      <c r="G452" s="26">
        <f>+F452+E452+D452+C452</f>
        <v>-116597.72029787116</v>
      </c>
      <c r="H452"/>
    </row>
    <row r="453" ht="13.5" thickTop="1">
      <c r="B453" s="2"/>
    </row>
  </sheetData>
  <sheetProtection/>
  <printOptions/>
  <pageMargins left="0.354330708661417" right="0.354330708661417" top="0.393700787401575" bottom="0.393700787401575" header="0.511811023622047" footer="0.511811023622047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10925046</v>
      </c>
      <c r="G9" s="2">
        <f>+'[1]PILRecoveryAmt'!K9</f>
        <v>10449948.666666666</v>
      </c>
      <c r="I9" s="2">
        <f>+D9-G9</f>
        <v>475097.33333333395</v>
      </c>
      <c r="J9" s="29"/>
      <c r="K9" s="3">
        <f>+'2002PILRecoveryAmt'!I9</f>
        <v>0.0023162344242456567</v>
      </c>
      <c r="L9" s="2">
        <f>+K9*D9</f>
        <v>25304.967631667314</v>
      </c>
      <c r="M9" s="25">
        <f>+'2002PILRecoveryAmt'!M9</f>
        <v>24204.53</v>
      </c>
      <c r="N9" s="25">
        <f>+L9+M9</f>
        <v>49509.49763166731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641595</v>
      </c>
      <c r="G10" s="2">
        <f>+'[1]PILRecoveryAmt'!K10</f>
        <v>640442.5</v>
      </c>
      <c r="I10" s="2">
        <f>+D10-G10</f>
        <v>1152.5</v>
      </c>
      <c r="J10" s="29"/>
      <c r="K10" s="3">
        <f>+'2002PILRecoveryAmt'!I10</f>
        <v>0.002909445422500849</v>
      </c>
      <c r="L10" s="2">
        <f>+K10*D10</f>
        <v>1866.6856358494322</v>
      </c>
      <c r="M10" s="25">
        <f>+'2002PILRecoveryAmt'!M10</f>
        <v>140.2508333333332</v>
      </c>
      <c r="N10" s="25">
        <f>+L10+M10</f>
        <v>2006.9364691827654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340593</v>
      </c>
      <c r="G11" s="2">
        <f>+'[1]PILRecoveryAmt'!K11</f>
        <v>341661.4166666667</v>
      </c>
      <c r="I11" s="2">
        <f>+D11-G11</f>
        <v>-1068.416666666686</v>
      </c>
      <c r="J11" s="29"/>
      <c r="K11" s="3">
        <f>+'2002PILRecoveryAmt'!I11</f>
        <v>6.004970320275653E-05</v>
      </c>
      <c r="L11" s="2">
        <f>+K11*D11</f>
        <v>20.452508562936455</v>
      </c>
      <c r="M11" s="25">
        <f>+'2002PILRecoveryAmt'!M11</f>
        <v>492.40000000000003</v>
      </c>
      <c r="N11" s="25">
        <f>+L11+M11</f>
        <v>512.8525085629365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6061453</v>
      </c>
      <c r="G15" s="2">
        <f>+'[1]PILRecoveryAmt'!K13</f>
        <v>5891815.5</v>
      </c>
      <c r="I15" s="2">
        <f>+D15-G15</f>
        <v>169637.5</v>
      </c>
      <c r="J15" s="29"/>
      <c r="K15" s="3">
        <f>+'2002PILRecoveryAmt'!I15</f>
        <v>0.0015111027039684684</v>
      </c>
      <c r="L15" s="2">
        <f>+K15*D15</f>
        <v>9159.478018277785</v>
      </c>
      <c r="M15" s="25">
        <f>+'2002PILRecoveryAmt'!M15</f>
        <v>8903.139166666666</v>
      </c>
      <c r="N15" s="25">
        <f>+L15+M15</f>
        <v>18062.61718494445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+'[1]PILRecoveryAmt'!K16</f>
        <v>0</v>
      </c>
      <c r="I16" s="2">
        <f>+D16-G16</f>
        <v>120415</v>
      </c>
      <c r="J16" s="29"/>
      <c r="K16" s="3">
        <f>+'2002PILRecoveryAmt'!I15</f>
        <v>0.0015111027039684684</v>
      </c>
      <c r="L16" s="2">
        <f>+K16*D16</f>
        <v>181.95943209836312</v>
      </c>
      <c r="M16" s="25">
        <f>+'2002PILRecoveryAmt'!M16</f>
        <v>0</v>
      </c>
      <c r="N16" s="25">
        <f>+L16+M16</f>
        <v>181.95943209836312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43911</v>
      </c>
      <c r="G17" s="2">
        <f>+'[1]PILRecoveryAmt'!K17</f>
        <v>0</v>
      </c>
      <c r="I17" s="2">
        <f>+D17-G17</f>
        <v>43911</v>
      </c>
      <c r="J17" s="29"/>
      <c r="K17" s="3">
        <v>0.00151</v>
      </c>
      <c r="L17" s="2">
        <f>+K17*D17</f>
        <v>66.30561</v>
      </c>
      <c r="M17" s="25">
        <f>+'2002PILRecoveryAmt'!M17</f>
        <v>0</v>
      </c>
      <c r="N17" s="25">
        <f>+L17+M17</f>
        <v>66.30561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13304.54</v>
      </c>
      <c r="F22" s="2">
        <f>+'[1]PILRecoveryAmt'!J20</f>
        <v>70786.41666666667</v>
      </c>
      <c r="H22" s="2">
        <f>+C22-F22</f>
        <v>-57481.87666666667</v>
      </c>
      <c r="J22" s="29"/>
      <c r="K22" s="3">
        <f>+'2002PILRecoveryAmt'!H22</f>
        <v>0.259738155978607</v>
      </c>
      <c r="L22" s="2">
        <f>+K22*C22</f>
        <v>3455.6966857436164</v>
      </c>
      <c r="M22" s="25">
        <f>+'2002PILRecoveryAmt'!M22</f>
        <v>7879.684999999998</v>
      </c>
      <c r="N22" s="25">
        <f>+L22+M22</f>
        <v>11335.381685743614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16580.34</v>
      </c>
      <c r="H23" s="2">
        <f>+C23-F23</f>
        <v>16580.34</v>
      </c>
      <c r="J23" s="29"/>
      <c r="K23" s="3">
        <f>+'2002PILRecoveryAmt'!H22</f>
        <v>0.259738155978607</v>
      </c>
      <c r="L23" s="2">
        <f>+K23*C23</f>
        <v>4306.5469370983365</v>
      </c>
      <c r="M23" s="25">
        <f>+'2002PILRecoveryAmt'!M23</f>
        <v>0</v>
      </c>
      <c r="N23" s="25">
        <f>+L23+M23</f>
        <v>4306.5469370983365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39127.64</v>
      </c>
      <c r="H24" s="2">
        <f>+C24-F24</f>
        <v>39127.64</v>
      </c>
      <c r="J24" s="29"/>
      <c r="K24" s="3">
        <f>+'2002PILRecoveryAmt'!H22</f>
        <v>0.259738155978607</v>
      </c>
      <c r="L24" s="2">
        <f>+K24*C24</f>
        <v>10162.941061394782</v>
      </c>
      <c r="M24" s="25">
        <f>+'2002PILRecoveryAmt'!M24</f>
        <v>0</v>
      </c>
      <c r="N24" s="25">
        <f>+L24+M24</f>
        <v>10162.941061394782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432.36+2180.35</f>
        <v>2612.71</v>
      </c>
      <c r="H25" s="2">
        <f>+C25-F25</f>
        <v>2612.71</v>
      </c>
      <c r="J25" s="29"/>
      <c r="K25" s="3">
        <f>+'2002PILRecoveryAmt'!H22</f>
        <v>0.259738155978607</v>
      </c>
      <c r="L25" s="2">
        <f>+K25*C25</f>
        <v>678.6204775068663</v>
      </c>
      <c r="M25" s="25">
        <f>+'2002PILRecoveryAmt'!M25</f>
        <v>0</v>
      </c>
      <c r="N25" s="25">
        <f>+L25+M25</f>
        <v>678.6204775068663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7237.83</v>
      </c>
      <c r="F30" s="2">
        <f>+'[1]PILRecoveryAmt'!J28</f>
        <v>7063.666666666667</v>
      </c>
      <c r="H30" s="2">
        <f>+C30-F30</f>
        <v>174.16333333333296</v>
      </c>
      <c r="J30" s="29"/>
      <c r="K30" s="3">
        <f>+'2002PILRecoveryAmt'!H30</f>
        <v>0.10038318153933272</v>
      </c>
      <c r="L30" s="2">
        <f>+K30*C30</f>
        <v>726.5564028408286</v>
      </c>
      <c r="M30" s="25">
        <f>+'2002PILRecoveryAmt'!M30</f>
        <v>1646.6516666666666</v>
      </c>
      <c r="N30" s="25">
        <f>+L30+M30</f>
        <v>2373.208069507495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3129.6</v>
      </c>
      <c r="F34" s="2">
        <f>+'[1]PILRecoveryAmt'!J32</f>
        <v>3274.5</v>
      </c>
      <c r="H34" s="2">
        <f>+C34-F34</f>
        <v>-144.9000000000001</v>
      </c>
      <c r="J34" s="29"/>
      <c r="K34" s="3">
        <f>+'2002PILRecoveryAmt'!H34</f>
        <v>0.49355499567363975</v>
      </c>
      <c r="L34" s="2">
        <f>+K34*C34</f>
        <v>1544.6297144602229</v>
      </c>
      <c r="M34" s="25">
        <f>+'2002PILRecoveryAmt'!M34</f>
        <v>692.6341666666667</v>
      </c>
      <c r="N34" s="25">
        <f>+L34+M34</f>
        <v>2237.26388112689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836.65</v>
      </c>
      <c r="F37" s="2">
        <f>+'[1]PILRecoveryAmt'!J35</f>
        <v>1905.8333333333333</v>
      </c>
      <c r="H37" s="2">
        <f>+C37-F37</f>
        <v>-1069.1833333333334</v>
      </c>
      <c r="J37" s="29"/>
      <c r="K37" s="3">
        <f>+'2002PILRecoveryAmt'!H37</f>
        <v>0.7029287275907302</v>
      </c>
      <c r="L37" s="2">
        <f>+K37*C37</f>
        <v>588.1053199387844</v>
      </c>
      <c r="M37" s="25">
        <f>+'2002PILRecoveryAmt'!M37</f>
        <v>574.1416666666668</v>
      </c>
      <c r="N37" s="25">
        <f>+L37+M37</f>
        <v>1162.2469866054512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83704.22000000002</v>
      </c>
      <c r="D45" s="14">
        <f>SUM(D9:D44)</f>
        <v>18133306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-253.946666666668</v>
      </c>
      <c r="I45" s="14">
        <f>SUM(I9:I43)</f>
        <v>809144.9166666672</v>
      </c>
      <c r="J45" s="29"/>
      <c r="K45" s="15"/>
      <c r="L45" s="14">
        <f>SUM(L9:L43)</f>
        <v>58231.48116459021</v>
      </c>
      <c r="M45" s="14">
        <f>SUM(M9:M43)</f>
        <v>44980.35666666667</v>
      </c>
      <c r="N45" s="14">
        <f>SUM(N9:N43)</f>
        <v>103211.83783125685</v>
      </c>
      <c r="O45" s="25"/>
    </row>
    <row r="46" spans="7:15" ht="12.75">
      <c r="G46" s="2" t="s">
        <v>143</v>
      </c>
      <c r="H46" s="2">
        <f>+C45-F45</f>
        <v>-253.9466666666558</v>
      </c>
      <c r="I46" s="2">
        <f>+D45-G45</f>
        <v>809437.9166666679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9762053</v>
      </c>
      <c r="G9" s="2">
        <f>+'[1]PILRecoveryAmt'!K9</f>
        <v>10449948.666666666</v>
      </c>
      <c r="I9" s="2">
        <f>+D9-G9</f>
        <v>-687895.666666666</v>
      </c>
      <c r="J9" s="29"/>
      <c r="K9" s="3">
        <f>+'2002PILRecoveryAmt'!I9</f>
        <v>0.0023162344242456567</v>
      </c>
      <c r="L9" s="2">
        <f>+K9*D9</f>
        <v>22611.203209910585</v>
      </c>
      <c r="M9" s="25">
        <f>+'2002PILRecoveryAmt'!M9</f>
        <v>24204.53</v>
      </c>
      <c r="N9" s="25">
        <f>+L9+M9</f>
        <v>46815.733209910584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547391</v>
      </c>
      <c r="G10" s="2">
        <f>+'[1]PILRecoveryAmt'!K10</f>
        <v>640442.5</v>
      </c>
      <c r="I10" s="2">
        <f>+D10-G10</f>
        <v>-93051.5</v>
      </c>
      <c r="J10" s="29"/>
      <c r="K10" s="3">
        <f>+'2002PILRecoveryAmt'!I10</f>
        <v>0.002909445422500849</v>
      </c>
      <c r="L10" s="2">
        <f>+K10*D10</f>
        <v>1592.6042392681622</v>
      </c>
      <c r="M10" s="25">
        <f>+'2002PILRecoveryAmt'!M10</f>
        <v>140.2508333333332</v>
      </c>
      <c r="N10" s="25">
        <f>+L10+M10</f>
        <v>1732.8550726014955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279476</v>
      </c>
      <c r="G11" s="2">
        <f>+'[1]PILRecoveryAmt'!K11</f>
        <v>341661.4166666667</v>
      </c>
      <c r="I11" s="2">
        <f>+D11-G11</f>
        <v>-62185.416666666686</v>
      </c>
      <c r="J11" s="29"/>
      <c r="K11" s="3">
        <f>+'2002PILRecoveryAmt'!I11</f>
        <v>6.004970320275653E-05</v>
      </c>
      <c r="L11" s="2">
        <f>+K11*D11</f>
        <v>16.782450852293582</v>
      </c>
      <c r="M11" s="25">
        <f>+'2002PILRecoveryAmt'!M11</f>
        <v>492.40000000000003</v>
      </c>
      <c r="N11" s="25">
        <f>+L11+M11</f>
        <v>509.18245085229364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5367501</v>
      </c>
      <c r="G15" s="2">
        <f>+'[1]PILRecoveryAmt'!K13</f>
        <v>5891815.5</v>
      </c>
      <c r="I15" s="2">
        <f>+D15-G15</f>
        <v>-524314.5</v>
      </c>
      <c r="J15" s="29"/>
      <c r="K15" s="3">
        <f>+'2002PILRecoveryAmt'!I15</f>
        <v>0.0015111027039684684</v>
      </c>
      <c r="L15" s="2">
        <f>+K15*D15</f>
        <v>8110.845274653459</v>
      </c>
      <c r="M15" s="25">
        <f>+'2002PILRecoveryAmt'!M15</f>
        <v>8903.139166666666</v>
      </c>
      <c r="N15" s="25">
        <f>+L15+M15</f>
        <v>17013.984441320124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43834</v>
      </c>
      <c r="G17" s="2">
        <f>+'[1]PILRecoveryAmt'!K17</f>
        <v>0</v>
      </c>
      <c r="I17" s="2">
        <f>+D17-G17</f>
        <v>43834</v>
      </c>
      <c r="J17" s="29"/>
      <c r="K17" s="3">
        <v>0.00151</v>
      </c>
      <c r="L17" s="2">
        <f>+K17*D17</f>
        <v>66.18934</v>
      </c>
      <c r="M17" s="25">
        <f>+'2002PILRecoveryAmt'!M17</f>
        <v>0</v>
      </c>
      <c r="N17" s="25">
        <f>+L17+M17</f>
        <v>66.18934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12897.64</v>
      </c>
      <c r="F22" s="2">
        <f>+'[1]PILRecoveryAmt'!J20</f>
        <v>70786.41666666667</v>
      </c>
      <c r="H22" s="2">
        <f>+C22-F22</f>
        <v>-57888.77666666667</v>
      </c>
      <c r="J22" s="29"/>
      <c r="K22" s="3">
        <f>+'2002PILRecoveryAmt'!H22</f>
        <v>0.259738155978607</v>
      </c>
      <c r="L22" s="2">
        <f>+K22*C22</f>
        <v>3350.0092300759206</v>
      </c>
      <c r="M22" s="25">
        <f>+'2002PILRecoveryAmt'!M22</f>
        <v>7879.684999999998</v>
      </c>
      <c r="N22" s="25">
        <f>+L22+M22</f>
        <v>11229.694230075918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15840.68</v>
      </c>
      <c r="H23" s="2">
        <f>+C23-F23</f>
        <v>15840.68</v>
      </c>
      <c r="J23" s="29"/>
      <c r="K23" s="3">
        <f>+'2002PILRecoveryAmt'!H22</f>
        <v>0.259738155978607</v>
      </c>
      <c r="L23" s="2">
        <f>+K23*C23</f>
        <v>4114.429012647201</v>
      </c>
      <c r="M23" s="25">
        <f>+'2002PILRecoveryAmt'!M23</f>
        <v>0</v>
      </c>
      <c r="N23" s="25">
        <f>+L23+M23</f>
        <v>4114.429012647201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38569.89</v>
      </c>
      <c r="H24" s="2">
        <f>+C24-F24</f>
        <v>38569.89</v>
      </c>
      <c r="J24" s="29"/>
      <c r="K24" s="3">
        <f>+'2002PILRecoveryAmt'!H22</f>
        <v>0.259738155978607</v>
      </c>
      <c r="L24" s="2">
        <f>+K24*C24</f>
        <v>10018.072104897714</v>
      </c>
      <c r="M24" s="25">
        <f>+'2002PILRecoveryAmt'!M24</f>
        <v>0</v>
      </c>
      <c r="N24" s="25">
        <f>+L24+M24</f>
        <v>10018.072104897714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578.28+1990.42</f>
        <v>2568.7</v>
      </c>
      <c r="H25" s="2">
        <f>+C25-F25</f>
        <v>2568.7</v>
      </c>
      <c r="J25" s="29"/>
      <c r="K25" s="3">
        <f>+'2002PILRecoveryAmt'!H22</f>
        <v>0.259738155978607</v>
      </c>
      <c r="L25" s="2">
        <f>+K25*C25</f>
        <v>667.1894012622478</v>
      </c>
      <c r="M25" s="25">
        <f>+'2002PILRecoveryAmt'!M25</f>
        <v>0</v>
      </c>
      <c r="N25" s="25">
        <f>+L25+M25</f>
        <v>667.1894012622478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7053.72</v>
      </c>
      <c r="F30" s="2">
        <f>+'[1]PILRecoveryAmt'!J28</f>
        <v>7063.666666666667</v>
      </c>
      <c r="H30" s="2">
        <f>+C30-F30</f>
        <v>-9.946666666666715</v>
      </c>
      <c r="J30" s="29"/>
      <c r="K30" s="3">
        <f>+'2002PILRecoveryAmt'!H30</f>
        <v>0.10038318153933272</v>
      </c>
      <c r="L30" s="2">
        <f>+K30*C30</f>
        <v>708.074855287622</v>
      </c>
      <c r="M30" s="25">
        <f>+'2002PILRecoveryAmt'!M30</f>
        <v>1646.6516666666666</v>
      </c>
      <c r="N30" s="25">
        <f>+L30+M30</f>
        <v>2354.7265219542887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3225.6</v>
      </c>
      <c r="F34" s="2">
        <f>+'[1]PILRecoveryAmt'!J32</f>
        <v>3274.5</v>
      </c>
      <c r="H34" s="2">
        <f>+C34-F34</f>
        <v>-48.90000000000009</v>
      </c>
      <c r="J34" s="29"/>
      <c r="K34" s="3">
        <f>+'2002PILRecoveryAmt'!H34</f>
        <v>0.49355499567363975</v>
      </c>
      <c r="L34" s="2">
        <f>+K34*C34</f>
        <v>1592.0109940448924</v>
      </c>
      <c r="M34" s="25">
        <f>+'2002PILRecoveryAmt'!M34</f>
        <v>692.6341666666667</v>
      </c>
      <c r="N34" s="25">
        <f>+L34+M34</f>
        <v>2284.645160711559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802.77</v>
      </c>
      <c r="F37" s="2">
        <f>+'[1]PILRecoveryAmt'!J35</f>
        <v>1905.8333333333333</v>
      </c>
      <c r="H37" s="2">
        <f>+C37-F37</f>
        <v>-1103.0633333333333</v>
      </c>
      <c r="J37" s="29"/>
      <c r="K37" s="3">
        <f>+'2002PILRecoveryAmt'!H37</f>
        <v>0.7029287275907302</v>
      </c>
      <c r="L37" s="2">
        <f>+K37*C37</f>
        <v>564.2900946480105</v>
      </c>
      <c r="M37" s="25">
        <f>+'2002PILRecoveryAmt'!M37</f>
        <v>574.1416666666668</v>
      </c>
      <c r="N37" s="25">
        <f>+L37+M37</f>
        <v>1138.4317613146773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81833.91</v>
      </c>
      <c r="D45" s="14">
        <f>SUM(D9:D44)</f>
        <v>16120848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-2124.256666666672</v>
      </c>
      <c r="I45" s="14">
        <f>SUM(I9:I43)</f>
        <v>-1203313.0833333328</v>
      </c>
      <c r="J45" s="29"/>
      <c r="K45" s="15"/>
      <c r="L45" s="14">
        <f>SUM(L9:L43)</f>
        <v>53762.021591986464</v>
      </c>
      <c r="M45" s="14">
        <f>SUM(M9:M43)</f>
        <v>44980.35666666667</v>
      </c>
      <c r="N45" s="14">
        <f>SUM(N9:N43)</f>
        <v>98742.3782586531</v>
      </c>
      <c r="O45" s="25"/>
    </row>
    <row r="46" spans="7:15" ht="12.75">
      <c r="G46" s="2" t="s">
        <v>143</v>
      </c>
      <c r="H46" s="2">
        <f>+C45-F45</f>
        <v>-2124.256666666668</v>
      </c>
      <c r="I46" s="2">
        <f>+D45-G45</f>
        <v>-1203020.083333332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181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8985724</v>
      </c>
      <c r="G9" s="2">
        <f>+'[1]PILRecoveryAmt'!K9</f>
        <v>10449948.666666666</v>
      </c>
      <c r="I9" s="2">
        <f>+D9-G9</f>
        <v>-1464224.666666666</v>
      </c>
      <c r="J9" s="29"/>
      <c r="K9" s="3">
        <f>+'2002PILRecoveryAmt'!I9</f>
        <v>0.0023162344242456567</v>
      </c>
      <c r="L9" s="2">
        <f>+K9*D9</f>
        <v>20813.04325557038</v>
      </c>
      <c r="M9" s="25">
        <f>+'2002PILRecoveryAmt'!M9</f>
        <v>24204.53</v>
      </c>
      <c r="N9" s="25">
        <f>+L9+M9</f>
        <v>45017.57325557038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562276</v>
      </c>
      <c r="G10" s="2">
        <f>+'[1]PILRecoveryAmt'!K10</f>
        <v>640442.5</v>
      </c>
      <c r="I10" s="2">
        <f>+D10-G10</f>
        <v>-78166.5</v>
      </c>
      <c r="J10" s="29"/>
      <c r="K10" s="3">
        <f>+'2002PILRecoveryAmt'!I10</f>
        <v>0.002909445422500849</v>
      </c>
      <c r="L10" s="2">
        <f>+K10*D10</f>
        <v>1635.9113343820875</v>
      </c>
      <c r="M10" s="25">
        <f>+'2002PILRecoveryAmt'!M10</f>
        <v>140.2508333333332</v>
      </c>
      <c r="N10" s="25">
        <f>+L10+M10</f>
        <v>1776.1621677154208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264228</v>
      </c>
      <c r="G11" s="2">
        <f>+'[1]PILRecoveryAmt'!K11</f>
        <v>341661.4166666667</v>
      </c>
      <c r="I11" s="2">
        <f>+D11-G11</f>
        <v>-77433.41666666669</v>
      </c>
      <c r="J11" s="29"/>
      <c r="K11" s="3">
        <f>+'2002PILRecoveryAmt'!I11</f>
        <v>6.004970320275653E-05</v>
      </c>
      <c r="L11" s="2">
        <f>+K11*D11</f>
        <v>15.866812977857952</v>
      </c>
      <c r="M11" s="25">
        <f>+'2002PILRecoveryAmt'!M11</f>
        <v>492.40000000000003</v>
      </c>
      <c r="N11" s="25">
        <f>+L11+M11</f>
        <v>508.26681297785797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5187073</v>
      </c>
      <c r="G15" s="2">
        <f>+'[1]PILRecoveryAmt'!K13</f>
        <v>5891815.5</v>
      </c>
      <c r="I15" s="2">
        <f>+D15-G15</f>
        <v>-704742.5</v>
      </c>
      <c r="J15" s="29"/>
      <c r="K15" s="3">
        <f>+'2002PILRecoveryAmt'!I15</f>
        <v>0.0015111027039684684</v>
      </c>
      <c r="L15" s="2">
        <f>+K15*D15</f>
        <v>7838.200035981836</v>
      </c>
      <c r="M15" s="25">
        <f>+'2002PILRecoveryAmt'!M15</f>
        <v>8903.139166666666</v>
      </c>
      <c r="N15" s="25">
        <f>+L15+M15</f>
        <v>16741.3392026485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27391</v>
      </c>
      <c r="G17" s="2">
        <f>+'[1]PILRecoveryAmt'!K17</f>
        <v>0</v>
      </c>
      <c r="I17" s="2">
        <f>+D17-G17</f>
        <v>27391</v>
      </c>
      <c r="J17" s="29"/>
      <c r="K17" s="3">
        <v>0.00151</v>
      </c>
      <c r="L17" s="2">
        <f>+K17*D17</f>
        <v>41.36041</v>
      </c>
      <c r="M17" s="25">
        <f>+'2002PILRecoveryAmt'!M17</f>
        <v>0</v>
      </c>
      <c r="N17" s="25">
        <f>+L17+M17</f>
        <v>41.36041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13116.08</v>
      </c>
      <c r="F22" s="2">
        <f>+'[1]PILRecoveryAmt'!J20</f>
        <v>70786.41666666667</v>
      </c>
      <c r="H22" s="2">
        <f>+C22-F22</f>
        <v>-57670.33666666667</v>
      </c>
      <c r="J22" s="29"/>
      <c r="K22" s="3">
        <f>+'2002PILRecoveryAmt'!H22</f>
        <v>0.259738155978607</v>
      </c>
      <c r="L22" s="2">
        <f>+K22*C22</f>
        <v>3406.7464328678875</v>
      </c>
      <c r="M22" s="25">
        <f>+'2002PILRecoveryAmt'!M22</f>
        <v>7879.684999999998</v>
      </c>
      <c r="N22" s="25">
        <f>+L22+M22</f>
        <v>11286.431432867885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15781.46</v>
      </c>
      <c r="H23" s="2">
        <f>+C23-F23</f>
        <v>15781.46</v>
      </c>
      <c r="J23" s="29"/>
      <c r="K23" s="3">
        <f>+'2002PILRecoveryAmt'!H22</f>
        <v>0.259738155978607</v>
      </c>
      <c r="L23" s="2">
        <f>+K23*C23</f>
        <v>4099.047319050147</v>
      </c>
      <c r="M23" s="25">
        <f>+'2002PILRecoveryAmt'!M23</f>
        <v>0</v>
      </c>
      <c r="N23" s="25">
        <f>+L23+M23</f>
        <v>4099.047319050147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38699.73</v>
      </c>
      <c r="H24" s="2">
        <f>+C24-F24</f>
        <v>38699.73</v>
      </c>
      <c r="J24" s="29"/>
      <c r="K24" s="3">
        <f>+'2002PILRecoveryAmt'!H22</f>
        <v>0.259738155978607</v>
      </c>
      <c r="L24" s="2">
        <f>+K24*C24</f>
        <v>10051.796507069977</v>
      </c>
      <c r="M24" s="25">
        <f>+'2002PILRecoveryAmt'!M24</f>
        <v>0</v>
      </c>
      <c r="N24" s="25">
        <f>+L24+M24</f>
        <v>10051.796507069977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8.06+1951.46</f>
        <v>1959.52</v>
      </c>
      <c r="H25" s="2">
        <f>+C25-F25</f>
        <v>1959.52</v>
      </c>
      <c r="J25" s="29"/>
      <c r="K25" s="3">
        <f>+'2002PILRecoveryAmt'!H22</f>
        <v>0.259738155978607</v>
      </c>
      <c r="L25" s="2">
        <f>+K25*C25</f>
        <v>508.96211140319997</v>
      </c>
      <c r="M25" s="25">
        <f>+'2002PILRecoveryAmt'!M25</f>
        <v>0</v>
      </c>
      <c r="N25" s="25">
        <f>+L25+M25</f>
        <v>508.96211140319997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7051.72</v>
      </c>
      <c r="F30" s="2">
        <f>+'[1]PILRecoveryAmt'!J28</f>
        <v>7063.666666666667</v>
      </c>
      <c r="H30" s="2">
        <f>+C30-F30</f>
        <v>-11.946666666666715</v>
      </c>
      <c r="J30" s="29"/>
      <c r="K30" s="3">
        <f>+'2002PILRecoveryAmt'!H30</f>
        <v>0.10038318153933272</v>
      </c>
      <c r="L30" s="2">
        <f>+K30*C30</f>
        <v>707.8740889245433</v>
      </c>
      <c r="M30" s="25">
        <f>+'2002PILRecoveryAmt'!M30</f>
        <v>1646.6516666666666</v>
      </c>
      <c r="N30" s="25">
        <f>+L30+M30</f>
        <v>2354.52575559121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3240.95</v>
      </c>
      <c r="F34" s="2">
        <f>+'[1]PILRecoveryAmt'!J32</f>
        <v>3274.5</v>
      </c>
      <c r="H34" s="2">
        <f>+C34-F34</f>
        <v>-33.55000000000018</v>
      </c>
      <c r="J34" s="29"/>
      <c r="K34" s="3">
        <f>+'2002PILRecoveryAmt'!H34</f>
        <v>0.49355499567363975</v>
      </c>
      <c r="L34" s="2">
        <f>+K34*C34</f>
        <v>1599.5870632284827</v>
      </c>
      <c r="M34" s="25">
        <f>+'2002PILRecoveryAmt'!M34</f>
        <v>692.6341666666667</v>
      </c>
      <c r="N34" s="25">
        <f>+L34+M34</f>
        <v>2292.2212298951495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1017.6</v>
      </c>
      <c r="F37" s="2">
        <f>+'[1]PILRecoveryAmt'!J35</f>
        <v>1905.8333333333333</v>
      </c>
      <c r="H37" s="2">
        <f>+C37-F37</f>
        <v>-888.2333333333332</v>
      </c>
      <c r="J37" s="29"/>
      <c r="K37" s="3">
        <f>+'2002PILRecoveryAmt'!H37</f>
        <v>0.7029287275907302</v>
      </c>
      <c r="L37" s="2">
        <f>+K37*C37</f>
        <v>715.3002731963271</v>
      </c>
      <c r="M37" s="25">
        <f>+'2002PILRecoveryAmt'!M37</f>
        <v>574.1416666666668</v>
      </c>
      <c r="N37" s="25">
        <f>+L37+M37</f>
        <v>1289.4419398629939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81741.97000000002</v>
      </c>
      <c r="D45" s="14">
        <f>SUM(D9:D44)</f>
        <v>15147285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-2216.196666666667</v>
      </c>
      <c r="I45" s="14">
        <f>SUM(I9:I43)</f>
        <v>-2176876.083333333</v>
      </c>
      <c r="J45" s="29"/>
      <c r="K45" s="15"/>
      <c r="L45" s="14">
        <f>SUM(L9:L43)</f>
        <v>51784.01702909108</v>
      </c>
      <c r="M45" s="14">
        <f>SUM(M9:M43)</f>
        <v>44980.35666666667</v>
      </c>
      <c r="N45" s="14">
        <f>SUM(N9:N43)</f>
        <v>96764.37369575775</v>
      </c>
      <c r="O45" s="25"/>
    </row>
    <row r="46" spans="7:15" ht="12.75">
      <c r="G46" s="2" t="s">
        <v>143</v>
      </c>
      <c r="H46" s="2">
        <f>+C45-F45</f>
        <v>-2216.196666666656</v>
      </c>
      <c r="I46" s="2">
        <f>+D45-G45</f>
        <v>-2176583.083333332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293.0000000009313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5">
      <selection activeCell="F27" sqref="F27:J2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180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9837223</v>
      </c>
      <c r="G9" s="2">
        <f>+'[1]PILRecoveryAmt'!K9</f>
        <v>10449948.666666666</v>
      </c>
      <c r="I9" s="2">
        <f>+D9-G9</f>
        <v>-612725.666666666</v>
      </c>
      <c r="J9" s="29"/>
      <c r="K9" s="3">
        <f>+'2002PILRecoveryAmt'!I9</f>
        <v>0.0023162344242456567</v>
      </c>
      <c r="L9" s="2">
        <f>+K9*D9</f>
        <v>22785.314551581134</v>
      </c>
      <c r="M9" s="25">
        <f>+'2002PILRecoveryAmt'!M9</f>
        <v>24204.53</v>
      </c>
      <c r="N9" s="25">
        <f>+L9+M9</f>
        <v>46989.84455158113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643344</v>
      </c>
      <c r="G10" s="2">
        <f>+'[1]PILRecoveryAmt'!K10</f>
        <v>640442.5</v>
      </c>
      <c r="I10" s="2">
        <f>+D10-G10</f>
        <v>2901.5</v>
      </c>
      <c r="J10" s="29"/>
      <c r="K10" s="3">
        <f>+'2002PILRecoveryAmt'!I10</f>
        <v>0.002909445422500849</v>
      </c>
      <c r="L10" s="2">
        <f>+K10*D10</f>
        <v>1871.7742558933862</v>
      </c>
      <c r="M10" s="25">
        <f>+'2002PILRecoveryAmt'!M10</f>
        <v>140.2508333333332</v>
      </c>
      <c r="N10" s="25">
        <f>+L10+M10</f>
        <v>2012.0250892267195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336565</v>
      </c>
      <c r="G11" s="2">
        <f>+'[1]PILRecoveryAmt'!K11</f>
        <v>341661.4166666667</v>
      </c>
      <c r="I11" s="2">
        <f>+D11-G11</f>
        <v>-5096.416666666686</v>
      </c>
      <c r="J11" s="29"/>
      <c r="K11" s="3">
        <f>+'2002PILRecoveryAmt'!I11</f>
        <v>6.004970320275653E-05</v>
      </c>
      <c r="L11" s="2">
        <f>+K11*D11</f>
        <v>20.210628358435752</v>
      </c>
      <c r="M11" s="25">
        <f>+'2002PILRecoveryAmt'!M11</f>
        <v>492.40000000000003</v>
      </c>
      <c r="N11" s="25">
        <f>+L11+M11</f>
        <v>512.6106283584357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5715279</v>
      </c>
      <c r="G15" s="2">
        <f>+'[1]PILRecoveryAmt'!K13</f>
        <v>5891815.5</v>
      </c>
      <c r="I15" s="2">
        <f>+D15-G15</f>
        <v>-176536.5</v>
      </c>
      <c r="J15" s="29"/>
      <c r="K15" s="3">
        <f>+'2002PILRecoveryAmt'!I15</f>
        <v>0.0015111027039684684</v>
      </c>
      <c r="L15" s="2">
        <f>+K15*D15</f>
        <v>8636.373550834205</v>
      </c>
      <c r="M15" s="25">
        <f>+'2002PILRecoveryAmt'!M15</f>
        <v>8903.139166666666</v>
      </c>
      <c r="N15" s="25">
        <f>+L15+M15</f>
        <v>17539.51271750087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28772</v>
      </c>
      <c r="G17" s="2">
        <f>+'[1]PILRecoveryAmt'!K17</f>
        <v>0</v>
      </c>
      <c r="I17" s="2">
        <f>+D17-G17</f>
        <v>28772</v>
      </c>
      <c r="J17" s="29"/>
      <c r="K17" s="3">
        <v>0.00151</v>
      </c>
      <c r="L17" s="2">
        <f>+K17*D17</f>
        <v>43.44572</v>
      </c>
      <c r="M17" s="25">
        <f>+'2002PILRecoveryAmt'!M17</f>
        <v>0</v>
      </c>
      <c r="N17" s="25">
        <f>+L17+M17</f>
        <v>43.44572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14036.36</v>
      </c>
      <c r="F22" s="2">
        <f>+'[1]PILRecoveryAmt'!J20</f>
        <v>70786.41666666667</v>
      </c>
      <c r="H22" s="2">
        <f>+C22-F22</f>
        <v>-56750.05666666667</v>
      </c>
      <c r="J22" s="29"/>
      <c r="K22" s="3">
        <f>+'2002PILRecoveryAmt'!H22</f>
        <v>0.259738155978607</v>
      </c>
      <c r="L22" s="2">
        <f>+K22*C22</f>
        <v>3645.7782630518805</v>
      </c>
      <c r="M22" s="25">
        <f>+'2002PILRecoveryAmt'!M22</f>
        <v>7879.684999999998</v>
      </c>
      <c r="N22" s="25">
        <f>+L22+M22</f>
        <v>11525.463263051879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17152.31</v>
      </c>
      <c r="H23" s="2">
        <f>+C23-F23</f>
        <v>17152.31</v>
      </c>
      <c r="J23" s="29"/>
      <c r="K23" s="3">
        <f>+'2002PILRecoveryAmt'!H22</f>
        <v>0.259738155978607</v>
      </c>
      <c r="L23" s="2">
        <f>+K23*C23</f>
        <v>4455.109370173421</v>
      </c>
      <c r="M23" s="25">
        <f>+'2002PILRecoveryAmt'!M23</f>
        <v>0</v>
      </c>
      <c r="N23" s="25">
        <f>+L23+M23</f>
        <v>4455.109370173421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38223.78</v>
      </c>
      <c r="H24" s="2">
        <f>+C24-F24</f>
        <v>38223.78</v>
      </c>
      <c r="J24" s="29"/>
      <c r="K24" s="3">
        <f>+'2002PILRecoveryAmt'!H22</f>
        <v>0.259738155978607</v>
      </c>
      <c r="L24" s="2">
        <f>+K24*C24</f>
        <v>9928.174131731957</v>
      </c>
      <c r="M24" s="25">
        <f>+'2002PILRecoveryAmt'!M24</f>
        <v>0</v>
      </c>
      <c r="N24" s="25">
        <f>+L24+M24</f>
        <v>9928.174131731957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278.34+1698.3</f>
        <v>1976.6399999999999</v>
      </c>
      <c r="H25" s="2">
        <f>+C25-F25</f>
        <v>1976.6399999999999</v>
      </c>
      <c r="J25" s="29"/>
      <c r="K25" s="3">
        <f>+'2002PILRecoveryAmt'!H22</f>
        <v>0.259738155978607</v>
      </c>
      <c r="L25" s="2">
        <f>+K25*C25</f>
        <v>513.4088286335538</v>
      </c>
      <c r="M25" s="25">
        <f>+'2002PILRecoveryAmt'!M25</f>
        <v>0</v>
      </c>
      <c r="N25" s="25">
        <f>+L25+M25</f>
        <v>513.4088286335538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7134.86</v>
      </c>
      <c r="F30" s="2">
        <f>+'[1]PILRecoveryAmt'!J28</f>
        <v>7063.666666666667</v>
      </c>
      <c r="H30" s="2">
        <f>+C30-F30</f>
        <v>71.1933333333327</v>
      </c>
      <c r="J30" s="29"/>
      <c r="K30" s="3">
        <f>+'2002PILRecoveryAmt'!H30</f>
        <v>0.10038318153933272</v>
      </c>
      <c r="L30" s="2">
        <f>+K30*C30</f>
        <v>716.2199466377234</v>
      </c>
      <c r="M30" s="25">
        <f>+'2002PILRecoveryAmt'!M30</f>
        <v>1646.6516666666666</v>
      </c>
      <c r="N30" s="25">
        <f>+L30+M30</f>
        <v>2362.87161330439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3313.53</v>
      </c>
      <c r="F34" s="2">
        <f>+'[1]PILRecoveryAmt'!J32</f>
        <v>3274.5</v>
      </c>
      <c r="H34" s="2">
        <f>+C34-F34</f>
        <v>39.0300000000002</v>
      </c>
      <c r="J34" s="29"/>
      <c r="K34" s="3">
        <f>+'2002PILRecoveryAmt'!H34</f>
        <v>0.49355499567363975</v>
      </c>
      <c r="L34" s="2">
        <f>+K34*C34</f>
        <v>1635.4092848144755</v>
      </c>
      <c r="M34" s="25">
        <f>+'2002PILRecoveryAmt'!M34</f>
        <v>692.6341666666667</v>
      </c>
      <c r="N34" s="25">
        <f>+L34+M34</f>
        <v>2328.0434514811423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950.4</v>
      </c>
      <c r="F37" s="2">
        <f>+'[1]PILRecoveryAmt'!J35</f>
        <v>1905.8333333333333</v>
      </c>
      <c r="H37" s="2">
        <f>+C37-F37</f>
        <v>-955.4333333333333</v>
      </c>
      <c r="J37" s="29"/>
      <c r="K37" s="3">
        <f>+'2002PILRecoveryAmt'!H37</f>
        <v>0.7029287275907302</v>
      </c>
      <c r="L37" s="2">
        <f>+K37*C37</f>
        <v>668.06346270223</v>
      </c>
      <c r="M37" s="25">
        <f>+'2002PILRecoveryAmt'!M37</f>
        <v>574.1416666666668</v>
      </c>
      <c r="N37" s="25">
        <f>+L37+M37</f>
        <v>1242.205129368897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258.53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83662.79</v>
      </c>
      <c r="D45" s="14">
        <f>SUM(D9:D44)</f>
        <v>16681741.53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-295.376666666675</v>
      </c>
      <c r="I45" s="14">
        <f>SUM(I9:I43)</f>
        <v>-642385.0833333328</v>
      </c>
      <c r="J45" s="29"/>
      <c r="K45" s="15"/>
      <c r="L45" s="14">
        <f>SUM(L9:L43)</f>
        <v>55269.60337885074</v>
      </c>
      <c r="M45" s="14">
        <f>SUM(M9:M43)</f>
        <v>44980.35666666667</v>
      </c>
      <c r="N45" s="14">
        <f>SUM(N9:N43)</f>
        <v>100249.96004551741</v>
      </c>
      <c r="O45" s="25"/>
    </row>
    <row r="46" spans="7:15" ht="12.75">
      <c r="G46" s="2" t="s">
        <v>143</v>
      </c>
      <c r="H46" s="2">
        <f>+C45-F45</f>
        <v>-295.3766666666779</v>
      </c>
      <c r="I46" s="2">
        <f>+D45-G45</f>
        <v>-642126.5533333328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258.53000000002794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179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10869356</v>
      </c>
      <c r="G9" s="2">
        <f>+'[1]PILRecoveryAmt'!K9</f>
        <v>10449948.666666666</v>
      </c>
      <c r="I9" s="2">
        <f>+D9-G9</f>
        <v>419407.33333333395</v>
      </c>
      <c r="J9" s="29"/>
      <c r="K9" s="3">
        <f>+'2002PILRecoveryAmt'!I9</f>
        <v>0.0023162344242456567</v>
      </c>
      <c r="L9" s="2">
        <f>+K9*D9</f>
        <v>25175.976536581074</v>
      </c>
      <c r="M9" s="25">
        <f>+'2002PILRecoveryAmt'!M9</f>
        <v>24204.53</v>
      </c>
      <c r="N9" s="25">
        <f>+L9+M9</f>
        <v>49380.50653658107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765192</v>
      </c>
      <c r="G10" s="2">
        <f>+'[1]PILRecoveryAmt'!K10</f>
        <v>640442.5</v>
      </c>
      <c r="I10" s="2">
        <f>+D10-G10</f>
        <v>124749.5</v>
      </c>
      <c r="J10" s="29"/>
      <c r="K10" s="3">
        <f>+'2002PILRecoveryAmt'!I10</f>
        <v>0.002909445422500849</v>
      </c>
      <c r="L10" s="2">
        <f>+K10*D10</f>
        <v>2226.2843617342696</v>
      </c>
      <c r="M10" s="25">
        <f>+'2002PILRecoveryAmt'!M10</f>
        <v>140.2508333333332</v>
      </c>
      <c r="N10" s="25">
        <f>+L10+M10</f>
        <v>2366.5351950676027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384670</v>
      </c>
      <c r="G11" s="2">
        <f>+'[1]PILRecoveryAmt'!K11</f>
        <v>341661.4166666667</v>
      </c>
      <c r="I11" s="2">
        <f>+D11-G11</f>
        <v>43008.583333333314</v>
      </c>
      <c r="J11" s="29"/>
      <c r="K11" s="3">
        <f>+'2002PILRecoveryAmt'!I11</f>
        <v>6.004970320275653E-05</v>
      </c>
      <c r="L11" s="2">
        <f>+K11*D11</f>
        <v>23.099319331004356</v>
      </c>
      <c r="M11" s="25">
        <f>+'2002PILRecoveryAmt'!M11</f>
        <v>492.40000000000003</v>
      </c>
      <c r="N11" s="25">
        <f>+L11+M11</f>
        <v>515.4993193310044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6141188</v>
      </c>
      <c r="G15" s="2">
        <f>+'[1]PILRecoveryAmt'!K13</f>
        <v>5891815.5</v>
      </c>
      <c r="I15" s="2">
        <f>+D15-G15</f>
        <v>249372.5</v>
      </c>
      <c r="J15" s="29"/>
      <c r="K15" s="3">
        <f>+'2002PILRecoveryAmt'!I15</f>
        <v>0.0015111027039684684</v>
      </c>
      <c r="L15" s="2">
        <f>+K15*D15</f>
        <v>9279.96579237871</v>
      </c>
      <c r="M15" s="25">
        <f>+'2002PILRecoveryAmt'!M15</f>
        <v>8903.139166666666</v>
      </c>
      <c r="N15" s="25">
        <f>+L15+M15</f>
        <v>18183.104959045377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18400</v>
      </c>
      <c r="G17" s="2">
        <f>+'[1]PILRecoveryAmt'!K17</f>
        <v>0</v>
      </c>
      <c r="I17" s="2">
        <f>+D17-G17</f>
        <v>18400</v>
      </c>
      <c r="J17" s="29"/>
      <c r="K17" s="3">
        <v>0.00151</v>
      </c>
      <c r="L17" s="2">
        <f>+K17*D17</f>
        <v>27.784000000000002</v>
      </c>
      <c r="M17" s="25">
        <f>+'2002PILRecoveryAmt'!M17</f>
        <v>0</v>
      </c>
      <c r="N17" s="25">
        <f>+L17+M17</f>
        <v>27.784000000000002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14069.14</v>
      </c>
      <c r="F22" s="2">
        <f>+'[1]PILRecoveryAmt'!J20</f>
        <v>70786.41666666667</v>
      </c>
      <c r="H22" s="2">
        <f>+C22-F22</f>
        <v>-56717.27666666667</v>
      </c>
      <c r="J22" s="29"/>
      <c r="K22" s="3">
        <f>+'2002PILRecoveryAmt'!H22</f>
        <v>0.259738155978607</v>
      </c>
      <c r="L22" s="2">
        <f>+K22*C22</f>
        <v>3654.292479804859</v>
      </c>
      <c r="M22" s="25">
        <f>+'2002PILRecoveryAmt'!M22</f>
        <v>7879.684999999998</v>
      </c>
      <c r="N22" s="25">
        <f>+L22+M22</f>
        <v>11533.977479804857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16895.13</v>
      </c>
      <c r="H23" s="2">
        <f>+C23-F23</f>
        <v>16895.13</v>
      </c>
      <c r="J23" s="29"/>
      <c r="K23" s="3">
        <f>+'2002PILRecoveryAmt'!H22</f>
        <v>0.259738155978607</v>
      </c>
      <c r="L23" s="2">
        <f>+K23*C23</f>
        <v>4388.309911218843</v>
      </c>
      <c r="M23" s="25">
        <f>+'2002PILRecoveryAmt'!M23</f>
        <v>0</v>
      </c>
      <c r="N23" s="25">
        <f>+L23+M23</f>
        <v>4388.309911218843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36977.99</v>
      </c>
      <c r="H24" s="2">
        <f>+C24-F24</f>
        <v>36977.99</v>
      </c>
      <c r="J24" s="29"/>
      <c r="K24" s="3">
        <f>+'2002PILRecoveryAmt'!H22</f>
        <v>0.259738155978607</v>
      </c>
      <c r="L24" s="2">
        <f>+K24*C24</f>
        <v>9604.594934395369</v>
      </c>
      <c r="M24" s="25">
        <f>+'2002PILRecoveryAmt'!M24</f>
        <v>0</v>
      </c>
      <c r="N24" s="25">
        <f>+L24+M24</f>
        <v>9604.594934395369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286.8+1570.11</f>
        <v>1856.9099999999999</v>
      </c>
      <c r="H25" s="2">
        <f>+C25-F25</f>
        <v>1856.9099999999999</v>
      </c>
      <c r="J25" s="29"/>
      <c r="K25" s="3">
        <f>+'2002PILRecoveryAmt'!H22</f>
        <v>0.259738155978607</v>
      </c>
      <c r="L25" s="2">
        <f>+K25*C25</f>
        <v>482.3103792182351</v>
      </c>
      <c r="M25" s="25">
        <f>+'2002PILRecoveryAmt'!M25</f>
        <v>0</v>
      </c>
      <c r="N25" s="25">
        <f>+L25+M25</f>
        <v>482.3103792182351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6859.21</v>
      </c>
      <c r="F30" s="2">
        <f>+'[1]PILRecoveryAmt'!J28</f>
        <v>7063.666666666667</v>
      </c>
      <c r="H30" s="2">
        <f>+C30-F30</f>
        <v>-204.45666666666693</v>
      </c>
      <c r="J30" s="29"/>
      <c r="K30" s="3">
        <f>+'2002PILRecoveryAmt'!H30</f>
        <v>0.10038318153933272</v>
      </c>
      <c r="L30" s="2">
        <f>+K30*C30</f>
        <v>688.5493226464064</v>
      </c>
      <c r="M30" s="25">
        <f>+'2002PILRecoveryAmt'!M30</f>
        <v>1646.6516666666666</v>
      </c>
      <c r="N30" s="25">
        <f>+L30+M30</f>
        <v>2335.200989313073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3281.43</v>
      </c>
      <c r="F34" s="2">
        <f>+'[1]PILRecoveryAmt'!J32</f>
        <v>3274.5</v>
      </c>
      <c r="H34" s="2">
        <f>+C34-F34</f>
        <v>6.929999999999836</v>
      </c>
      <c r="J34" s="29"/>
      <c r="K34" s="3">
        <f>+'2002PILRecoveryAmt'!H34</f>
        <v>0.49355499567363975</v>
      </c>
      <c r="L34" s="2">
        <f>+K34*C34</f>
        <v>1619.5661694533517</v>
      </c>
      <c r="M34" s="25">
        <f>+'2002PILRecoveryAmt'!M34</f>
        <v>692.6341666666667</v>
      </c>
      <c r="N34" s="25">
        <f>+L34+M34</f>
        <v>2312.2003361200186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393.6</v>
      </c>
      <c r="F37" s="2">
        <f>+'[1]PILRecoveryAmt'!J35</f>
        <v>1905.8333333333333</v>
      </c>
      <c r="H37" s="2">
        <f>+C37-F37</f>
        <v>-1512.2333333333331</v>
      </c>
      <c r="J37" s="29"/>
      <c r="K37" s="3">
        <f>+'2002PILRecoveryAmt'!H37</f>
        <v>0.7029287275907302</v>
      </c>
      <c r="L37" s="2">
        <f>+K37*C37</f>
        <v>276.67274717971145</v>
      </c>
      <c r="M37" s="25">
        <f>+'2002PILRecoveryAmt'!M37</f>
        <v>574.1416666666668</v>
      </c>
      <c r="N37" s="25">
        <f>+L37+M37</f>
        <v>850.8144138463782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81208.32</v>
      </c>
      <c r="D45" s="14">
        <f>SUM(D9:D44)</f>
        <v>18297552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-2749.8466666666695</v>
      </c>
      <c r="I45" s="14">
        <f>SUM(I9:I43)</f>
        <v>973437.9166666672</v>
      </c>
      <c r="J45" s="29"/>
      <c r="K45" s="15"/>
      <c r="L45" s="14">
        <f>SUM(L9:L43)</f>
        <v>57795.00735351304</v>
      </c>
      <c r="M45" s="14">
        <f>SUM(M9:M43)</f>
        <v>44980.35666666667</v>
      </c>
      <c r="N45" s="14">
        <f>SUM(N9:N43)</f>
        <v>102775.36402017971</v>
      </c>
      <c r="O45" s="25"/>
    </row>
    <row r="46" spans="7:15" ht="12.75">
      <c r="G46" s="2" t="s">
        <v>143</v>
      </c>
      <c r="H46" s="2">
        <f>+C45-F45</f>
        <v>-2749.8466666666645</v>
      </c>
      <c r="I46" s="2">
        <f>+D45-G45</f>
        <v>973683.9166666679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178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12294131</v>
      </c>
      <c r="G9" s="2">
        <f>+'[1]PILRecoveryAmt'!K9</f>
        <v>10449948.666666666</v>
      </c>
      <c r="I9" s="2">
        <f>+D9-G9</f>
        <v>1844182.333333334</v>
      </c>
      <c r="J9" s="29"/>
      <c r="K9" s="3">
        <f>+'2002PILRecoveryAmt'!I9</f>
        <v>0.0023162344242456567</v>
      </c>
      <c r="L9" s="2">
        <f>+K9*D9</f>
        <v>28476.08943838568</v>
      </c>
      <c r="M9" s="25">
        <f>+'2002PILRecoveryAmt'!M9</f>
        <v>24204.53</v>
      </c>
      <c r="N9" s="25">
        <f>+L9+M9</f>
        <v>52680.61943838568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823851</v>
      </c>
      <c r="G10" s="2">
        <f>+'[1]PILRecoveryAmt'!K10</f>
        <v>640442.5</v>
      </c>
      <c r="I10" s="2">
        <f>+D10-G10</f>
        <v>183408.5</v>
      </c>
      <c r="J10" s="29"/>
      <c r="K10" s="3">
        <f>+'2002PILRecoveryAmt'!I10</f>
        <v>0.002909445422500849</v>
      </c>
      <c r="L10" s="2">
        <f>+K10*D10</f>
        <v>2396.949520772747</v>
      </c>
      <c r="M10" s="25">
        <f>+'2002PILRecoveryAmt'!M10</f>
        <v>140.2508333333332</v>
      </c>
      <c r="N10" s="25">
        <f>+L10+M10</f>
        <v>2537.20035410608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432334</v>
      </c>
      <c r="G11" s="2">
        <f>+'[1]PILRecoveryAmt'!K11</f>
        <v>341661.4166666667</v>
      </c>
      <c r="I11" s="2">
        <f>+D11-G11</f>
        <v>90672.58333333331</v>
      </c>
      <c r="J11" s="29"/>
      <c r="K11" s="3">
        <f>+'2002PILRecoveryAmt'!I11</f>
        <v>6.004970320275653E-05</v>
      </c>
      <c r="L11" s="2">
        <f>+K11*D11</f>
        <v>25.961528384460543</v>
      </c>
      <c r="M11" s="25">
        <f>+'2002PILRecoveryAmt'!M11</f>
        <v>492.40000000000003</v>
      </c>
      <c r="N11" s="25">
        <f>+L11+M11</f>
        <v>518.3615283844606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6758802</v>
      </c>
      <c r="G15" s="2">
        <f>+'[1]PILRecoveryAmt'!K13</f>
        <v>5891815.5</v>
      </c>
      <c r="I15" s="2">
        <f>+D15-G15</f>
        <v>866986.5</v>
      </c>
      <c r="J15" s="29"/>
      <c r="K15" s="3">
        <f>+'2002PILRecoveryAmt'!I15</f>
        <v>0.0015111027039684684</v>
      </c>
      <c r="L15" s="2">
        <f>+K15*D15</f>
        <v>10213.243977787492</v>
      </c>
      <c r="M15" s="25">
        <f>+'2002PILRecoveryAmt'!M15</f>
        <v>8903.139166666666</v>
      </c>
      <c r="N15" s="25">
        <f>+L15+M15</f>
        <v>19116.383144454157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15760</v>
      </c>
      <c r="G17" s="2">
        <f>+'[1]PILRecoveryAmt'!K17</f>
        <v>0</v>
      </c>
      <c r="I17" s="2">
        <f>+D17-G17</f>
        <v>15760</v>
      </c>
      <c r="J17" s="29"/>
      <c r="K17" s="3">
        <v>0.00151</v>
      </c>
      <c r="L17" s="2">
        <f>+K17*D17</f>
        <v>23.7976</v>
      </c>
      <c r="M17" s="25">
        <f>+'2002PILRecoveryAmt'!M17</f>
        <v>0</v>
      </c>
      <c r="N17" s="25">
        <f>+L17+M17</f>
        <v>23.7976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14704.9</v>
      </c>
      <c r="F22" s="2">
        <f>+'[1]PILRecoveryAmt'!J20</f>
        <v>70786.41666666667</v>
      </c>
      <c r="H22" s="2">
        <f>+C22-F22</f>
        <v>-56081.51666666667</v>
      </c>
      <c r="J22" s="29"/>
      <c r="K22" s="3">
        <f>+'2002PILRecoveryAmt'!H22</f>
        <v>0.259738155978607</v>
      </c>
      <c r="L22" s="2">
        <f>+K22*C22</f>
        <v>3819.423609849818</v>
      </c>
      <c r="M22" s="25">
        <f>+'2002PILRecoveryAmt'!M22</f>
        <v>7879.684999999998</v>
      </c>
      <c r="N22" s="25">
        <f>+L22+M22</f>
        <v>11699.108609849816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17504.11</v>
      </c>
      <c r="H23" s="2">
        <f>+C23-F23</f>
        <v>17504.11</v>
      </c>
      <c r="J23" s="29"/>
      <c r="K23" s="3">
        <f>+'2002PILRecoveryAmt'!H22</f>
        <v>0.259738155978607</v>
      </c>
      <c r="L23" s="2">
        <f>+K23*C23</f>
        <v>4546.4852534466945</v>
      </c>
      <c r="M23" s="25">
        <f>+'2002PILRecoveryAmt'!M23</f>
        <v>0</v>
      </c>
      <c r="N23" s="25">
        <f>+L23+M23</f>
        <v>4546.4852534466945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36870.15</v>
      </c>
      <c r="H24" s="2">
        <f>+C24-F24</f>
        <v>36870.15</v>
      </c>
      <c r="J24" s="29"/>
      <c r="K24" s="3">
        <f>+'2002PILRecoveryAmt'!H22</f>
        <v>0.259738155978607</v>
      </c>
      <c r="L24" s="2">
        <f>+K24*C24</f>
        <v>9576.584771654638</v>
      </c>
      <c r="M24" s="25">
        <f>+'2002PILRecoveryAmt'!M24</f>
        <v>0</v>
      </c>
      <c r="N24" s="25">
        <f>+L24+M24</f>
        <v>9576.584771654638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270.82+1490.99</f>
        <v>1761.81</v>
      </c>
      <c r="H25" s="2">
        <f>+C25-F25</f>
        <v>1761.81</v>
      </c>
      <c r="J25" s="29"/>
      <c r="K25" s="3">
        <f>+'2002PILRecoveryAmt'!H22</f>
        <v>0.259738155978607</v>
      </c>
      <c r="L25" s="2">
        <f>+K25*C25</f>
        <v>457.6092805846696</v>
      </c>
      <c r="M25" s="25">
        <f>+'2002PILRecoveryAmt'!M25</f>
        <v>0</v>
      </c>
      <c r="N25" s="25">
        <f>+L25+M25</f>
        <v>457.6092805846696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6823.07</v>
      </c>
      <c r="F30" s="2">
        <f>+'[1]PILRecoveryAmt'!J28</f>
        <v>7063.666666666667</v>
      </c>
      <c r="H30" s="2">
        <f>+C30-F30</f>
        <v>-240.59666666666726</v>
      </c>
      <c r="J30" s="29"/>
      <c r="K30" s="3">
        <f>+'2002PILRecoveryAmt'!H30</f>
        <v>0.10038318153933272</v>
      </c>
      <c r="L30" s="2">
        <f>+K30*C30</f>
        <v>684.9214744655749</v>
      </c>
      <c r="M30" s="25">
        <f>+'2002PILRecoveryAmt'!M30</f>
        <v>1646.6516666666666</v>
      </c>
      <c r="N30" s="25">
        <f>+L30+M30</f>
        <v>2331.5731411322413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3247.77</v>
      </c>
      <c r="F34" s="2">
        <f>+'[1]PILRecoveryAmt'!J32</f>
        <v>3274.5</v>
      </c>
      <c r="H34" s="2">
        <f>+C34-F34</f>
        <v>-26.730000000000018</v>
      </c>
      <c r="J34" s="29"/>
      <c r="K34" s="3">
        <f>+'2002PILRecoveryAmt'!H34</f>
        <v>0.49355499567363975</v>
      </c>
      <c r="L34" s="2">
        <f>+K34*C34</f>
        <v>1602.953108298977</v>
      </c>
      <c r="M34" s="25">
        <f>+'2002PILRecoveryAmt'!M34</f>
        <v>692.6341666666667</v>
      </c>
      <c r="N34" s="25">
        <f>+L34+M34</f>
        <v>2295.5872749656437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582.54</v>
      </c>
      <c r="F37" s="2">
        <f>+'[1]PILRecoveryAmt'!J35</f>
        <v>1905.8333333333333</v>
      </c>
      <c r="H37" s="2">
        <f>+C37-F37</f>
        <v>-1323.2933333333333</v>
      </c>
      <c r="J37" s="29"/>
      <c r="K37" s="3">
        <f>+'2002PILRecoveryAmt'!H37</f>
        <v>0.7029287275907302</v>
      </c>
      <c r="L37" s="2">
        <f>+K37*C37</f>
        <v>409.48410097070393</v>
      </c>
      <c r="M37" s="25">
        <f>+'2002PILRecoveryAmt'!M37</f>
        <v>574.1416666666668</v>
      </c>
      <c r="N37" s="25">
        <f>+L37+M37</f>
        <v>983.6257676373707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82373.42000000001</v>
      </c>
      <c r="D45" s="14">
        <f>SUM(D9:D44)</f>
        <v>20443624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-1584.7466666666687</v>
      </c>
      <c r="I45" s="14">
        <f>SUM(I9:I43)</f>
        <v>3119509.9166666674</v>
      </c>
      <c r="J45" s="29"/>
      <c r="K45" s="15"/>
      <c r="L45" s="14">
        <f>SUM(L9:L43)</f>
        <v>62581.906413606615</v>
      </c>
      <c r="M45" s="14">
        <f>SUM(M9:M43)</f>
        <v>44980.35666666667</v>
      </c>
      <c r="N45" s="14">
        <f>SUM(N9:N43)</f>
        <v>107562.2630802733</v>
      </c>
      <c r="O45" s="25"/>
    </row>
    <row r="46" spans="7:15" ht="12.75">
      <c r="G46" s="2" t="s">
        <v>143</v>
      </c>
      <c r="H46" s="2">
        <f>+C45-F45</f>
        <v>-1584.7466666666587</v>
      </c>
      <c r="I46" s="2">
        <f>+D45-G45</f>
        <v>3119755.916666668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246.00000000046566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13659527</v>
      </c>
      <c r="G9" s="2">
        <f>+'[1]PILRecoveryAmt'!K9</f>
        <v>10449948.666666666</v>
      </c>
      <c r="I9" s="2">
        <f>+D9-G9</f>
        <v>3209578.333333334</v>
      </c>
      <c r="J9" s="29"/>
      <c r="K9" s="3">
        <f>+'2002PILRecoveryAmt'!I9</f>
        <v>0.0023162344242456567</v>
      </c>
      <c r="L9" s="2">
        <f>+K9*D9</f>
        <v>31638.666656313002</v>
      </c>
      <c r="M9" s="25">
        <f>+'2002PILRecoveryAmt'!M9</f>
        <v>24204.53</v>
      </c>
      <c r="N9" s="25">
        <f>+L9+M9</f>
        <v>55843.196656313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866162</v>
      </c>
      <c r="G10" s="2">
        <f>+'[1]PILRecoveryAmt'!K10</f>
        <v>640442.5</v>
      </c>
      <c r="I10" s="2">
        <f>+D10-G10</f>
        <v>225719.5</v>
      </c>
      <c r="J10" s="29"/>
      <c r="K10" s="3">
        <f>+'2002PILRecoveryAmt'!I10</f>
        <v>0.002909445422500849</v>
      </c>
      <c r="L10" s="2">
        <f>+K10*D10</f>
        <v>2520.0510660441805</v>
      </c>
      <c r="M10" s="25">
        <f>+'2002PILRecoveryAmt'!M10</f>
        <v>140.2508333333332</v>
      </c>
      <c r="N10" s="25">
        <f>+L10+M10</f>
        <v>2660.3018993775136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447571</v>
      </c>
      <c r="G11" s="2">
        <f>+'[1]PILRecoveryAmt'!K11</f>
        <v>341661.4166666667</v>
      </c>
      <c r="I11" s="2">
        <f>+D11-G11</f>
        <v>105909.58333333331</v>
      </c>
      <c r="J11" s="29"/>
      <c r="K11" s="3">
        <f>+'2002PILRecoveryAmt'!I11</f>
        <v>6.004970320275653E-05</v>
      </c>
      <c r="L11" s="2">
        <f>+K11*D11</f>
        <v>26.87650571216094</v>
      </c>
      <c r="M11" s="25">
        <f>+'2002PILRecoveryAmt'!M11</f>
        <v>492.40000000000003</v>
      </c>
      <c r="N11" s="25">
        <f>+L11+M11</f>
        <v>519.276505712161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7009754-1912</f>
        <v>7007842</v>
      </c>
      <c r="G15" s="2">
        <f>+'[1]PILRecoveryAmt'!K13</f>
        <v>5891815.5</v>
      </c>
      <c r="I15" s="2">
        <f>+D15-G15</f>
        <v>1116026.5</v>
      </c>
      <c r="J15" s="29"/>
      <c r="K15" s="3">
        <f>+'2002PILRecoveryAmt'!I15</f>
        <v>0.0015111027039684684</v>
      </c>
      <c r="L15" s="2">
        <f>+K15*D15</f>
        <v>10589.5689951838</v>
      </c>
      <c r="M15" s="25">
        <f>+'2002PILRecoveryAmt'!M15</f>
        <v>8903.139166666666</v>
      </c>
      <c r="N15" s="25">
        <f>+L15+M15</f>
        <v>19492.708161850467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18080</v>
      </c>
      <c r="G17" s="2">
        <f>+'[1]PILRecoveryAmt'!K17</f>
        <v>0</v>
      </c>
      <c r="I17" s="2">
        <f>+D17-G17</f>
        <v>18080</v>
      </c>
      <c r="J17" s="29"/>
      <c r="K17" s="3">
        <v>0.00151</v>
      </c>
      <c r="L17" s="2">
        <f>+K17*D17</f>
        <v>27.300800000000002</v>
      </c>
      <c r="M17" s="25">
        <f>+'2002PILRecoveryAmt'!M17</f>
        <v>0</v>
      </c>
      <c r="N17" s="25">
        <f>+L17+M17</f>
        <v>27.300800000000002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14602.98</v>
      </c>
      <c r="F22" s="2">
        <f>+'[1]PILRecoveryAmt'!J20</f>
        <v>70786.41666666667</v>
      </c>
      <c r="H22" s="2">
        <f>+C22-F22</f>
        <v>-56183.436666666676</v>
      </c>
      <c r="J22" s="29"/>
      <c r="K22" s="3">
        <f>+'2002PILRecoveryAmt'!H22</f>
        <v>0.259738155978607</v>
      </c>
      <c r="L22" s="2">
        <f>+K22*C22</f>
        <v>3792.951096992478</v>
      </c>
      <c r="M22" s="25">
        <f>+'2002PILRecoveryAmt'!M22</f>
        <v>7879.684999999998</v>
      </c>
      <c r="N22" s="25">
        <f>+L22+M22</f>
        <v>11672.636096992475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17622.77</v>
      </c>
      <c r="H23" s="2">
        <f>+C23-F23</f>
        <v>17622.77</v>
      </c>
      <c r="J23" s="29"/>
      <c r="K23" s="3">
        <f>+'2002PILRecoveryAmt'!H22</f>
        <v>0.259738155978607</v>
      </c>
      <c r="L23" s="2">
        <f>+K23*C23</f>
        <v>4577.305783035116</v>
      </c>
      <c r="M23" s="25">
        <f>+'2002PILRecoveryAmt'!M23</f>
        <v>0</v>
      </c>
      <c r="N23" s="25">
        <f>+L23+M23</f>
        <v>4577.305783035116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35984.01</v>
      </c>
      <c r="H24" s="2">
        <f>+C24-F24</f>
        <v>35984.01</v>
      </c>
      <c r="J24" s="29"/>
      <c r="K24" s="3">
        <f>+'2002PILRecoveryAmt'!H22</f>
        <v>0.259738155978607</v>
      </c>
      <c r="L24" s="2">
        <f>+K24*C24</f>
        <v>9346.420402115755</v>
      </c>
      <c r="M24" s="25">
        <f>+'2002PILRecoveryAmt'!M24</f>
        <v>0</v>
      </c>
      <c r="N24" s="25">
        <f>+L24+M24</f>
        <v>9346.420402115755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275.1+1512.6</f>
        <v>1787.6999999999998</v>
      </c>
      <c r="H25" s="2">
        <f>+C25-F25</f>
        <v>1787.6999999999998</v>
      </c>
      <c r="J25" s="29"/>
      <c r="K25" s="3">
        <f>+'2002PILRecoveryAmt'!H22</f>
        <v>0.259738155978607</v>
      </c>
      <c r="L25" s="2">
        <f>+K25*C25</f>
        <v>464.33390144295566</v>
      </c>
      <c r="M25" s="25">
        <f>+'2002PILRecoveryAmt'!M25</f>
        <v>0</v>
      </c>
      <c r="N25" s="25">
        <f>+L25+M25</f>
        <v>464.33390144295566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6983.77</v>
      </c>
      <c r="F30" s="2">
        <f>+'[1]PILRecoveryAmt'!J28</f>
        <v>7063.666666666667</v>
      </c>
      <c r="H30" s="2">
        <f>+C30-F30</f>
        <v>-79.89666666666653</v>
      </c>
      <c r="J30" s="29"/>
      <c r="K30" s="3">
        <f>+'2002PILRecoveryAmt'!H30</f>
        <v>0.10038318153933272</v>
      </c>
      <c r="L30" s="2">
        <f>+K30*C30</f>
        <v>701.0530517389457</v>
      </c>
      <c r="M30" s="25">
        <f>+'2002PILRecoveryAmt'!M30</f>
        <v>1646.6516666666666</v>
      </c>
      <c r="N30" s="25">
        <f>+L30+M30</f>
        <v>2347.7047184056123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3843.2</v>
      </c>
      <c r="F34" s="2">
        <f>+'[1]PILRecoveryAmt'!J32</f>
        <v>3274.5</v>
      </c>
      <c r="H34" s="2">
        <f>+C34-F34</f>
        <v>568.6999999999998</v>
      </c>
      <c r="J34" s="29"/>
      <c r="K34" s="3">
        <f>+'2002PILRecoveryAmt'!H34</f>
        <v>0.49355499567363975</v>
      </c>
      <c r="L34" s="2">
        <f>+K34*C34</f>
        <v>1896.8305593729322</v>
      </c>
      <c r="M34" s="25">
        <f>+'2002PILRecoveryAmt'!M34</f>
        <v>692.6341666666667</v>
      </c>
      <c r="N34" s="25">
        <f>+L34+M34</f>
        <v>2589.4647260395986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449.03</v>
      </c>
      <c r="F37" s="2">
        <f>+'[1]PILRecoveryAmt'!J35</f>
        <v>1905.8333333333333</v>
      </c>
      <c r="H37" s="2">
        <f>+C37-F37</f>
        <v>-1456.8033333333333</v>
      </c>
      <c r="J37" s="29"/>
      <c r="K37" s="3">
        <f>+'2002PILRecoveryAmt'!H37</f>
        <v>0.7029287275907302</v>
      </c>
      <c r="L37" s="2">
        <f>+K37*C37</f>
        <v>315.63608655006556</v>
      </c>
      <c r="M37" s="25">
        <f>+'2002PILRecoveryAmt'!M37</f>
        <v>574.1416666666668</v>
      </c>
      <c r="N37" s="25">
        <f>+L37+M37</f>
        <v>889.7777532167323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82152.53000000001</v>
      </c>
      <c r="D45" s="14">
        <f>SUM(D9:D44)</f>
        <v>22117928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-1805.6366666666697</v>
      </c>
      <c r="I45" s="14">
        <f>SUM(I9:I43)</f>
        <v>4793813.916666668</v>
      </c>
      <c r="J45" s="29"/>
      <c r="K45" s="15"/>
      <c r="L45" s="14">
        <f>SUM(L9:L43)</f>
        <v>66245.39765350657</v>
      </c>
      <c r="M45" s="14">
        <f>SUM(M9:M43)</f>
        <v>44980.35666666667</v>
      </c>
      <c r="N45" s="14">
        <f>SUM(N9:N43)</f>
        <v>111225.75432017322</v>
      </c>
      <c r="O45" s="25"/>
    </row>
    <row r="46" spans="7:15" ht="12.75">
      <c r="G46" s="2" t="s">
        <v>143</v>
      </c>
      <c r="H46" s="2">
        <f>+C45-F45</f>
        <v>-1805.6366666666581</v>
      </c>
      <c r="I46" s="2">
        <f>+D45-G45</f>
        <v>4794059.916666668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13075904</v>
      </c>
      <c r="G9" s="2">
        <f>+'[1]PILRecoveryAmt'!K9</f>
        <v>10449948.666666666</v>
      </c>
      <c r="I9" s="2">
        <f>+D9-G9</f>
        <v>2625955.333333334</v>
      </c>
      <c r="J9" s="29"/>
      <c r="K9" s="3">
        <f>+'2002PILRecoveryAmt'!I9</f>
        <v>0.0023162344242456567</v>
      </c>
      <c r="L9" s="2">
        <f>+K9*D9</f>
        <v>30286.85897293148</v>
      </c>
      <c r="M9" s="25">
        <f>+'2002PILRecoveryAmt'!M9</f>
        <v>24204.53</v>
      </c>
      <c r="N9" s="25">
        <f>+L9+M9</f>
        <v>54491.38897293148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768827</v>
      </c>
      <c r="G10" s="2">
        <f>+'[1]PILRecoveryAmt'!K10</f>
        <v>640442.5</v>
      </c>
      <c r="I10" s="2">
        <f>+D10-G10</f>
        <v>128384.5</v>
      </c>
      <c r="J10" s="29"/>
      <c r="K10" s="3">
        <f>+'2002PILRecoveryAmt'!I10</f>
        <v>0.002909445422500849</v>
      </c>
      <c r="L10" s="2">
        <f>+K10*D10</f>
        <v>2236.8601958450604</v>
      </c>
      <c r="M10" s="25">
        <f>+'2002PILRecoveryAmt'!M10</f>
        <v>140.2508333333332</v>
      </c>
      <c r="N10" s="25">
        <f>+L10+M10</f>
        <v>2377.1110291783934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412764</v>
      </c>
      <c r="G11" s="2">
        <f>+'[1]PILRecoveryAmt'!K11</f>
        <v>341661.4166666667</v>
      </c>
      <c r="I11" s="2">
        <f>+D11-G11</f>
        <v>71102.58333333331</v>
      </c>
      <c r="J11" s="29"/>
      <c r="K11" s="3">
        <f>+'2002PILRecoveryAmt'!I11</f>
        <v>6.004970320275653E-05</v>
      </c>
      <c r="L11" s="2">
        <f>+K11*D11</f>
        <v>24.786355692782596</v>
      </c>
      <c r="M11" s="25">
        <f>+'2002PILRecoveryAmt'!M11</f>
        <v>492.40000000000003</v>
      </c>
      <c r="N11" s="25">
        <f>+L11+M11</f>
        <v>517.1863556927826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6609714</v>
      </c>
      <c r="G15" s="2">
        <f>+'[1]PILRecoveryAmt'!K13</f>
        <v>5891815.5</v>
      </c>
      <c r="I15" s="2">
        <f>+D15-G15</f>
        <v>717898.5</v>
      </c>
      <c r="J15" s="29"/>
      <c r="K15" s="3">
        <f>+'2002PILRecoveryAmt'!I15</f>
        <v>0.0015111027039684684</v>
      </c>
      <c r="L15" s="2">
        <f>+K15*D15</f>
        <v>9987.95669785824</v>
      </c>
      <c r="M15" s="25">
        <f>+'2002PILRecoveryAmt'!M15</f>
        <v>8903.139166666666</v>
      </c>
      <c r="N15" s="25">
        <f>+L15+M15</f>
        <v>18891.095864524905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19120</v>
      </c>
      <c r="G17" s="2">
        <f>+'[1]PILRecoveryAmt'!K17</f>
        <v>0</v>
      </c>
      <c r="I17" s="2">
        <f>+D17-G17</f>
        <v>19120</v>
      </c>
      <c r="J17" s="29"/>
      <c r="K17" s="3">
        <v>0.00151</v>
      </c>
      <c r="L17" s="2">
        <f>+K17*D17</f>
        <v>28.8712</v>
      </c>
      <c r="M17" s="25">
        <f>+'2002PILRecoveryAmt'!M17</f>
        <v>0</v>
      </c>
      <c r="N17" s="25">
        <f>+L17+M17</f>
        <v>28.8712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13772.82</v>
      </c>
      <c r="F22" s="2">
        <f>+'[1]PILRecoveryAmt'!J20</f>
        <v>70786.41666666667</v>
      </c>
      <c r="H22" s="2">
        <f>+C22-F22</f>
        <v>-57013.59666666667</v>
      </c>
      <c r="J22" s="29"/>
      <c r="K22" s="3">
        <f>+'2002PILRecoveryAmt'!H22</f>
        <v>0.259738155978607</v>
      </c>
      <c r="L22" s="2">
        <f>+K22*C22</f>
        <v>3577.326869425278</v>
      </c>
      <c r="M22" s="25">
        <f>+'2002PILRecoveryAmt'!M22</f>
        <v>7879.684999999998</v>
      </c>
      <c r="N22" s="25">
        <f>+L22+M22</f>
        <v>11457.011869425276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18214.401</v>
      </c>
      <c r="H23" s="2">
        <f>+C23-F23</f>
        <v>18214.401</v>
      </c>
      <c r="J23" s="29"/>
      <c r="K23" s="3">
        <f>+'2002PILRecoveryAmt'!H22</f>
        <v>0.259738155978607</v>
      </c>
      <c r="L23" s="2">
        <f>+K23*C23</f>
        <v>4730.974927994896</v>
      </c>
      <c r="M23" s="25">
        <f>+'2002PILRecoveryAmt'!M23</f>
        <v>0</v>
      </c>
      <c r="N23" s="25">
        <f>+L23+M23</f>
        <v>4730.974927994896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35886.69</v>
      </c>
      <c r="H24" s="2">
        <f>+C24-F24</f>
        <v>35886.69</v>
      </c>
      <c r="J24" s="29"/>
      <c r="K24" s="3">
        <f>+'2002PILRecoveryAmt'!H22</f>
        <v>0.259738155978607</v>
      </c>
      <c r="L24" s="2">
        <f>+K24*C24</f>
        <v>9321.142684775916</v>
      </c>
      <c r="M24" s="25">
        <f>+'2002PILRecoveryAmt'!M24</f>
        <v>0</v>
      </c>
      <c r="N24" s="25">
        <f>+L24+M24</f>
        <v>9321.142684775916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272.22+1525.6</f>
        <v>1797.82</v>
      </c>
      <c r="H25" s="2">
        <f>+C25-F25</f>
        <v>1797.82</v>
      </c>
      <c r="J25" s="29"/>
      <c r="K25" s="3">
        <f>+'2002PILRecoveryAmt'!H22</f>
        <v>0.259738155978607</v>
      </c>
      <c r="L25" s="2">
        <f>+K25*C25</f>
        <v>466.9624515814592</v>
      </c>
      <c r="M25" s="25">
        <f>+'2002PILRecoveryAmt'!M25</f>
        <v>0</v>
      </c>
      <c r="N25" s="25">
        <f>+L25+M25</f>
        <v>466.9624515814592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6751.5</v>
      </c>
      <c r="F30" s="2">
        <f>+'[1]PILRecoveryAmt'!J28</f>
        <v>7063.666666666667</v>
      </c>
      <c r="H30" s="2">
        <f>+C30-F30</f>
        <v>-312.16666666666697</v>
      </c>
      <c r="J30" s="29"/>
      <c r="K30" s="3">
        <f>+'2002PILRecoveryAmt'!H30</f>
        <v>0.10038318153933272</v>
      </c>
      <c r="L30" s="2">
        <f>+K30*C30</f>
        <v>677.7370501628048</v>
      </c>
      <c r="M30" s="25">
        <f>+'2002PILRecoveryAmt'!M30</f>
        <v>1646.6516666666666</v>
      </c>
      <c r="N30" s="25">
        <f>+L30+M30</f>
        <v>2324.3887168294714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3350.05</v>
      </c>
      <c r="F34" s="2">
        <f>+'[1]PILRecoveryAmt'!J32</f>
        <v>3274.5</v>
      </c>
      <c r="H34" s="2">
        <f>+C34-F34</f>
        <v>75.55000000000018</v>
      </c>
      <c r="J34" s="29"/>
      <c r="K34" s="3">
        <f>+'2002PILRecoveryAmt'!H34</f>
        <v>0.49355499567363975</v>
      </c>
      <c r="L34" s="2">
        <f>+K34*C34</f>
        <v>1653.433913256477</v>
      </c>
      <c r="M34" s="25">
        <f>+'2002PILRecoveryAmt'!M34</f>
        <v>692.6341666666667</v>
      </c>
      <c r="N34" s="25">
        <f>+L34+M34</f>
        <v>2346.0680799231436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1254.26</v>
      </c>
      <c r="F37" s="2">
        <f>+'[1]PILRecoveryAmt'!J35</f>
        <v>1905.8333333333333</v>
      </c>
      <c r="H37" s="2">
        <f>+C37-F37</f>
        <v>-651.5733333333333</v>
      </c>
      <c r="J37" s="29"/>
      <c r="K37" s="3">
        <f>+'2002PILRecoveryAmt'!H37</f>
        <v>0.7029287275907302</v>
      </c>
      <c r="L37" s="2">
        <f>+K37*C37</f>
        <v>881.6553858679492</v>
      </c>
      <c r="M37" s="25">
        <f>+'2002PILRecoveryAmt'!M37</f>
        <v>574.1416666666668</v>
      </c>
      <c r="N37" s="25">
        <f>+L37+M37</f>
        <v>1455.797052534616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209.96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81906.61100000002</v>
      </c>
      <c r="D45" s="14">
        <f>SUM(D9:D44)</f>
        <v>21005038.96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-2051.5556666666644</v>
      </c>
      <c r="I45" s="14">
        <f>SUM(I9:I43)</f>
        <v>3680960.9166666674</v>
      </c>
      <c r="J45" s="29"/>
      <c r="K45" s="15"/>
      <c r="L45" s="14">
        <f>SUM(L9:L43)</f>
        <v>64222.969454397506</v>
      </c>
      <c r="M45" s="14">
        <f>SUM(M9:M43)</f>
        <v>44980.35666666667</v>
      </c>
      <c r="N45" s="14">
        <f>SUM(N9:N43)</f>
        <v>109203.3261210642</v>
      </c>
      <c r="O45" s="25"/>
    </row>
    <row r="46" spans="7:15" ht="12.75">
      <c r="G46" s="2" t="s">
        <v>143</v>
      </c>
      <c r="H46" s="2">
        <f>+C45-F45</f>
        <v>-2051.5556666666525</v>
      </c>
      <c r="I46" s="2">
        <f>+D45-G45</f>
        <v>3681170.876666669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209.96000000135973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18"/>
  <sheetViews>
    <sheetView zoomScalePageLayoutView="0" workbookViewId="0" topLeftCell="W37">
      <selection activeCell="W56" sqref="W56"/>
    </sheetView>
  </sheetViews>
  <sheetFormatPr defaultColWidth="9.140625" defaultRowHeight="12.75"/>
  <cols>
    <col min="2" max="2" width="28.421875" style="0" bestFit="1" customWidth="1"/>
    <col min="3" max="3" width="17.140625" style="2" hidden="1" customWidth="1"/>
    <col min="4" max="4" width="14.8515625" style="2" hidden="1" customWidth="1"/>
    <col min="5" max="5" width="1.1484375" style="2" hidden="1" customWidth="1"/>
    <col min="6" max="6" width="15.00390625" style="2" hidden="1" customWidth="1"/>
    <col min="7" max="7" width="15.28125" style="19" hidden="1" customWidth="1"/>
    <col min="8" max="8" width="12.28125" style="2" bestFit="1" customWidth="1"/>
    <col min="9" max="9" width="14.28125" style="2" bestFit="1" customWidth="1"/>
    <col min="10" max="10" width="14.28125" style="2" customWidth="1"/>
    <col min="11" max="11" width="13.57421875" style="2" bestFit="1" customWidth="1"/>
    <col min="12" max="13" width="14.281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  <col min="17" max="17" width="9.7109375" style="0" bestFit="1" customWidth="1"/>
    <col min="18" max="18" width="12.8515625" style="0" customWidth="1"/>
    <col min="20" max="20" width="10.140625" style="0" bestFit="1" customWidth="1"/>
    <col min="21" max="21" width="12.7109375" style="0" customWidth="1"/>
    <col min="24" max="24" width="9.8515625" style="0" customWidth="1"/>
    <col min="25" max="25" width="11.7109375" style="0" bestFit="1" customWidth="1"/>
    <col min="26" max="26" width="10.00390625" style="0" customWidth="1"/>
    <col min="27" max="27" width="9.8515625" style="0" customWidth="1"/>
    <col min="28" max="28" width="11.7109375" style="0" bestFit="1" customWidth="1"/>
    <col min="29" max="29" width="10.57421875" style="0" customWidth="1"/>
    <col min="30" max="30" width="9.7109375" style="0" bestFit="1" customWidth="1"/>
    <col min="31" max="31" width="12.28125" style="0" bestFit="1" customWidth="1"/>
    <col min="33" max="33" width="9.7109375" style="0" bestFit="1" customWidth="1"/>
    <col min="34" max="34" width="10.7109375" style="0" bestFit="1" customWidth="1"/>
    <col min="35" max="35" width="10.00390625" style="0" customWidth="1"/>
    <col min="36" max="36" width="9.7109375" style="0" bestFit="1" customWidth="1"/>
    <col min="37" max="37" width="10.140625" style="0" bestFit="1" customWidth="1"/>
    <col min="38" max="38" width="10.140625" style="0" customWidth="1"/>
    <col min="39" max="39" width="11.421875" style="0" customWidth="1"/>
    <col min="40" max="40" width="13.140625" style="0" customWidth="1"/>
    <col min="41" max="41" width="16.7109375" style="0" bestFit="1" customWidth="1"/>
  </cols>
  <sheetData>
    <row r="1" spans="1:23" ht="12.75">
      <c r="A1" s="1" t="s">
        <v>0</v>
      </c>
      <c r="W1" s="1" t="s">
        <v>0</v>
      </c>
    </row>
    <row r="2" spans="1:23" ht="12.75">
      <c r="A2" s="1" t="s">
        <v>79</v>
      </c>
      <c r="W2" s="1" t="s">
        <v>79</v>
      </c>
    </row>
    <row r="3" spans="1:23" ht="12.75">
      <c r="A3" s="1" t="s">
        <v>139</v>
      </c>
      <c r="W3" s="45" t="s">
        <v>139</v>
      </c>
    </row>
    <row r="4" spans="8:39" ht="12.75">
      <c r="H4" s="16" t="s">
        <v>58</v>
      </c>
      <c r="K4" s="16" t="s">
        <v>60</v>
      </c>
      <c r="L4" s="2"/>
      <c r="N4" s="16" t="s">
        <v>70</v>
      </c>
      <c r="Q4" s="16" t="s">
        <v>83</v>
      </c>
      <c r="R4" s="2"/>
      <c r="S4" s="2"/>
      <c r="T4" s="16" t="s">
        <v>98</v>
      </c>
      <c r="U4" s="2"/>
      <c r="V4" s="2"/>
      <c r="X4" s="16" t="s">
        <v>102</v>
      </c>
      <c r="Y4" s="2"/>
      <c r="Z4" s="2"/>
      <c r="AA4" s="16" t="s">
        <v>120</v>
      </c>
      <c r="AB4" s="2"/>
      <c r="AC4" s="2"/>
      <c r="AD4" s="16" t="s">
        <v>125</v>
      </c>
      <c r="AE4" s="2"/>
      <c r="AF4" s="2"/>
      <c r="AG4" s="16" t="s">
        <v>133</v>
      </c>
      <c r="AH4" s="2"/>
      <c r="AI4" s="2"/>
      <c r="AJ4" s="16" t="s">
        <v>138</v>
      </c>
      <c r="AK4" s="2"/>
      <c r="AL4" s="2"/>
      <c r="AM4" s="1" t="s">
        <v>145</v>
      </c>
    </row>
    <row r="5" spans="2:41" ht="12.75">
      <c r="B5" s="1" t="s">
        <v>1</v>
      </c>
      <c r="C5" s="16" t="s">
        <v>54</v>
      </c>
      <c r="F5" s="16" t="s">
        <v>55</v>
      </c>
      <c r="H5" s="37" t="s">
        <v>59</v>
      </c>
      <c r="J5" s="16" t="s">
        <v>27</v>
      </c>
      <c r="K5" s="37" t="s">
        <v>59</v>
      </c>
      <c r="L5" s="2"/>
      <c r="M5" s="16" t="s">
        <v>27</v>
      </c>
      <c r="N5" s="37" t="s">
        <v>59</v>
      </c>
      <c r="P5" s="16" t="s">
        <v>27</v>
      </c>
      <c r="Q5" s="37" t="s">
        <v>59</v>
      </c>
      <c r="R5" s="2"/>
      <c r="S5" s="16" t="s">
        <v>27</v>
      </c>
      <c r="T5" s="37" t="s">
        <v>59</v>
      </c>
      <c r="U5" s="2"/>
      <c r="V5" s="16" t="s">
        <v>27</v>
      </c>
      <c r="X5" s="37" t="s">
        <v>59</v>
      </c>
      <c r="Y5" s="2"/>
      <c r="Z5" s="16" t="s">
        <v>27</v>
      </c>
      <c r="AA5" s="37" t="s">
        <v>59</v>
      </c>
      <c r="AB5" s="2"/>
      <c r="AC5" s="16" t="s">
        <v>27</v>
      </c>
      <c r="AD5" s="37" t="s">
        <v>59</v>
      </c>
      <c r="AE5" s="2"/>
      <c r="AF5" s="16" t="s">
        <v>27</v>
      </c>
      <c r="AG5" s="37" t="s">
        <v>59</v>
      </c>
      <c r="AH5" s="2"/>
      <c r="AI5" s="16" t="s">
        <v>27</v>
      </c>
      <c r="AJ5" s="37" t="s">
        <v>59</v>
      </c>
      <c r="AK5" s="2"/>
      <c r="AL5" s="16" t="s">
        <v>27</v>
      </c>
      <c r="AM5" s="37" t="s">
        <v>59</v>
      </c>
      <c r="AN5" s="2"/>
      <c r="AO5" s="17" t="s">
        <v>27</v>
      </c>
    </row>
    <row r="6" spans="2:41" ht="12.75">
      <c r="B6" s="5"/>
      <c r="C6" s="6"/>
      <c r="D6" s="6"/>
      <c r="E6" s="7"/>
      <c r="F6" s="7"/>
      <c r="G6" s="20"/>
      <c r="H6" s="38"/>
      <c r="I6" s="6"/>
      <c r="J6" s="16" t="s">
        <v>61</v>
      </c>
      <c r="K6" s="38"/>
      <c r="L6" s="6"/>
      <c r="M6" s="16" t="s">
        <v>61</v>
      </c>
      <c r="N6" s="38"/>
      <c r="O6" s="6"/>
      <c r="P6" s="16" t="s">
        <v>61</v>
      </c>
      <c r="Q6" s="38"/>
      <c r="R6" s="6"/>
      <c r="S6" s="16" t="s">
        <v>61</v>
      </c>
      <c r="T6" s="38"/>
      <c r="U6" s="6"/>
      <c r="V6" s="16" t="s">
        <v>99</v>
      </c>
      <c r="X6" s="38"/>
      <c r="Y6" s="6"/>
      <c r="Z6" s="16" t="s">
        <v>99</v>
      </c>
      <c r="AA6" s="38"/>
      <c r="AB6" s="6"/>
      <c r="AC6" s="16" t="s">
        <v>99</v>
      </c>
      <c r="AD6" s="38"/>
      <c r="AE6" s="6"/>
      <c r="AF6" s="16" t="s">
        <v>99</v>
      </c>
      <c r="AG6" s="38"/>
      <c r="AH6" s="6"/>
      <c r="AI6" s="16" t="s">
        <v>99</v>
      </c>
      <c r="AJ6" s="38"/>
      <c r="AK6" s="6"/>
      <c r="AL6" s="16" t="s">
        <v>99</v>
      </c>
      <c r="AM6" s="38"/>
      <c r="AN6" s="6"/>
      <c r="AO6" s="16" t="s">
        <v>61</v>
      </c>
    </row>
    <row r="7" spans="1:41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39" t="s">
        <v>4</v>
      </c>
      <c r="I7" s="11" t="s">
        <v>5</v>
      </c>
      <c r="J7" s="11"/>
      <c r="K7" s="39" t="s">
        <v>4</v>
      </c>
      <c r="L7" s="11" t="s">
        <v>5</v>
      </c>
      <c r="M7" s="11"/>
      <c r="N7" s="39" t="s">
        <v>4</v>
      </c>
      <c r="O7" s="11" t="s">
        <v>5</v>
      </c>
      <c r="P7" s="11"/>
      <c r="Q7" s="39" t="s">
        <v>4</v>
      </c>
      <c r="R7" s="11" t="s">
        <v>5</v>
      </c>
      <c r="S7" s="11"/>
      <c r="T7" s="39" t="s">
        <v>4</v>
      </c>
      <c r="U7" s="11" t="s">
        <v>5</v>
      </c>
      <c r="V7" s="11"/>
      <c r="W7" s="10" t="s">
        <v>2</v>
      </c>
      <c r="X7" s="39" t="s">
        <v>4</v>
      </c>
      <c r="Y7" s="11" t="s">
        <v>5</v>
      </c>
      <c r="Z7" s="11"/>
      <c r="AA7" s="39" t="s">
        <v>4</v>
      </c>
      <c r="AB7" s="11" t="s">
        <v>5</v>
      </c>
      <c r="AC7" s="11"/>
      <c r="AD7" s="39" t="s">
        <v>4</v>
      </c>
      <c r="AE7" s="11" t="s">
        <v>5</v>
      </c>
      <c r="AF7" s="11"/>
      <c r="AG7" s="39" t="s">
        <v>4</v>
      </c>
      <c r="AH7" s="11" t="s">
        <v>5</v>
      </c>
      <c r="AI7" s="11"/>
      <c r="AJ7" s="39" t="s">
        <v>4</v>
      </c>
      <c r="AK7" s="11" t="s">
        <v>5</v>
      </c>
      <c r="AL7" s="11"/>
      <c r="AM7" s="39" t="s">
        <v>4</v>
      </c>
      <c r="AN7" s="11" t="s">
        <v>5</v>
      </c>
      <c r="AO7" s="11"/>
    </row>
    <row r="8" spans="8:36" ht="12.75">
      <c r="H8" s="41"/>
      <c r="K8" s="41"/>
      <c r="L8" s="2"/>
      <c r="M8" s="2"/>
      <c r="N8" s="41"/>
      <c r="Q8" s="40"/>
      <c r="T8" s="40"/>
      <c r="X8" s="40"/>
      <c r="AA8" s="40"/>
      <c r="AD8" s="40"/>
      <c r="AG8" s="40"/>
      <c r="AJ8" s="40"/>
    </row>
    <row r="9" spans="1:41" ht="12.75">
      <c r="A9" t="s">
        <v>7</v>
      </c>
      <c r="B9" t="s">
        <v>8</v>
      </c>
      <c r="D9" s="2">
        <f>10777710+0</f>
        <v>10777710</v>
      </c>
      <c r="G9" s="2">
        <f>+'2002PILRecoveryAmt'!K9</f>
        <v>10449948.666666666</v>
      </c>
      <c r="H9" s="41"/>
      <c r="I9" s="2">
        <f>+'Festival Mar 31'!I9</f>
        <v>-7755521.166666666</v>
      </c>
      <c r="J9" s="2">
        <f>+'Festival Mar 31'!N9</f>
        <v>12292.058229134163</v>
      </c>
      <c r="K9" s="41"/>
      <c r="L9" s="2">
        <f>+'Festival Apr 30'!I9</f>
        <v>-29266.666666666046</v>
      </c>
      <c r="M9" s="2">
        <f>+'Festival Apr 30'!N9</f>
        <v>48341.27237251708</v>
      </c>
      <c r="N9" s="41"/>
      <c r="O9" s="2">
        <f>+'Festival May 31'!I9</f>
        <v>-1032154.666666666</v>
      </c>
      <c r="P9" s="2">
        <f>+'Festival May 31'!N9</f>
        <v>46018.348663254204</v>
      </c>
      <c r="Q9" s="40"/>
      <c r="R9" s="2">
        <f>+'Festival Jun 30'!I9</f>
        <v>-4155232.666666666</v>
      </c>
      <c r="S9" s="2">
        <f>+'Festival Jun 30'!N9</f>
        <v>38784.56789004992</v>
      </c>
      <c r="T9" s="40"/>
      <c r="U9" s="2">
        <f>+'Festival July 31'!I9</f>
        <v>-761118.666666666</v>
      </c>
      <c r="V9" s="2">
        <f>+'Festival July 31'!N9</f>
        <v>46646.13157666405</v>
      </c>
      <c r="W9" s="49" t="s">
        <v>7</v>
      </c>
      <c r="X9" s="40"/>
      <c r="Y9" s="2">
        <f>+'Festival August 30'!I9</f>
        <v>1827674.333333334</v>
      </c>
      <c r="Z9" s="2">
        <f>+'Festival August 30'!N9</f>
        <v>52642.383040510234</v>
      </c>
      <c r="AA9" s="40"/>
      <c r="AB9" s="2">
        <f>+'Festival Sept 30'!I9</f>
        <v>1275957.333333334</v>
      </c>
      <c r="AC9" s="2">
        <f>+'Festival Sept 30'!N9</f>
        <v>51364.47713266869</v>
      </c>
      <c r="AD9" s="40"/>
      <c r="AE9" s="2">
        <f>+'Festival Oct 30 '!I9</f>
        <v>-1071806.666666666</v>
      </c>
      <c r="AF9" s="2">
        <f>+'Festival Oct 30 '!N9</f>
        <v>45926.505335864014</v>
      </c>
      <c r="AG9" s="40"/>
      <c r="AH9" s="2">
        <f>+'Festival Nov 30 '!I9</f>
        <v>-464815.66666666605</v>
      </c>
      <c r="AI9" s="2">
        <f>+'Festival Nov 30 '!N9</f>
        <v>47332.438785271304</v>
      </c>
      <c r="AJ9" s="40"/>
      <c r="AK9" s="2">
        <f>+'Festival Dec 31'!I9</f>
        <v>631264.333333334</v>
      </c>
      <c r="AL9" s="2">
        <f>+'Festival Dec 31'!N9</f>
        <v>49871.21701299849</v>
      </c>
      <c r="AM9" s="2"/>
      <c r="AN9" s="2">
        <f>+AK9+AH9+AE9+AB9+Y9+U9+R9+O9+L9+I9</f>
        <v>-11535020.16666666</v>
      </c>
      <c r="AO9" s="2">
        <f>+AL9+AI9+AF9+AC9+Z9+V9+S9+P9+M9+J9</f>
        <v>439219.40003893216</v>
      </c>
    </row>
    <row r="10" spans="1:41" ht="12.75">
      <c r="A10" t="s">
        <v>9</v>
      </c>
      <c r="B10" t="s">
        <v>10</v>
      </c>
      <c r="D10" s="2">
        <v>694421</v>
      </c>
      <c r="G10" s="2">
        <f>+'2002PILRecoveryAmt'!K10</f>
        <v>640442.5</v>
      </c>
      <c r="H10" s="41"/>
      <c r="I10" s="2">
        <f>+'Festival Mar 31'!I10</f>
        <v>-466837.25</v>
      </c>
      <c r="J10" s="2">
        <f>+'Festival Mar 31'!N10</f>
        <v>540.1577082679488</v>
      </c>
      <c r="K10" s="41"/>
      <c r="L10" s="2">
        <f>+'Festival Apr 30'!I10</f>
        <v>64709.5</v>
      </c>
      <c r="M10" s="2">
        <f>+'Festival Apr 30'!N10</f>
        <v>2191.852091900652</v>
      </c>
      <c r="N10" s="41"/>
      <c r="O10" s="2">
        <f>+'Festival May 31'!I10</f>
        <v>-86682.5</v>
      </c>
      <c r="P10" s="2">
        <f>+'Festival May 31'!N10</f>
        <v>1751.3853304974034</v>
      </c>
      <c r="Q10" s="40"/>
      <c r="R10" s="2">
        <f>+'Festival Jun 30'!I10</f>
        <v>-637968.5</v>
      </c>
      <c r="S10" s="2">
        <f>+'Festival Jun 30'!N10</f>
        <v>147.44880130860028</v>
      </c>
      <c r="T10" s="40"/>
      <c r="U10" s="2">
        <f>+'Festival July 31'!I10</f>
        <v>-70284.5</v>
      </c>
      <c r="V10" s="2">
        <f>+'Festival July 31'!N10</f>
        <v>1799.0944165355725</v>
      </c>
      <c r="W10" s="49" t="s">
        <v>9</v>
      </c>
      <c r="X10" s="40"/>
      <c r="Y10" s="2">
        <f>+'Festival August 30'!I10</f>
        <v>12311.5</v>
      </c>
      <c r="Z10" s="2">
        <f>+'Festival August 30'!N10</f>
        <v>2039.4029706524525</v>
      </c>
      <c r="AA10" s="40"/>
      <c r="AB10" s="2">
        <f>+'Festival Sept 30'!I10</f>
        <v>62816.5</v>
      </c>
      <c r="AC10" s="2">
        <f>+'Festival Sept 30'!N10</f>
        <v>2186.3445117158576</v>
      </c>
      <c r="AD10" s="40"/>
      <c r="AE10" s="2">
        <f>+'Festival Oct 30 '!I10</f>
        <v>16687.5</v>
      </c>
      <c r="AF10" s="2">
        <f>+'Festival Oct 30 '!N10</f>
        <v>2052.134703821316</v>
      </c>
      <c r="AG10" s="40"/>
      <c r="AH10" s="2">
        <f>+'Festival Nov 30 '!I10</f>
        <v>-112613.5</v>
      </c>
      <c r="AI10" s="2">
        <f>+'Festival Nov 30 '!N10</f>
        <v>1675.940501246534</v>
      </c>
      <c r="AJ10" s="40"/>
      <c r="AK10" s="2">
        <f>+'Festival Dec 31'!I10</f>
        <v>-21500.5</v>
      </c>
      <c r="AL10" s="2">
        <f>+'Festival Dec 31'!N10</f>
        <v>1941.0288020268538</v>
      </c>
      <c r="AM10" s="2"/>
      <c r="AN10" s="2">
        <f aca="true" t="shared" si="0" ref="AN10:AN16">+AK10+AH10+AE10+AB10+Y10+U10+R10+O10+L10+I10</f>
        <v>-1239361.75</v>
      </c>
      <c r="AO10" s="2">
        <f aca="true" t="shared" si="1" ref="AO10:AO16">+AL10+AI10+AF10+AC10+Z10+V10+S10+P10+M10+J10</f>
        <v>16324.78983797319</v>
      </c>
    </row>
    <row r="11" spans="1:41" ht="12.75">
      <c r="A11" t="s">
        <v>11</v>
      </c>
      <c r="B11" t="s">
        <v>12</v>
      </c>
      <c r="D11" s="2">
        <v>384214</v>
      </c>
      <c r="G11" s="2">
        <f>+'2002PILRecoveryAmt'!K11</f>
        <v>341661.4166666667</v>
      </c>
      <c r="H11" s="41"/>
      <c r="I11" s="2">
        <f>+'Festival Mar 31'!I11</f>
        <v>-245607.9166666667</v>
      </c>
      <c r="J11" s="2">
        <f>+'Festival Mar 31'!N11</f>
        <v>128.86798416658598</v>
      </c>
      <c r="K11" s="41"/>
      <c r="L11" s="2">
        <f>+'Festival Apr 30'!I11</f>
        <v>24291.583333333314</v>
      </c>
      <c r="M11" s="2">
        <f>+'Festival Apr 30'!N11</f>
        <v>514.3753690361584</v>
      </c>
      <c r="N11" s="41"/>
      <c r="O11" s="2">
        <f>+'Festival May 31'!I11</f>
        <v>-41629.416666666686</v>
      </c>
      <c r="P11" s="2">
        <f>+'Festival May 31'!N11</f>
        <v>510.4168325513295</v>
      </c>
      <c r="Q11" s="40"/>
      <c r="R11" s="2">
        <f>+'Festival Jun 30'!I11</f>
        <v>-340557.4166666667</v>
      </c>
      <c r="S11" s="2">
        <f>+'Festival Jun 30'!N11</f>
        <v>492.4662948723359</v>
      </c>
      <c r="T11" s="40"/>
      <c r="U11" s="2">
        <f>+'Festival July 31'!I11</f>
        <v>-33267.416666666686</v>
      </c>
      <c r="V11" s="2">
        <f>+'Festival July 31'!N11</f>
        <v>510.91896816951095</v>
      </c>
      <c r="W11" s="49" t="s">
        <v>11</v>
      </c>
      <c r="X11" s="40"/>
      <c r="Y11" s="2">
        <f>+'Festival August 30'!I11</f>
        <v>35617.583333333314</v>
      </c>
      <c r="Z11" s="2">
        <f>+'Festival August 30'!N11</f>
        <v>515.0554919746328</v>
      </c>
      <c r="AA11" s="40"/>
      <c r="AB11" s="2">
        <f>+'Festival Sept 30'!I11</f>
        <v>15006.583333333314</v>
      </c>
      <c r="AC11" s="2">
        <f>+'Festival Sept 30'!N11</f>
        <v>513.8178075419208</v>
      </c>
      <c r="AD11" s="40"/>
      <c r="AE11" s="2">
        <f>+'Festival Oct 30 '!I11</f>
        <v>5572.583333333314</v>
      </c>
      <c r="AF11" s="2">
        <f>+'Festival Oct 30 '!N11</f>
        <v>513.251298641906</v>
      </c>
      <c r="AG11" s="40"/>
      <c r="AH11" s="2">
        <f>+'Festival Nov 30 '!I11</f>
        <v>-63218.416666666686</v>
      </c>
      <c r="AI11" s="2">
        <f>+'Festival Nov 30 '!N11</f>
        <v>509.12041950888516</v>
      </c>
      <c r="AJ11" s="40"/>
      <c r="AK11" s="2">
        <f>+'Festival Dec 31'!I11</f>
        <v>-7084.416666666686</v>
      </c>
      <c r="AL11" s="2">
        <f>+'Festival Dec 31'!N11</f>
        <v>512.4912495484687</v>
      </c>
      <c r="AM11" s="2"/>
      <c r="AN11" s="2">
        <f t="shared" si="0"/>
        <v>-650876.6666666669</v>
      </c>
      <c r="AO11" s="2">
        <f t="shared" si="1"/>
        <v>4720.781716011735</v>
      </c>
    </row>
    <row r="12" spans="1:41" ht="12.75">
      <c r="A12" t="s">
        <v>13</v>
      </c>
      <c r="B12" t="s">
        <v>10</v>
      </c>
      <c r="D12" s="2">
        <v>9701</v>
      </c>
      <c r="G12" s="19">
        <v>0</v>
      </c>
      <c r="H12" s="41"/>
      <c r="I12" s="2">
        <f>+'Festival Mar 31'!I12</f>
        <v>0</v>
      </c>
      <c r="J12" s="2">
        <f>+'Festival Mar 31'!N12</f>
        <v>0</v>
      </c>
      <c r="K12" s="41"/>
      <c r="L12" s="2">
        <f>+'Festival Apr 30'!I12</f>
        <v>0</v>
      </c>
      <c r="M12" s="2">
        <f>+'Festival Apr 30'!N12</f>
        <v>0</v>
      </c>
      <c r="N12" s="41"/>
      <c r="O12" s="2">
        <f>+'Festival May 31'!I12</f>
        <v>0</v>
      </c>
      <c r="P12" s="2">
        <f>+'Festival May 31'!N12</f>
        <v>0</v>
      </c>
      <c r="Q12" s="40"/>
      <c r="R12" s="2"/>
      <c r="S12" s="2">
        <f>+'Festival Jun 30'!N12</f>
        <v>0</v>
      </c>
      <c r="T12" s="40"/>
      <c r="U12" s="2">
        <f>+'Festival July 31'!I12</f>
        <v>0</v>
      </c>
      <c r="V12" s="2">
        <f>+'Festival July 31'!N12</f>
        <v>0</v>
      </c>
      <c r="W12" s="49" t="s">
        <v>13</v>
      </c>
      <c r="X12" s="40"/>
      <c r="Y12" s="2">
        <f>+'Festival August 30'!I12</f>
        <v>0</v>
      </c>
      <c r="Z12" s="2">
        <f>+'Festival August 30'!N12</f>
        <v>0</v>
      </c>
      <c r="AA12" s="40"/>
      <c r="AB12" s="2">
        <f>+'Festival Sept 30'!I12</f>
        <v>0</v>
      </c>
      <c r="AC12" s="2">
        <f>+'Festival Sept 30'!N12</f>
        <v>0</v>
      </c>
      <c r="AD12" s="40"/>
      <c r="AE12" s="2">
        <f>+'Festival Oct 30 '!I12</f>
        <v>0</v>
      </c>
      <c r="AF12" s="2">
        <f>+'Festival Oct 30 '!N12</f>
        <v>0</v>
      </c>
      <c r="AG12" s="40"/>
      <c r="AH12" s="2">
        <f>+'Festival Nov 30 '!I12</f>
        <v>0</v>
      </c>
      <c r="AI12" s="2">
        <f>+'Festival Nov 30 '!N12</f>
        <v>0</v>
      </c>
      <c r="AJ12" s="40"/>
      <c r="AK12" s="2">
        <f>+'Festival Dec 31'!I12</f>
        <v>0</v>
      </c>
      <c r="AL12" s="2">
        <f>+'Festival Dec 31'!N12</f>
        <v>0</v>
      </c>
      <c r="AM12" s="2"/>
      <c r="AN12" s="2">
        <f t="shared" si="0"/>
        <v>0</v>
      </c>
      <c r="AO12" s="2">
        <f t="shared" si="1"/>
        <v>0</v>
      </c>
    </row>
    <row r="13" spans="1:41" ht="12.75">
      <c r="A13" t="s">
        <v>14</v>
      </c>
      <c r="B13" t="s">
        <v>15</v>
      </c>
      <c r="D13" s="2">
        <v>22871</v>
      </c>
      <c r="G13" s="19">
        <v>0</v>
      </c>
      <c r="H13" s="41"/>
      <c r="I13" s="2">
        <f>+'Festival Mar 31'!I13</f>
        <v>0</v>
      </c>
      <c r="J13" s="2">
        <f>+'Festival Mar 31'!N13</f>
        <v>0</v>
      </c>
      <c r="K13" s="41"/>
      <c r="L13" s="2">
        <f>+'Festival Apr 30'!I13</f>
        <v>0</v>
      </c>
      <c r="M13" s="2">
        <f>+'Festival Apr 30'!N13</f>
        <v>0</v>
      </c>
      <c r="N13" s="41"/>
      <c r="O13" s="2">
        <f>+'Festival May 31'!I13</f>
        <v>0</v>
      </c>
      <c r="P13" s="2">
        <f>+'Festival May 31'!N13</f>
        <v>0</v>
      </c>
      <c r="Q13" s="40"/>
      <c r="R13" s="2"/>
      <c r="S13" s="2">
        <f>+'Festival Jun 30'!N13</f>
        <v>0</v>
      </c>
      <c r="T13" s="40"/>
      <c r="U13" s="2">
        <f>+'Festival July 31'!I13</f>
        <v>0</v>
      </c>
      <c r="V13" s="2">
        <f>+'Festival July 31'!N13</f>
        <v>0</v>
      </c>
      <c r="W13" s="49" t="s">
        <v>14</v>
      </c>
      <c r="X13" s="40"/>
      <c r="Y13" s="2">
        <f>+'Festival August 30'!I13</f>
        <v>0</v>
      </c>
      <c r="Z13" s="2">
        <f>+'Festival August 30'!N13</f>
        <v>0</v>
      </c>
      <c r="AA13" s="40"/>
      <c r="AB13" s="2">
        <f>+'Festival Sept 30'!I13</f>
        <v>0</v>
      </c>
      <c r="AC13" s="2">
        <f>+'Festival Sept 30'!N13</f>
        <v>0</v>
      </c>
      <c r="AD13" s="40"/>
      <c r="AE13" s="2">
        <f>+'Festival Oct 30 '!I13</f>
        <v>0</v>
      </c>
      <c r="AF13" s="2">
        <f>+'Festival Oct 30 '!N13</f>
        <v>0</v>
      </c>
      <c r="AG13" s="40"/>
      <c r="AH13" s="2">
        <f>+'Festival Nov 30 '!I13</f>
        <v>0</v>
      </c>
      <c r="AI13" s="2">
        <f>+'Festival Nov 30 '!N13</f>
        <v>0</v>
      </c>
      <c r="AJ13" s="40"/>
      <c r="AK13" s="2">
        <f>+'Festival Dec 31'!I13</f>
        <v>0</v>
      </c>
      <c r="AL13" s="2">
        <f>+'Festival Dec 31'!N13</f>
        <v>0</v>
      </c>
      <c r="AM13" s="2"/>
      <c r="AN13" s="2">
        <f t="shared" si="0"/>
        <v>0</v>
      </c>
      <c r="AO13" s="2">
        <f t="shared" si="1"/>
        <v>0</v>
      </c>
    </row>
    <row r="14" spans="8:41" ht="12.75">
      <c r="H14" s="41"/>
      <c r="K14" s="41"/>
      <c r="L14" s="2"/>
      <c r="M14" s="2"/>
      <c r="N14" s="41"/>
      <c r="Q14" s="40"/>
      <c r="R14" s="2"/>
      <c r="S14" s="2"/>
      <c r="T14" s="40"/>
      <c r="W14" s="49"/>
      <c r="X14" s="40"/>
      <c r="AA14" s="40"/>
      <c r="AD14" s="40"/>
      <c r="AG14" s="40"/>
      <c r="AJ14" s="40"/>
      <c r="AM14" s="2"/>
      <c r="AN14" s="2"/>
      <c r="AO14" s="2"/>
    </row>
    <row r="15" spans="1:41" ht="12.75">
      <c r="A15" t="s">
        <v>16</v>
      </c>
      <c r="B15" t="s">
        <v>17</v>
      </c>
      <c r="D15" s="2">
        <f>5991228-1197-362</f>
        <v>5989669</v>
      </c>
      <c r="G15" s="2">
        <f>+'2002PILRecoveryAmt'!K15</f>
        <v>5891815.5</v>
      </c>
      <c r="H15" s="41"/>
      <c r="I15" s="2">
        <f>+'Festival Mar 31'!I15</f>
        <v>-4394008.5</v>
      </c>
      <c r="J15" s="2">
        <f>+'Festival Mar 31'!N15</f>
        <v>4489.124999389566</v>
      </c>
      <c r="K15" s="41"/>
      <c r="L15" s="2">
        <f>+'Festival Apr 30'!I15</f>
        <v>134154.5</v>
      </c>
      <c r="M15" s="2">
        <f>+'Festival Apr 30'!N15</f>
        <v>18008.998727699538</v>
      </c>
      <c r="N15" s="41"/>
      <c r="O15" s="2">
        <f>+'Festival May 31'!I15</f>
        <v>403361.5</v>
      </c>
      <c r="P15" s="2">
        <f>+'Festival May 31'!N15</f>
        <v>18415.798153326778</v>
      </c>
      <c r="Q15" s="40"/>
      <c r="R15" s="2">
        <f>+'Festival Jun 30'!I15</f>
        <v>-3870307.5</v>
      </c>
      <c r="S15" s="2">
        <f>+'Festival Jun 30'!N15</f>
        <v>11957.845371560557</v>
      </c>
      <c r="T15" s="40"/>
      <c r="U15" s="2">
        <f>+'Festival July 31'!I15</f>
        <v>0</v>
      </c>
      <c r="V15" s="2">
        <f>+'Festival July 31'!N16</f>
        <v>17084.642092654984</v>
      </c>
      <c r="W15" s="49" t="s">
        <v>16</v>
      </c>
      <c r="X15" s="40"/>
      <c r="Y15" s="2">
        <f>+'Festival August 30'!I15</f>
        <v>477242.5</v>
      </c>
      <c r="Z15" s="2">
        <f>+'Festival August 30'!N15</f>
        <v>18527.43993219867</v>
      </c>
      <c r="AA15" s="40"/>
      <c r="AB15" s="2">
        <f>+'Festival Sept 30'!I15</f>
        <v>538258.5</v>
      </c>
      <c r="AC15" s="2">
        <f>+'Festival Sept 30'!N15</f>
        <v>18619.641374784012</v>
      </c>
      <c r="AD15" s="40"/>
      <c r="AE15" s="2">
        <f>+'Festival Oct 30 '!I15</f>
        <v>-20325.5</v>
      </c>
      <c r="AF15" s="2">
        <f>+'Festival Oct 30 '!N15</f>
        <v>17775.56358199049</v>
      </c>
      <c r="AG15" s="40"/>
      <c r="AH15" s="2">
        <f>+'Festival Nov 30 '!I15</f>
        <v>-305887.5</v>
      </c>
      <c r="AI15" s="2">
        <f>+'Festival Nov 30 '!N15</f>
        <v>17344.050071639846</v>
      </c>
      <c r="AJ15" s="40"/>
      <c r="AK15" s="2">
        <f>+'Festival Dec 31'!I15</f>
        <v>60665.5</v>
      </c>
      <c r="AL15" s="2">
        <f>+'Festival Dec 31'!N15</f>
        <v>17897.9493010876</v>
      </c>
      <c r="AM15" s="2"/>
      <c r="AN15" s="2">
        <f t="shared" si="0"/>
        <v>-6976846.5</v>
      </c>
      <c r="AO15" s="2">
        <f t="shared" si="1"/>
        <v>160121.05360633205</v>
      </c>
    </row>
    <row r="16" spans="1:41" ht="12.75">
      <c r="A16" t="s">
        <v>25</v>
      </c>
      <c r="B16" t="s">
        <v>17</v>
      </c>
      <c r="D16" s="2">
        <v>121338</v>
      </c>
      <c r="G16" s="2">
        <f>+'2002PILRecoveryAmt'!K18</f>
        <v>0</v>
      </c>
      <c r="H16" s="41"/>
      <c r="I16" s="2">
        <f>+'Festival Mar 31'!I16</f>
        <v>30334.5</v>
      </c>
      <c r="J16" s="2">
        <f>+'Festival Mar 31'!N16</f>
        <v>45.838544973531505</v>
      </c>
      <c r="K16" s="41"/>
      <c r="L16" s="2"/>
      <c r="M16" s="2">
        <f>+'Festival Apr 30'!N16</f>
        <v>178.57002873336185</v>
      </c>
      <c r="N16" s="41"/>
      <c r="P16" s="2">
        <f>+'Festival May 31'!N16</f>
        <v>174.22107515134059</v>
      </c>
      <c r="Q16" s="40"/>
      <c r="R16" s="2"/>
      <c r="S16" s="2">
        <f>+'Festival Jun 30'!N16</f>
        <v>18.030477463751765</v>
      </c>
      <c r="T16" s="40"/>
      <c r="U16" s="2">
        <f>+'Festival July 31'!I16</f>
        <v>-477555.5</v>
      </c>
      <c r="V16" s="2">
        <f>+'Festival July 31'!N17</f>
        <v>178.57002873336185</v>
      </c>
      <c r="W16" s="49" t="s">
        <v>25</v>
      </c>
      <c r="X16" s="40"/>
      <c r="Y16" s="2">
        <f>+'Festival August 30'!I16</f>
        <v>118172</v>
      </c>
      <c r="Z16" s="2">
        <f>+'Festival August 30'!N16</f>
        <v>178.57002873336185</v>
      </c>
      <c r="AA16" s="40"/>
      <c r="AB16" s="2">
        <f>+'Festival Sept 30'!I16</f>
        <v>118172</v>
      </c>
      <c r="AC16" s="2">
        <f>+'Festival Sept 30'!N16</f>
        <v>178.57002873336185</v>
      </c>
      <c r="AD16" s="40"/>
      <c r="AE16" s="2">
        <f>+'Festival Oct 30 '!I16</f>
        <v>118172</v>
      </c>
      <c r="AF16" s="2">
        <f>+'Festival Oct 30 '!N16</f>
        <v>178.57002873336185</v>
      </c>
      <c r="AG16" s="40"/>
      <c r="AH16" s="2">
        <f>+'Festival Nov 30 '!I16</f>
        <v>118500</v>
      </c>
      <c r="AI16" s="2">
        <f>+'Festival Nov 30 '!N16</f>
        <v>179.0656704202635</v>
      </c>
      <c r="AJ16" s="40"/>
      <c r="AK16" s="2">
        <f>+'Festival Dec 31'!I16</f>
        <v>118500</v>
      </c>
      <c r="AL16" s="2">
        <f>+'Festival Dec 31'!N16</f>
        <v>179.0656704202635</v>
      </c>
      <c r="AM16" s="2"/>
      <c r="AN16" s="2">
        <f t="shared" si="0"/>
        <v>144295</v>
      </c>
      <c r="AO16" s="2">
        <f t="shared" si="1"/>
        <v>1489.0715820959601</v>
      </c>
    </row>
    <row r="17" spans="1:41" ht="12.75">
      <c r="A17" t="s">
        <v>16</v>
      </c>
      <c r="B17" t="s">
        <v>17</v>
      </c>
      <c r="C17" s="2">
        <v>0</v>
      </c>
      <c r="H17" s="41"/>
      <c r="K17" s="41"/>
      <c r="L17" s="2"/>
      <c r="M17" s="2"/>
      <c r="N17" s="41"/>
      <c r="Q17" s="40"/>
      <c r="R17" s="2"/>
      <c r="S17" s="2"/>
      <c r="T17" s="40"/>
      <c r="W17" s="49" t="s">
        <v>16</v>
      </c>
      <c r="X17" s="40"/>
      <c r="AA17" s="40"/>
      <c r="AD17" s="40"/>
      <c r="AG17" s="40"/>
      <c r="AJ17" s="40"/>
      <c r="AM17" s="2"/>
      <c r="AN17" s="2"/>
      <c r="AO17" s="2"/>
    </row>
    <row r="18" spans="8:41" ht="12.75">
      <c r="H18" s="41"/>
      <c r="K18" s="41"/>
      <c r="L18" s="2"/>
      <c r="M18" s="2"/>
      <c r="N18" s="41"/>
      <c r="Q18" s="40"/>
      <c r="R18" s="2"/>
      <c r="S18" s="2"/>
      <c r="T18" s="40"/>
      <c r="W18" s="49"/>
      <c r="X18" s="40"/>
      <c r="AA18" s="40"/>
      <c r="AD18" s="40"/>
      <c r="AG18" s="40"/>
      <c r="AJ18" s="40"/>
      <c r="AM18" s="2"/>
      <c r="AN18" s="2"/>
      <c r="AO18" s="2"/>
    </row>
    <row r="19" spans="1:41" ht="12.75">
      <c r="A19" t="s">
        <v>18</v>
      </c>
      <c r="B19" t="s">
        <v>19</v>
      </c>
      <c r="H19" s="41"/>
      <c r="K19" s="41"/>
      <c r="L19" s="2"/>
      <c r="M19" s="2"/>
      <c r="N19" s="41"/>
      <c r="Q19" s="40"/>
      <c r="R19" s="2"/>
      <c r="S19" s="2"/>
      <c r="T19" s="40"/>
      <c r="W19" s="49" t="s">
        <v>18</v>
      </c>
      <c r="X19" s="40"/>
      <c r="AA19" s="40"/>
      <c r="AD19" s="40"/>
      <c r="AG19" s="40"/>
      <c r="AJ19" s="40"/>
      <c r="AM19" s="2"/>
      <c r="AN19" s="2"/>
      <c r="AO19" s="2"/>
    </row>
    <row r="20" spans="1:41" ht="12.75">
      <c r="A20" t="s">
        <v>29</v>
      </c>
      <c r="B20" t="s">
        <v>19</v>
      </c>
      <c r="H20" s="41"/>
      <c r="K20" s="41"/>
      <c r="L20" s="2"/>
      <c r="M20" s="2"/>
      <c r="N20" s="41"/>
      <c r="Q20" s="40"/>
      <c r="R20" s="2"/>
      <c r="S20" s="2"/>
      <c r="T20" s="40"/>
      <c r="W20" s="49" t="s">
        <v>29</v>
      </c>
      <c r="X20" s="40"/>
      <c r="AA20" s="40"/>
      <c r="AD20" s="40"/>
      <c r="AG20" s="40"/>
      <c r="AJ20" s="40"/>
      <c r="AM20" s="2"/>
      <c r="AN20" s="2"/>
      <c r="AO20" s="2"/>
    </row>
    <row r="21" spans="1:41" ht="12.75">
      <c r="A21" t="s">
        <v>30</v>
      </c>
      <c r="B21" t="s">
        <v>19</v>
      </c>
      <c r="H21" s="41"/>
      <c r="K21" s="41"/>
      <c r="L21" s="2"/>
      <c r="M21" s="2"/>
      <c r="N21" s="41"/>
      <c r="Q21" s="40"/>
      <c r="R21" s="2"/>
      <c r="S21" s="2"/>
      <c r="T21" s="40"/>
      <c r="W21" s="49" t="s">
        <v>30</v>
      </c>
      <c r="X21" s="40"/>
      <c r="AA21" s="40"/>
      <c r="AD21" s="40"/>
      <c r="AG21" s="40"/>
      <c r="AJ21" s="40"/>
      <c r="AM21" s="2"/>
      <c r="AN21" s="2"/>
      <c r="AO21" s="2"/>
    </row>
    <row r="22" spans="1:41" ht="12.75">
      <c r="A22" t="s">
        <v>18</v>
      </c>
      <c r="B22" t="s">
        <v>19</v>
      </c>
      <c r="C22" s="2">
        <v>16775.26</v>
      </c>
      <c r="F22" s="2">
        <f>+'2002PILRecoveryAmt'!J22</f>
        <v>70786.41666666667</v>
      </c>
      <c r="H22" s="41">
        <f>+'Festival Mar 31'!H22</f>
        <v>-66610.24166666667</v>
      </c>
      <c r="J22" s="2">
        <f>+'Festival Mar 31'!N22</f>
        <v>3054.6332435439585</v>
      </c>
      <c r="K22" s="41">
        <f>+'Festival Apr 30'!H22</f>
        <v>-50631.926666666666</v>
      </c>
      <c r="L22" s="2"/>
      <c r="M22" s="2">
        <f>+'Festival Apr 30'!N22</f>
        <v>13114.575067289272</v>
      </c>
      <c r="N22" s="41">
        <f>+'Festival May 31'!H22</f>
        <v>-55654.90666666667</v>
      </c>
      <c r="P22" s="2">
        <f>+'Festival May 31'!N22</f>
        <v>11809.915504571849</v>
      </c>
      <c r="Q22" s="41">
        <f>+'Festival Jun 30'!H22</f>
        <v>-65491.48666666667</v>
      </c>
      <c r="R22" s="2"/>
      <c r="S22" s="2">
        <f>+'Festival Jun 30'!N22</f>
        <v>9254.980354235804</v>
      </c>
      <c r="T22" s="41">
        <f>+'Festival July 31'!H23</f>
        <v>-57841.92666666667</v>
      </c>
      <c r="V22" s="2">
        <f>+'Festival July 31'!N23</f>
        <v>11241.862962683517</v>
      </c>
      <c r="W22" s="49" t="s">
        <v>18</v>
      </c>
      <c r="X22" s="2">
        <f>+'Festival August 30'!H22</f>
        <v>-57845.06666666667</v>
      </c>
      <c r="Z22" s="2">
        <f>+'Festival August 30'!N22</f>
        <v>11241.047384873744</v>
      </c>
      <c r="AA22" s="2">
        <f>+'Festival Sept 30'!H22</f>
        <v>-57002.95666666667</v>
      </c>
      <c r="AC22" s="2">
        <f>+'Festival Sept 30'!N22</f>
        <v>11459.775483404888</v>
      </c>
      <c r="AD22" s="2">
        <f>+'Festival Oct 30 '!H22</f>
        <v>-56884.89666666667</v>
      </c>
      <c r="AF22" s="2">
        <f>+'Festival Oct 30 '!N22</f>
        <v>11490.440170099722</v>
      </c>
      <c r="AG22" s="2">
        <f>+'Festival Nov 30 '!H22</f>
        <v>-57109.11666666667</v>
      </c>
      <c r="AI22" s="2">
        <f>+'Festival Nov 30 '!N22</f>
        <v>11432.201680766198</v>
      </c>
      <c r="AJ22" s="2">
        <f>+'Festival Dec 31'!H22</f>
        <v>-57131.04666666667</v>
      </c>
      <c r="AL22" s="2">
        <f>+'Festival Dec 31'!N22</f>
        <v>11426.505623005589</v>
      </c>
      <c r="AM22" s="2">
        <f>+AJ22+AG22+AD22+AA22+X22+T22+Q22+N22+K22+H22</f>
        <v>-582203.5716666668</v>
      </c>
      <c r="AN22" s="2"/>
      <c r="AO22" s="2">
        <f>+AL22+AI22+AF22+AC22+Z22+V22+S22+P22+M22+J22</f>
        <v>105525.93747447453</v>
      </c>
    </row>
    <row r="23" spans="1:41" ht="12.75">
      <c r="A23" t="s">
        <v>29</v>
      </c>
      <c r="B23" t="s">
        <v>19</v>
      </c>
      <c r="C23" s="2">
        <v>15360.81</v>
      </c>
      <c r="H23" s="41">
        <f>+'Festival Mar 31'!H23</f>
        <v>5570.202499999999</v>
      </c>
      <c r="J23" s="2">
        <f>+'Festival Mar 31'!N23</f>
        <v>1446.7941257774264</v>
      </c>
      <c r="K23" s="41">
        <f>+'Festival Apr 30'!H23</f>
        <v>16456.76</v>
      </c>
      <c r="L23" s="2"/>
      <c r="M23" s="2">
        <f>+'Festival Apr 30'!N23</f>
        <v>4274.4484957825</v>
      </c>
      <c r="N23" s="41">
        <f>+'Festival May 31'!H23</f>
        <v>217.92</v>
      </c>
      <c r="P23" s="2">
        <f>+'Festival May 31'!N23</f>
        <v>56.602138950858034</v>
      </c>
      <c r="Q23" s="41">
        <f>+'Festival Jun 30'!H23</f>
        <v>18033.09</v>
      </c>
      <c r="R23" s="2"/>
      <c r="S23" s="2">
        <f>+'Festival Jun 30'!N23</f>
        <v>4683.8815431962585</v>
      </c>
      <c r="T23" s="41">
        <f>+'Festival July 31'!H24</f>
        <v>19378.26</v>
      </c>
      <c r="V23" s="2">
        <f>+'Festival July 31'!N24</f>
        <v>5033.273518474</v>
      </c>
      <c r="W23" s="49" t="s">
        <v>29</v>
      </c>
      <c r="X23" s="2">
        <f>+'Festival August 30'!H23</f>
        <v>19384.02</v>
      </c>
      <c r="Z23" s="2">
        <f>+'Festival August 30'!N23</f>
        <v>5034.769610252438</v>
      </c>
      <c r="AA23" s="2">
        <f>+'Festival Sept 30'!H23</f>
        <v>19352.77</v>
      </c>
      <c r="AC23" s="2">
        <f>+'Festival Sept 30'!N23</f>
        <v>5026.652792878106</v>
      </c>
      <c r="AD23" s="2">
        <f>+'Festival Oct 30 '!H23</f>
        <v>19329.41</v>
      </c>
      <c r="AF23" s="2">
        <f>+'Festival Oct 30 '!N23</f>
        <v>5020.585309554446</v>
      </c>
      <c r="AG23" s="2">
        <f>+'Festival Nov 30 '!H23</f>
        <v>20292.78</v>
      </c>
      <c r="AI23" s="2">
        <f>+'Festival Nov 30 '!N23</f>
        <v>5270.809256879556</v>
      </c>
      <c r="AJ23" s="2">
        <f>+'Festival Dec 31'!H23</f>
        <v>18731.85</v>
      </c>
      <c r="AL23" s="2">
        <f>+'Festival Dec 31'!N23</f>
        <v>4865.376177067869</v>
      </c>
      <c r="AM23" s="2">
        <f>+AJ23+AG23+AD23+AA23+X23+T23+Q23+N23+K23+H23</f>
        <v>156747.0625</v>
      </c>
      <c r="AN23" s="2"/>
      <c r="AO23" s="2">
        <f>+AL23+AI23+AF23+AC23+Z23+V23+S23+P23+M23+J23</f>
        <v>40713.19296881346</v>
      </c>
    </row>
    <row r="24" spans="1:41" ht="12.75">
      <c r="A24" t="s">
        <v>30</v>
      </c>
      <c r="B24" t="s">
        <v>19</v>
      </c>
      <c r="C24" s="2">
        <v>33466.81</v>
      </c>
      <c r="H24" s="41">
        <f>+'Festival Mar 31'!H24</f>
        <v>8366.7025</v>
      </c>
      <c r="J24" s="2">
        <f>+'Festival Mar 31'!N24</f>
        <v>2173.151878971601</v>
      </c>
      <c r="K24" s="41">
        <f>+'Festival Apr 30'!H24</f>
        <v>33937.02</v>
      </c>
      <c r="L24" s="2"/>
      <c r="M24" s="2">
        <f>+'Festival Apr 30'!N24</f>
        <v>8814.738994209105</v>
      </c>
      <c r="N24" s="41">
        <f>+'Festival May 31'!H24</f>
        <v>236.78</v>
      </c>
      <c r="P24" s="2">
        <f>+'Festival May 31'!N24</f>
        <v>61.500800572614565</v>
      </c>
      <c r="Q24" s="41">
        <f>+'Festival Jun 30'!H24</f>
        <v>34874.51</v>
      </c>
      <c r="R24" s="2"/>
      <c r="S24" s="2">
        <f>+'Festival Jun 30'!N24</f>
        <v>9058.24091805749</v>
      </c>
      <c r="T24" s="41">
        <f>+'Festival July 31'!H25</f>
        <v>35727.53</v>
      </c>
      <c r="V24" s="2">
        <f>+'Festival July 31'!N25</f>
        <v>9279.802759870361</v>
      </c>
      <c r="W24" s="49" t="s">
        <v>30</v>
      </c>
      <c r="X24" s="2">
        <f>+'Festival August 30'!H24</f>
        <v>35334.2</v>
      </c>
      <c r="Z24" s="2">
        <f>+'Festival August 30'!N24</f>
        <v>9177.639950979295</v>
      </c>
      <c r="AA24" s="2">
        <f>+'Festival Sept 30'!H24</f>
        <v>35935.44</v>
      </c>
      <c r="AC24" s="2">
        <f>+'Festival Sept 30'!N24</f>
        <v>9333.804919879874</v>
      </c>
      <c r="AD24" s="2">
        <f>+'Festival Oct 30 '!H24</f>
        <v>35713.55</v>
      </c>
      <c r="AF24" s="2">
        <f>+'Festival Oct 30 '!N24</f>
        <v>9276.17162044978</v>
      </c>
      <c r="AG24" s="2">
        <f>+'Festival Nov 30 '!H24</f>
        <v>35748.48</v>
      </c>
      <c r="AI24" s="2">
        <f>+'Festival Nov 30 '!N24</f>
        <v>9285.244274238114</v>
      </c>
      <c r="AJ24" s="2">
        <f>+'Festival Dec 31'!H24</f>
        <v>35801.58</v>
      </c>
      <c r="AL24" s="2">
        <f>+'Festival Dec 31'!N24</f>
        <v>9299.036370320577</v>
      </c>
      <c r="AM24" s="2">
        <f>+AJ24+AG24+AD24+AA24+X24+T24+Q24+N24+K24+H24</f>
        <v>291675.79250000004</v>
      </c>
      <c r="AN24" s="2"/>
      <c r="AO24" s="2">
        <f>+AL24+AI24+AF24+AC24+Z24+V24+S24+P24+M24+J24</f>
        <v>75759.33248754882</v>
      </c>
    </row>
    <row r="25" spans="1:41" ht="12.75">
      <c r="A25" t="s">
        <v>130</v>
      </c>
      <c r="B25" t="s">
        <v>82</v>
      </c>
      <c r="H25" s="41">
        <f>+'Festival Mar 31'!H25</f>
        <v>0</v>
      </c>
      <c r="J25" s="2">
        <f>+'Festival Mar 31'!N25</f>
        <v>0</v>
      </c>
      <c r="K25" s="41">
        <f>+'Festival Apr 30'!H25</f>
        <v>0</v>
      </c>
      <c r="L25" s="2"/>
      <c r="M25" s="2">
        <f>+'Festival Apr 30'!N25</f>
        <v>0</v>
      </c>
      <c r="N25" s="41">
        <f>+'Festival May 31'!H25</f>
        <v>0</v>
      </c>
      <c r="P25" s="2">
        <f>+'Festival May 31'!N25</f>
        <v>0</v>
      </c>
      <c r="Q25" s="41">
        <f>+'Festival Jun 30'!H25</f>
        <v>297.9</v>
      </c>
      <c r="R25" s="2"/>
      <c r="S25" s="2">
        <f>+'Festival Jun 30'!N25</f>
        <v>8.8100946</v>
      </c>
      <c r="T25" s="41">
        <f>+'Festival July 31'!H26</f>
        <v>1541.72</v>
      </c>
      <c r="V25" s="2">
        <f>+'Festival July 31'!N26</f>
        <v>400.443509835338</v>
      </c>
      <c r="W25" s="49"/>
      <c r="X25" s="2">
        <f>+'Festival August 30'!H25</f>
        <v>1812.3400000000001</v>
      </c>
      <c r="Z25" s="2">
        <f>+'Festival August 30'!N25</f>
        <v>470.7338496062686</v>
      </c>
      <c r="AA25" s="2">
        <f>+'Festival Sept 30'!H25</f>
        <v>1871.62</v>
      </c>
      <c r="AC25" s="2">
        <f>+'Festival Sept 30'!N25</f>
        <v>486.1311274926804</v>
      </c>
      <c r="AD25" s="2">
        <f>+'Festival Oct 30 '!H25</f>
        <v>1753.22</v>
      </c>
      <c r="AF25" s="2">
        <f>+'Festival Oct 30 '!N25</f>
        <v>455.37812982481336</v>
      </c>
      <c r="AG25" s="2">
        <f>+'Festival Nov 30 '!H25</f>
        <v>1619.8600000000001</v>
      </c>
      <c r="AI25" s="2">
        <f>+'Festival Nov 30 '!N25</f>
        <v>420.73944934350635</v>
      </c>
      <c r="AJ25" s="2">
        <f>+'Festival Dec 31'!H25</f>
        <v>1429.02</v>
      </c>
      <c r="AL25" s="2">
        <f>+'Festival Dec 31'!N25</f>
        <v>371.171019656549</v>
      </c>
      <c r="AM25" s="2">
        <f>+AJ25+AG25+AD25+AA25+X25+T25+Q25+N25+K25+H25</f>
        <v>10325.68</v>
      </c>
      <c r="AN25" s="2"/>
      <c r="AO25" s="2">
        <f>+AL25+AI25+AF25+AC25+Z25+V25+S25+P25+M25+J25</f>
        <v>2613.4071803591555</v>
      </c>
    </row>
    <row r="26" spans="8:41" ht="12.75">
      <c r="H26" s="41"/>
      <c r="K26" s="41"/>
      <c r="L26" s="2"/>
      <c r="M26" s="2"/>
      <c r="N26" s="41"/>
      <c r="Q26" s="40"/>
      <c r="R26" s="2"/>
      <c r="S26" s="2"/>
      <c r="T26" s="40"/>
      <c r="W26" s="49"/>
      <c r="X26" s="40"/>
      <c r="AA26" s="40"/>
      <c r="AD26" s="40"/>
      <c r="AG26" s="40"/>
      <c r="AJ26" s="40"/>
      <c r="AM26" s="2"/>
      <c r="AN26" s="2"/>
      <c r="AO26" s="2"/>
    </row>
    <row r="27" spans="8:41" ht="12.75">
      <c r="H27" s="41"/>
      <c r="K27" s="41"/>
      <c r="L27" s="2"/>
      <c r="M27" s="2"/>
      <c r="N27" s="41"/>
      <c r="Q27" s="40"/>
      <c r="R27" s="2"/>
      <c r="S27" s="2"/>
      <c r="T27" s="40"/>
      <c r="W27" s="49"/>
      <c r="X27" s="40"/>
      <c r="AA27" s="40"/>
      <c r="AD27" s="40"/>
      <c r="AG27" s="40"/>
      <c r="AJ27" s="40"/>
      <c r="AM27" s="2"/>
      <c r="AN27" s="2"/>
      <c r="AO27" s="2"/>
    </row>
    <row r="28" spans="1:41" ht="12.75">
      <c r="A28" t="s">
        <v>28</v>
      </c>
      <c r="B28" t="s">
        <v>33</v>
      </c>
      <c r="D28" s="2" t="s">
        <v>56</v>
      </c>
      <c r="H28" s="41"/>
      <c r="K28" s="41"/>
      <c r="L28" s="2"/>
      <c r="M28" s="2"/>
      <c r="N28" s="41"/>
      <c r="Q28" s="40"/>
      <c r="R28" s="2"/>
      <c r="S28" s="2"/>
      <c r="T28" s="40"/>
      <c r="W28" s="49" t="s">
        <v>28</v>
      </c>
      <c r="X28" s="40"/>
      <c r="AA28" s="40"/>
      <c r="AD28" s="40"/>
      <c r="AG28" s="40"/>
      <c r="AJ28" s="40"/>
      <c r="AM28" s="2"/>
      <c r="AN28" s="2"/>
      <c r="AO28" s="2"/>
    </row>
    <row r="29" spans="1:41" ht="12.75">
      <c r="A29" t="s">
        <v>36</v>
      </c>
      <c r="B29" t="s">
        <v>34</v>
      </c>
      <c r="D29" s="2" t="s">
        <v>56</v>
      </c>
      <c r="H29" s="41"/>
      <c r="K29" s="41"/>
      <c r="L29" s="2"/>
      <c r="M29" s="2"/>
      <c r="N29" s="41"/>
      <c r="Q29" s="40"/>
      <c r="R29" s="2"/>
      <c r="S29" s="2"/>
      <c r="T29" s="40"/>
      <c r="W29" s="49" t="s">
        <v>36</v>
      </c>
      <c r="X29" s="40"/>
      <c r="AA29" s="40"/>
      <c r="AD29" s="40"/>
      <c r="AG29" s="40"/>
      <c r="AJ29" s="40"/>
      <c r="AM29" s="2"/>
      <c r="AN29" s="2"/>
      <c r="AO29" s="2"/>
    </row>
    <row r="30" spans="1:41" ht="12.75">
      <c r="A30" t="s">
        <v>28</v>
      </c>
      <c r="B30" t="s">
        <v>26</v>
      </c>
      <c r="C30" s="2">
        <v>6703.47</v>
      </c>
      <c r="F30" s="2">
        <f>+'2002PILRecoveryAmt'!J30</f>
        <v>7063.666666666667</v>
      </c>
      <c r="H30" s="41">
        <f>+'Festival Mar 31'!H30</f>
        <v>-5387.799166666667</v>
      </c>
      <c r="J30" s="2">
        <f>+'Festival Mar 31'!N30</f>
        <v>579.8918281550343</v>
      </c>
      <c r="K30" s="41">
        <f>+'Festival Apr 30'!H30</f>
        <v>351.48333333333267</v>
      </c>
      <c r="L30" s="2"/>
      <c r="M30" s="2">
        <f>+'Festival Apr 30'!N30</f>
        <v>2391.0080152580495</v>
      </c>
      <c r="N30" s="41">
        <f>+'Festival May 31'!H30</f>
        <v>-7063.666666666667</v>
      </c>
      <c r="P30" s="2">
        <f>+'Festival May 31'!N30</f>
        <v>1646.6516666666666</v>
      </c>
      <c r="Q30" s="41">
        <f>+'Festival Jun 30'!H30</f>
        <v>466.3233333333328</v>
      </c>
      <c r="R30" s="2"/>
      <c r="S30" s="2">
        <f>+'Festival Jun 30'!N30</f>
        <v>2402.536019826027</v>
      </c>
      <c r="T30" s="41">
        <f>+'Festival July 31'!H31</f>
        <v>553.4433333333327</v>
      </c>
      <c r="V30" s="2">
        <f>+'Festival July 31'!N31</f>
        <v>2411.281402601733</v>
      </c>
      <c r="W30" s="49" t="s">
        <v>28</v>
      </c>
      <c r="X30" s="2">
        <f>+'Festival August 30'!H30</f>
        <v>615.6833333333334</v>
      </c>
      <c r="Z30" s="2">
        <f>+'Festival August 30'!N30</f>
        <v>2417.5292518207416</v>
      </c>
      <c r="AA30" s="2">
        <f>+'Festival Sept 30'!H30</f>
        <v>645.5333333333328</v>
      </c>
      <c r="AC30" s="2">
        <f>+'Festival Sept 30'!N30</f>
        <v>2420.5256897896907</v>
      </c>
      <c r="AD30" s="2">
        <f>+'Festival Oct 30 '!H30</f>
        <v>599.3833333333332</v>
      </c>
      <c r="AF30" s="2">
        <f>+'Festival Oct 30 '!N30</f>
        <v>2415.8930059616505</v>
      </c>
      <c r="AG30" s="2">
        <f>+'Festival Nov 30 '!H30</f>
        <v>443.2633333333333</v>
      </c>
      <c r="AI30" s="2">
        <f>+'Festival Nov 30 '!N30</f>
        <v>2400.22118365973</v>
      </c>
      <c r="AJ30" s="2">
        <f>+'Festival Dec 31'!H30</f>
        <v>-213.50666666666712</v>
      </c>
      <c r="AL30" s="2">
        <f>+'Festival Dec 31'!N30</f>
        <v>2334.292521520142</v>
      </c>
      <c r="AM30" s="2">
        <f>+AJ30+AG30+AD30+AA30+X30+T30+Q30+N30+K30+H30</f>
        <v>-8989.859166666669</v>
      </c>
      <c r="AN30" s="2"/>
      <c r="AO30" s="2">
        <f>+AL30+AI30+AF30+AC30+Z30+V30+S30+P30+M30+J30</f>
        <v>21419.830585259464</v>
      </c>
    </row>
    <row r="31" spans="8:41" ht="12.75">
      <c r="H31" s="41"/>
      <c r="K31" s="41"/>
      <c r="L31" s="2"/>
      <c r="M31" s="2"/>
      <c r="N31" s="41"/>
      <c r="Q31" s="40"/>
      <c r="R31" s="2"/>
      <c r="S31" s="2"/>
      <c r="T31" s="40"/>
      <c r="W31" s="49"/>
      <c r="X31" s="40"/>
      <c r="AA31" s="40"/>
      <c r="AD31" s="40"/>
      <c r="AG31" s="40"/>
      <c r="AJ31" s="40"/>
      <c r="AM31" s="2"/>
      <c r="AN31" s="2"/>
      <c r="AO31" s="2"/>
    </row>
    <row r="32" spans="1:41" ht="12.75">
      <c r="A32" t="s">
        <v>31</v>
      </c>
      <c r="B32" t="s">
        <v>33</v>
      </c>
      <c r="H32" s="41"/>
      <c r="K32" s="41"/>
      <c r="L32" s="2"/>
      <c r="M32" s="2"/>
      <c r="N32" s="41"/>
      <c r="Q32" s="40"/>
      <c r="R32" s="2"/>
      <c r="S32" s="2"/>
      <c r="T32" s="40"/>
      <c r="W32" s="49" t="s">
        <v>31</v>
      </c>
      <c r="X32" s="40"/>
      <c r="AA32" s="40"/>
      <c r="AD32" s="40"/>
      <c r="AG32" s="40"/>
      <c r="AJ32" s="40"/>
      <c r="AM32" s="2"/>
      <c r="AN32" s="2"/>
      <c r="AO32" s="2"/>
    </row>
    <row r="33" spans="1:41" ht="12.75">
      <c r="A33" t="s">
        <v>37</v>
      </c>
      <c r="B33" t="s">
        <v>34</v>
      </c>
      <c r="H33" s="41"/>
      <c r="K33" s="41"/>
      <c r="L33" s="2"/>
      <c r="M33" s="2"/>
      <c r="N33" s="41"/>
      <c r="Q33" s="40"/>
      <c r="R33" s="2"/>
      <c r="S33" s="2"/>
      <c r="T33" s="40"/>
      <c r="W33" s="49" t="s">
        <v>37</v>
      </c>
      <c r="X33" s="40"/>
      <c r="AA33" s="40"/>
      <c r="AD33" s="40"/>
      <c r="AG33" s="40"/>
      <c r="AJ33" s="40"/>
      <c r="AM33" s="2"/>
      <c r="AN33" s="2"/>
      <c r="AO33" s="2"/>
    </row>
    <row r="34" spans="1:41" ht="12.75">
      <c r="A34" t="s">
        <v>31</v>
      </c>
      <c r="B34" t="s">
        <v>26</v>
      </c>
      <c r="C34" s="2">
        <v>3582.01</v>
      </c>
      <c r="F34" s="2">
        <f>+'2002PILRecoveryAmt'!J34</f>
        <v>3274.5</v>
      </c>
      <c r="H34" s="41">
        <f>+'Festival Mar 31'!H34</f>
        <v>-2378.9975</v>
      </c>
      <c r="J34" s="2">
        <f>+'Festival Mar 31'!N34</f>
        <v>615.1382741799002</v>
      </c>
      <c r="K34" s="41">
        <f>+'Festival Apr 30'!H34</f>
        <v>462.80999999999995</v>
      </c>
      <c r="L34" s="2"/>
      <c r="M34" s="2">
        <f>+'Festival Apr 30'!N34</f>
        <v>2537.2021875477176</v>
      </c>
      <c r="N34" s="41">
        <f>+'Festival May 31'!H34</f>
        <v>-3274.5</v>
      </c>
      <c r="P34" s="2">
        <f>+'Festival May 31'!N34</f>
        <v>692.6341666666667</v>
      </c>
      <c r="Q34" s="41">
        <f>+'Festival Jun 30'!H34</f>
        <v>480.0799999999999</v>
      </c>
      <c r="R34" s="2"/>
      <c r="S34" s="2">
        <f>+'Festival Jun 30'!N34</f>
        <v>2545.7258823230013</v>
      </c>
      <c r="T34" s="41">
        <f>+'Festival July 31'!H35</f>
        <v>412.3000000000002</v>
      </c>
      <c r="V34" s="2">
        <f>+'Festival July 31'!N35</f>
        <v>2512.272724716242</v>
      </c>
      <c r="W34" s="49" t="s">
        <v>31</v>
      </c>
      <c r="X34" s="2">
        <f>+'Festival August 30'!H34</f>
        <v>352.2399999999998</v>
      </c>
      <c r="Z34" s="2">
        <f>+'Festival August 30'!N34</f>
        <v>2482.6298116760827</v>
      </c>
      <c r="AA34" s="2">
        <f>+'Festival Sept 30'!H34</f>
        <v>267.57000000000016</v>
      </c>
      <c r="AC34" s="2">
        <f>+'Festival Sept 30'!N34</f>
        <v>2440.840510192396</v>
      </c>
      <c r="AD34" s="2">
        <f>+'Festival Oct 30 '!H34</f>
        <v>200.15999999999985</v>
      </c>
      <c r="AF34" s="2">
        <f>+'Festival Oct 30 '!N34</f>
        <v>2407.569967934036</v>
      </c>
      <c r="AG34" s="2">
        <f>+'Festival Nov 30 '!H34</f>
        <v>267.57000000000016</v>
      </c>
      <c r="AI34" s="2">
        <f>+'Festival Nov 30 '!N34</f>
        <v>2440.840510192396</v>
      </c>
      <c r="AJ34" s="2">
        <f>+'Festival Dec 31'!H34</f>
        <v>130.36000000000013</v>
      </c>
      <c r="AL34" s="2">
        <f>+'Festival Dec 31'!N34</f>
        <v>2373.119829236016</v>
      </c>
      <c r="AM34" s="2">
        <f>+AJ34+AG34+AD34+AA34+X34+T34+Q34+N34+K34+H34</f>
        <v>-3080.4075</v>
      </c>
      <c r="AN34" s="2"/>
      <c r="AO34" s="2">
        <f>+AL34+AI34+AF34+AC34+Z34+V34+S34+P34+M34+J34</f>
        <v>21047.973864664455</v>
      </c>
    </row>
    <row r="35" spans="8:41" ht="12.75">
      <c r="H35" s="41"/>
      <c r="K35" s="41"/>
      <c r="L35" s="2"/>
      <c r="M35" s="2"/>
      <c r="N35" s="41"/>
      <c r="Q35" s="40"/>
      <c r="R35" s="2"/>
      <c r="S35" s="2"/>
      <c r="T35" s="40"/>
      <c r="W35" s="49"/>
      <c r="X35" s="40"/>
      <c r="AA35" s="40"/>
      <c r="AD35" s="40"/>
      <c r="AG35" s="40"/>
      <c r="AJ35" s="40"/>
      <c r="AM35" s="2"/>
      <c r="AN35" s="2"/>
      <c r="AO35" s="2"/>
    </row>
    <row r="36" spans="1:41" ht="12.75">
      <c r="A36" t="s">
        <v>32</v>
      </c>
      <c r="B36" t="s">
        <v>33</v>
      </c>
      <c r="H36" s="41"/>
      <c r="K36" s="41"/>
      <c r="L36" s="2"/>
      <c r="M36" s="2"/>
      <c r="N36" s="41"/>
      <c r="Q36" s="40"/>
      <c r="R36" s="2"/>
      <c r="S36" s="2"/>
      <c r="T36" s="40"/>
      <c r="W36" s="49" t="s">
        <v>32</v>
      </c>
      <c r="X36" s="40"/>
      <c r="AA36" s="40"/>
      <c r="AD36" s="40"/>
      <c r="AG36" s="40"/>
      <c r="AJ36" s="40"/>
      <c r="AM36" s="2"/>
      <c r="AN36" s="2"/>
      <c r="AO36" s="2"/>
    </row>
    <row r="37" spans="1:41" ht="12.75">
      <c r="A37" t="s">
        <v>32</v>
      </c>
      <c r="B37" t="s">
        <v>26</v>
      </c>
      <c r="C37" s="2">
        <v>1779.61</v>
      </c>
      <c r="F37" s="2">
        <f>+'2002PILRecoveryAmt'!J37</f>
        <v>1905.8333333333333</v>
      </c>
      <c r="H37" s="41">
        <f>+'Festival Mar 31'!H37</f>
        <v>-1460.9308333333333</v>
      </c>
      <c r="J37" s="2">
        <f>+'Festival Mar 31'!N37</f>
        <v>456.27016489360153</v>
      </c>
      <c r="K37" s="41">
        <f>+'Festival Apr 30'!H37</f>
        <v>-612.8933333333332</v>
      </c>
      <c r="L37" s="2"/>
      <c r="M37" s="2">
        <f>+'Festival Apr 30'!N37</f>
        <v>1482.9863357178256</v>
      </c>
      <c r="N37" s="41">
        <f>+'Festival May 31'!H37</f>
        <v>-1905.8333333333333</v>
      </c>
      <c r="P37" s="2">
        <f>+'Festival May 31'!N37</f>
        <v>574.1416666666668</v>
      </c>
      <c r="Q37" s="41">
        <f>+'Festival Jun 30'!H37</f>
        <v>-571.8033333333333</v>
      </c>
      <c r="R37" s="2"/>
      <c r="S37" s="2">
        <f>+'Festival Jun 30'!N37</f>
        <v>1511.8696771345285</v>
      </c>
      <c r="T37" s="41">
        <f>+'Festival July 31'!H38</f>
        <v>-815.1133333333332</v>
      </c>
      <c r="V37" s="2">
        <f>+'Festival July 31'!N38</f>
        <v>1340.840088424428</v>
      </c>
      <c r="W37" s="49" t="s">
        <v>32</v>
      </c>
      <c r="X37" s="2">
        <f>+'Festival August 30'!H37</f>
        <v>-724.9033333333332</v>
      </c>
      <c r="Z37" s="2">
        <f>+'Festival August 30'!N37</f>
        <v>1404.251288940388</v>
      </c>
      <c r="AA37" s="2">
        <f>+'Festival Sept 30'!H37</f>
        <v>-753.2133333333334</v>
      </c>
      <c r="AC37" s="2">
        <f>+'Festival Sept 30'!N37</f>
        <v>1384.3513766622941</v>
      </c>
      <c r="AD37" s="2">
        <f>+'Festival Oct 30 '!H37</f>
        <v>-621.0033333333333</v>
      </c>
      <c r="AF37" s="2">
        <f>+'Festival Oct 30 '!N37</f>
        <v>1477.2855837370646</v>
      </c>
      <c r="AG37" s="2">
        <f>+'Festival Nov 30 '!H37</f>
        <v>-229.4033333333332</v>
      </c>
      <c r="AI37" s="2">
        <f>+'Festival Nov 30 '!N37</f>
        <v>1752.5524734615947</v>
      </c>
      <c r="AJ37" s="2">
        <f>+'Festival Dec 31'!H37</f>
        <v>-119.33333333333326</v>
      </c>
      <c r="AL37" s="2">
        <f>+'Festival Dec 31'!N37</f>
        <v>1829.9238385075064</v>
      </c>
      <c r="AM37" s="2">
        <f>+AJ37+AG37+AD37+AA37+X37+T37+Q37+N37+K37+H37</f>
        <v>-7814.430833333334</v>
      </c>
      <c r="AN37" s="2"/>
      <c r="AO37" s="2">
        <f>+AL37+AI37+AF37+AC37+Z37+V37+S37+P37+M37+J37</f>
        <v>13214.472494145899</v>
      </c>
    </row>
    <row r="38" spans="8:41" ht="12.75">
      <c r="H38" s="41"/>
      <c r="K38" s="41"/>
      <c r="L38" s="2"/>
      <c r="M38" s="2"/>
      <c r="N38" s="41"/>
      <c r="Q38" s="40"/>
      <c r="R38" s="2"/>
      <c r="S38" s="2"/>
      <c r="T38" s="40"/>
      <c r="W38" s="49"/>
      <c r="X38" s="40"/>
      <c r="AA38" s="40"/>
      <c r="AD38" s="40"/>
      <c r="AG38" s="40"/>
      <c r="AJ38" s="40"/>
      <c r="AM38" s="2"/>
      <c r="AN38" s="2"/>
      <c r="AO38" s="2"/>
    </row>
    <row r="39" spans="2:41" ht="12.75">
      <c r="B39" t="s">
        <v>21</v>
      </c>
      <c r="H39" s="41"/>
      <c r="K39" s="41"/>
      <c r="L39" s="2"/>
      <c r="M39" s="2"/>
      <c r="N39" s="41"/>
      <c r="Q39" s="40"/>
      <c r="R39" s="2"/>
      <c r="S39" s="2"/>
      <c r="T39" s="40"/>
      <c r="W39" s="49"/>
      <c r="X39" s="40"/>
      <c r="AA39" s="40"/>
      <c r="AD39" s="40"/>
      <c r="AG39" s="40"/>
      <c r="AJ39" s="40"/>
      <c r="AM39" s="2"/>
      <c r="AN39" s="2"/>
      <c r="AO39" s="2"/>
    </row>
    <row r="40" spans="2:41" ht="12.75">
      <c r="B40" t="s">
        <v>22</v>
      </c>
      <c r="H40" s="41"/>
      <c r="K40" s="41"/>
      <c r="L40" s="2"/>
      <c r="M40" s="2"/>
      <c r="N40" s="41"/>
      <c r="Q40" s="40"/>
      <c r="R40" s="2"/>
      <c r="S40" s="2"/>
      <c r="T40" s="40"/>
      <c r="W40" s="49"/>
      <c r="X40" s="40"/>
      <c r="AA40" s="40"/>
      <c r="AD40" s="40"/>
      <c r="AG40" s="40"/>
      <c r="AJ40" s="40"/>
      <c r="AM40" s="2"/>
      <c r="AN40" s="2"/>
      <c r="AO40" s="2"/>
    </row>
    <row r="41" spans="1:41" ht="12.75">
      <c r="A41" t="s">
        <v>38</v>
      </c>
      <c r="B41" t="s">
        <v>35</v>
      </c>
      <c r="D41" s="2">
        <v>311663</v>
      </c>
      <c r="F41" s="2">
        <f>+'2002PILRecoveryAmt'!J41</f>
        <v>883.3333333333334</v>
      </c>
      <c r="H41" s="41">
        <f>+'Festival Mar 31'!H41</f>
        <v>-883.3333333333334</v>
      </c>
      <c r="J41" s="2">
        <f>+'Festival Mar 31'!N41</f>
        <v>99.25916666666667</v>
      </c>
      <c r="K41" s="41">
        <f>+'Festival Apr 30'!H41</f>
        <v>-883.3333333333334</v>
      </c>
      <c r="L41" s="2"/>
      <c r="M41" s="2">
        <f>+'Festival Apr 30'!N41</f>
        <v>397.0366666666667</v>
      </c>
      <c r="N41" s="41">
        <f>+'Festival May 31'!H41</f>
        <v>-883.3333333333334</v>
      </c>
      <c r="P41" s="2">
        <f>+'Festival May 31'!N41</f>
        <v>397.0366666666667</v>
      </c>
      <c r="Q41" s="41">
        <f>+'Festival Jun 30'!H41</f>
        <v>-883.3333333333334</v>
      </c>
      <c r="R41" s="2"/>
      <c r="S41" s="2">
        <f>+'Festival Jun 30'!N41</f>
        <v>397.0366666666667</v>
      </c>
      <c r="T41" s="41">
        <f>+'Festival July 31'!H42</f>
        <v>-12.693333333333385</v>
      </c>
      <c r="V41" s="2">
        <f>+'Festival July 31'!N42</f>
        <v>564.7498568553459</v>
      </c>
      <c r="W41" s="49" t="s">
        <v>38</v>
      </c>
      <c r="X41" s="2">
        <f>+'Festival August 30'!H41</f>
        <v>-12.693333333333385</v>
      </c>
      <c r="Z41" s="2">
        <f>+'Festival August 30'!N41</f>
        <v>564.7498568553459</v>
      </c>
      <c r="AA41" s="2">
        <f>+'Festival Sept 30'!H41</f>
        <v>-12.693333333333385</v>
      </c>
      <c r="AC41" s="2">
        <f>+'Festival Sept 30'!N41</f>
        <v>564.7498568553459</v>
      </c>
      <c r="AD41" s="2">
        <f>+'Festival Oct 30 '!H41</f>
        <v>-12.693333333333385</v>
      </c>
      <c r="AF41" s="2">
        <f>+'Festival Oct 30 '!N41</f>
        <v>564.7498568553459</v>
      </c>
      <c r="AG41" s="2">
        <f>+'Festival Nov 30 '!H41</f>
        <v>-9.333333333333371</v>
      </c>
      <c r="AI41" s="2">
        <f>+'Festival Nov 30 '!N41</f>
        <v>565.3971006289308</v>
      </c>
      <c r="AJ41" s="2">
        <f>+'Festival Dec 31'!H41</f>
        <v>2597.846666666667</v>
      </c>
      <c r="AL41" s="2">
        <f>+'Festival Dec 31'!N41</f>
        <v>1067.6235951572328</v>
      </c>
      <c r="AM41" s="2">
        <f>+AJ41+AG41+AD41+AA41+X41+T41+Q41+N41+K41+H41</f>
        <v>-995.5933333333347</v>
      </c>
      <c r="AN41" s="2"/>
      <c r="AO41" s="2">
        <f>+AL41+AI41+AF41+AC41+Z41+V41+S41+P41+M41+J41</f>
        <v>5182.389289874215</v>
      </c>
    </row>
    <row r="42" spans="8:41" ht="12.75">
      <c r="H42" s="41"/>
      <c r="K42" s="41"/>
      <c r="L42" s="2"/>
      <c r="M42" s="2"/>
      <c r="N42" s="41"/>
      <c r="Q42" s="40"/>
      <c r="R42" s="2"/>
      <c r="S42" s="2"/>
      <c r="T42" s="40"/>
      <c r="W42" s="49"/>
      <c r="X42" s="40"/>
      <c r="AA42" s="40"/>
      <c r="AD42" s="40"/>
      <c r="AG42" s="40"/>
      <c r="AJ42" s="40"/>
      <c r="AM42" s="2"/>
      <c r="AN42" s="2"/>
      <c r="AO42" s="2"/>
    </row>
    <row r="43" spans="2:41" ht="12.75">
      <c r="B43" t="s">
        <v>23</v>
      </c>
      <c r="F43" s="2">
        <f>+'2002PILRecoveryAmt'!J43</f>
        <v>44.416666666666664</v>
      </c>
      <c r="H43" s="41">
        <f>+'Festival Mar 31'!H43</f>
        <v>-44.416666666666664</v>
      </c>
      <c r="J43" s="2">
        <f>+'Festival Mar 31'!N43</f>
        <v>12.471875000000002</v>
      </c>
      <c r="K43" s="41">
        <f>+'Festival Apr 30'!H43</f>
        <v>-44.416666666666664</v>
      </c>
      <c r="L43" s="2"/>
      <c r="M43" s="2">
        <f>+'Festival Apr 30'!N43</f>
        <v>49.88750000000001</v>
      </c>
      <c r="N43" s="41">
        <f>+'Festival May 31'!H43</f>
        <v>-44.416666666666664</v>
      </c>
      <c r="P43" s="2">
        <f>+'Festival May 31'!N43</f>
        <v>49.88750000000001</v>
      </c>
      <c r="Q43" s="41">
        <f>+'Festival Jun 30'!H43</f>
        <v>-44.416666666666664</v>
      </c>
      <c r="R43" s="2"/>
      <c r="S43" s="2">
        <f>+'Festival Jun 30'!N43</f>
        <v>49.88750000000001</v>
      </c>
      <c r="T43" s="41">
        <f>+'Festival July 31'!H44</f>
        <v>-44.416666666666664</v>
      </c>
      <c r="V43" s="2">
        <f>+'Festival July 31'!N44</f>
        <v>49.88750000000001</v>
      </c>
      <c r="W43" s="1"/>
      <c r="X43" s="2">
        <f>+'Festival August 30'!H43</f>
        <v>-44.416666666666664</v>
      </c>
      <c r="Z43" s="2">
        <f>+'Festival August 30'!N43</f>
        <v>49.88750000000001</v>
      </c>
      <c r="AA43" s="2">
        <f>+'Festival Sept 30'!H43</f>
        <v>-44.416666666666664</v>
      </c>
      <c r="AC43" s="2">
        <f>+'Festival Sept 30'!N43</f>
        <v>49.88750000000001</v>
      </c>
      <c r="AD43" s="2">
        <f>+'Festival Oct 30 '!H43</f>
        <v>-44.416666666666664</v>
      </c>
      <c r="AF43" s="2">
        <f>+'Festival Oct 30 '!N43</f>
        <v>49.88750000000001</v>
      </c>
      <c r="AG43" s="2">
        <f>+'Festival Nov 30 '!H43</f>
        <v>-44.416666666666664</v>
      </c>
      <c r="AI43" s="2">
        <f>+'Festival Nov 30 '!N43</f>
        <v>49.88750000000001</v>
      </c>
      <c r="AJ43" s="2">
        <f>+'Festival Dec 31'!H43</f>
        <v>-1.7566666666666677</v>
      </c>
      <c r="AK43" s="2">
        <f>+'Festival Dec 31'!I43</f>
        <v>0</v>
      </c>
      <c r="AL43" s="2">
        <f>+'Festival Dec 31'!N43</f>
        <v>70.52037317073172</v>
      </c>
      <c r="AM43" s="2">
        <f>+AJ43+AG43+AD43+AA43+X43+T43+Q43+N43+K43+H43</f>
        <v>-401.5066666666667</v>
      </c>
      <c r="AN43" s="2"/>
      <c r="AO43" s="2">
        <f>+AL43+AI43+AF43+AC43+Z43+V43+S43+P43+M43+J43</f>
        <v>482.09224817073175</v>
      </c>
    </row>
    <row r="44" spans="8:41" ht="12.75">
      <c r="H44" s="41"/>
      <c r="K44" s="41"/>
      <c r="L44" s="2"/>
      <c r="M44" s="2"/>
      <c r="N44" s="41"/>
      <c r="Q44" s="40"/>
      <c r="R44" s="2"/>
      <c r="S44" s="2"/>
      <c r="T44" s="40"/>
      <c r="X44" s="40"/>
      <c r="AA44" s="40"/>
      <c r="AD44" s="40"/>
      <c r="AG44" s="40"/>
      <c r="AJ44" s="40"/>
      <c r="AM44" s="2"/>
      <c r="AN44" s="2"/>
      <c r="AO44" s="2"/>
    </row>
    <row r="45" spans="1:41" ht="13.5" thickBot="1">
      <c r="A45" s="13"/>
      <c r="B45" s="13" t="s">
        <v>24</v>
      </c>
      <c r="C45" s="14">
        <f>SUM(C9:C43)</f>
        <v>77667.97</v>
      </c>
      <c r="D45" s="14">
        <f>SUM(D9:D43)</f>
        <v>18311587</v>
      </c>
      <c r="E45" s="14"/>
      <c r="F45" s="14">
        <f>SUM(F9:F43)</f>
        <v>83958.16666666667</v>
      </c>
      <c r="G45" s="14">
        <f>SUM(G9:G43)</f>
        <v>17323868.083333332</v>
      </c>
      <c r="H45" s="42">
        <f>SUM(H9:H43)</f>
        <v>-62828.81416666666</v>
      </c>
      <c r="I45" s="14">
        <f>SUM(I9:I43)</f>
        <v>-12831640.333333332</v>
      </c>
      <c r="J45" s="14">
        <f>SUM(J9:J44)</f>
        <v>25933.658023119984</v>
      </c>
      <c r="K45" s="42">
        <f>SUM(K9:K43)</f>
        <v>-964.4966666666753</v>
      </c>
      <c r="L45" s="14">
        <f>SUM(L9:L43)</f>
        <v>193888.91666666727</v>
      </c>
      <c r="M45" s="14">
        <f>SUM(M9:M44)</f>
        <v>102296.95185235793</v>
      </c>
      <c r="N45" s="42">
        <f>SUM(N9:N43)</f>
        <v>-68371.95666666667</v>
      </c>
      <c r="O45" s="14">
        <f>SUM(O9:O43)</f>
        <v>-757105.0833333328</v>
      </c>
      <c r="P45" s="14">
        <f>SUM(P9:P44)</f>
        <v>82158.54016554303</v>
      </c>
      <c r="Q45" s="43">
        <f>SUM(Q9:Q44)</f>
        <v>-12839.136666666667</v>
      </c>
      <c r="R45" s="14">
        <f>SUM(R9:R44)</f>
        <v>-9004066.083333332</v>
      </c>
      <c r="S45" s="14">
        <f>SUM(S9:S44)</f>
        <v>81313.32749129496</v>
      </c>
      <c r="T45" s="42">
        <f aca="true" t="shared" si="2" ref="T45:Z45">SUM(T9:T44)</f>
        <v>-1100.8966666666731</v>
      </c>
      <c r="U45" s="14">
        <f t="shared" si="2"/>
        <v>-1342226.0833333328</v>
      </c>
      <c r="V45" s="14">
        <f t="shared" si="2"/>
        <v>99053.77140621844</v>
      </c>
      <c r="W45" s="13"/>
      <c r="X45" s="42">
        <f t="shared" si="2"/>
        <v>-1128.596666666679</v>
      </c>
      <c r="Y45" s="14">
        <f t="shared" si="2"/>
        <v>2471017.916666667</v>
      </c>
      <c r="Z45" s="14">
        <f t="shared" si="2"/>
        <v>106746.08996907366</v>
      </c>
      <c r="AA45" s="42">
        <f aca="true" t="shared" si="3" ref="AA45:AF45">SUM(AA9:AA44)</f>
        <v>259.6533333333262</v>
      </c>
      <c r="AB45" s="14">
        <f t="shared" si="3"/>
        <v>2010210.9166666672</v>
      </c>
      <c r="AC45" s="14">
        <f t="shared" si="3"/>
        <v>106029.5701125991</v>
      </c>
      <c r="AD45" s="42">
        <f t="shared" si="3"/>
        <v>32.713333333338674</v>
      </c>
      <c r="AE45" s="14">
        <f t="shared" si="3"/>
        <v>-951700.0833333328</v>
      </c>
      <c r="AF45" s="14">
        <f t="shared" si="3"/>
        <v>99603.98609346792</v>
      </c>
      <c r="AG45" s="42">
        <f aca="true" t="shared" si="4" ref="AG45:AL45">SUM(AG9:AG44)</f>
        <v>979.6833333333337</v>
      </c>
      <c r="AH45" s="14">
        <f t="shared" si="4"/>
        <v>-828035.0833333328</v>
      </c>
      <c r="AI45" s="14">
        <f t="shared" si="4"/>
        <v>100658.50887725687</v>
      </c>
      <c r="AJ45" s="42">
        <f t="shared" si="4"/>
        <v>1225.0133333333313</v>
      </c>
      <c r="AK45" s="14">
        <f t="shared" si="4"/>
        <v>781844.9166666672</v>
      </c>
      <c r="AL45" s="14">
        <f t="shared" si="4"/>
        <v>104039.3213837239</v>
      </c>
      <c r="AM45" s="42">
        <f>SUM(AM9:AM44)</f>
        <v>-144736.83416666673</v>
      </c>
      <c r="AN45" s="14">
        <f>SUM(AN9:AN43)</f>
        <v>-20257810.08333333</v>
      </c>
      <c r="AO45" s="14">
        <f>SUM(AO9:AO43)</f>
        <v>907833.7253746558</v>
      </c>
    </row>
    <row r="46" spans="1:40" ht="12.75">
      <c r="A46" s="44"/>
      <c r="B46" s="51" t="s">
        <v>150</v>
      </c>
      <c r="C46" s="25"/>
      <c r="D46" s="25"/>
      <c r="E46" s="25"/>
      <c r="F46" s="25"/>
      <c r="G46" s="25"/>
      <c r="H46" s="25"/>
      <c r="I46" s="25">
        <f>+'Festival Mar 31'!I47</f>
        <v>77915.75</v>
      </c>
      <c r="J46" s="25"/>
      <c r="K46" s="25"/>
      <c r="L46" s="25">
        <f>+'Festival Apr 30'!I47</f>
        <v>311663.00000000064</v>
      </c>
      <c r="M46" s="25"/>
      <c r="N46" s="25"/>
      <c r="O46" s="25">
        <f>+'Festival May 31'!I47</f>
        <v>313435.0000000007</v>
      </c>
      <c r="P46" s="25"/>
      <c r="Q46" s="44"/>
      <c r="R46" s="25">
        <f>+'Festival Jun 30'!I47</f>
        <v>0</v>
      </c>
      <c r="S46" s="25"/>
      <c r="T46" s="25"/>
      <c r="U46" s="25">
        <f>'Festival July 31'!I48</f>
        <v>152.0000000006985</v>
      </c>
      <c r="V46" s="25"/>
      <c r="W46" s="44"/>
      <c r="Y46" s="2">
        <f>'Festival August 30'!I47</f>
        <v>152.00000000093132</v>
      </c>
      <c r="AB46" s="2">
        <f>'Festival Sept 30'!I47</f>
        <v>152.0000000006985</v>
      </c>
      <c r="AE46" s="2">
        <f>'Festival Oct 30 '!I47</f>
        <v>152.0000000006985</v>
      </c>
      <c r="AH46" s="2">
        <f>'Festival Nov 30 '!I47</f>
        <v>152.0000000006985</v>
      </c>
      <c r="AK46" s="2">
        <f>'Festival Dec 31'!I47</f>
        <v>152.0000000006985</v>
      </c>
      <c r="AN46" s="2">
        <f>+AK46+AH46+AE46+AB46+Y46+U46+R46+O46+L46+I46</f>
        <v>703925.7500000058</v>
      </c>
    </row>
    <row r="47" spans="1:41" ht="12.75">
      <c r="A47" s="44"/>
      <c r="B47" s="4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4"/>
      <c r="R47" s="25"/>
      <c r="S47" s="25"/>
      <c r="T47" s="25"/>
      <c r="U47" s="25"/>
      <c r="V47" s="25"/>
      <c r="W47" s="25"/>
      <c r="AM47" s="2"/>
      <c r="AN47" s="2"/>
      <c r="AO47" s="2"/>
    </row>
    <row r="48" spans="1:41" ht="12.75">
      <c r="A48" s="44"/>
      <c r="B48" s="4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4"/>
      <c r="R48" s="25"/>
      <c r="S48" s="25"/>
      <c r="T48" s="25"/>
      <c r="U48" s="25"/>
      <c r="V48" s="25"/>
      <c r="W48" s="25"/>
      <c r="AM48" s="2" t="s">
        <v>156</v>
      </c>
      <c r="AN48" s="2">
        <f>I46++L46+O46</f>
        <v>703013.7500000014</v>
      </c>
      <c r="AO48" s="2"/>
    </row>
    <row r="49" spans="1:40" ht="12.75">
      <c r="A49" s="44"/>
      <c r="B49" s="4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4"/>
      <c r="R49" s="25"/>
      <c r="S49" s="25"/>
      <c r="T49" s="25"/>
      <c r="U49" s="25"/>
      <c r="V49" s="25"/>
      <c r="W49" s="25"/>
      <c r="AM49" s="2" t="s">
        <v>157</v>
      </c>
      <c r="AN49" s="2" t="s">
        <v>158</v>
      </c>
    </row>
    <row r="50" spans="1:40" ht="12.75">
      <c r="A50" s="44"/>
      <c r="B50" s="4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25"/>
      <c r="S50" s="25"/>
      <c r="T50" s="25"/>
      <c r="U50" s="25"/>
      <c r="V50" s="25"/>
      <c r="W50" s="25"/>
      <c r="AN50" s="2">
        <f>+AN48/360</f>
        <v>1952.815972222226</v>
      </c>
    </row>
    <row r="51" spans="1:40" ht="12.75">
      <c r="A51" s="44"/>
      <c r="B51" s="4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4"/>
      <c r="R51" s="25"/>
      <c r="S51" s="25"/>
      <c r="T51" s="25"/>
      <c r="U51" s="25"/>
      <c r="V51" s="25"/>
      <c r="W51" s="25"/>
      <c r="AL51" s="2" t="s">
        <v>159</v>
      </c>
      <c r="AM51" s="2"/>
      <c r="AN51" s="2"/>
    </row>
    <row r="52" spans="1:40" ht="12.75">
      <c r="A52" s="44"/>
      <c r="B52" s="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4"/>
      <c r="R52" s="25"/>
      <c r="S52" s="25"/>
      <c r="T52" s="25"/>
      <c r="U52" s="25"/>
      <c r="V52" s="25"/>
      <c r="W52" s="25"/>
      <c r="AM52" s="2" t="s">
        <v>160</v>
      </c>
      <c r="AN52" s="2">
        <f>+AN46-AN48</f>
        <v>912.0000000044238</v>
      </c>
    </row>
    <row r="53" spans="1:40" ht="12.75">
      <c r="A53" s="44"/>
      <c r="B53" s="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44"/>
      <c r="R53" s="25"/>
      <c r="S53" s="25"/>
      <c r="T53" s="25"/>
      <c r="U53" s="25"/>
      <c r="V53" s="25"/>
      <c r="W53" s="25"/>
      <c r="AM53" s="2" t="s">
        <v>161</v>
      </c>
      <c r="AN53" s="2">
        <v>14446.45</v>
      </c>
    </row>
    <row r="54" spans="1:40" ht="12.75">
      <c r="A54" s="44"/>
      <c r="B54" s="4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44"/>
      <c r="R54" s="25"/>
      <c r="S54" s="25"/>
      <c r="T54" s="25"/>
      <c r="U54" s="25"/>
      <c r="V54" s="25"/>
      <c r="W54" s="25"/>
      <c r="AM54" s="2" t="s">
        <v>117</v>
      </c>
      <c r="AN54" s="2">
        <f>+AN52+AN53</f>
        <v>15358.450000004425</v>
      </c>
    </row>
    <row r="55" spans="1:40" ht="12.75">
      <c r="A55" s="44"/>
      <c r="B55" s="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44"/>
      <c r="R55" s="25"/>
      <c r="S55" s="25"/>
      <c r="T55" s="25"/>
      <c r="U55" s="25"/>
      <c r="V55" s="25"/>
      <c r="W55" s="25"/>
      <c r="AM55" s="2" t="s">
        <v>157</v>
      </c>
      <c r="AN55" s="2" t="s">
        <v>158</v>
      </c>
    </row>
    <row r="56" spans="1:40" ht="12.75">
      <c r="A56" s="44"/>
      <c r="B56" s="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44"/>
      <c r="R56" s="25"/>
      <c r="S56" s="25"/>
      <c r="T56" s="25"/>
      <c r="U56" s="25"/>
      <c r="V56" s="25"/>
      <c r="W56" s="25"/>
      <c r="AL56" s="2" t="s">
        <v>162</v>
      </c>
      <c r="AM56" s="2"/>
      <c r="AN56" s="2">
        <f>+AN54/360</f>
        <v>42.6623611111234</v>
      </c>
    </row>
    <row r="57" spans="12:40" ht="12.75">
      <c r="L57" s="25"/>
      <c r="M57" s="25"/>
      <c r="N57" s="25"/>
      <c r="O57" s="25"/>
      <c r="P57" s="25"/>
      <c r="Q57" s="44"/>
      <c r="R57" s="25"/>
      <c r="S57" s="25"/>
      <c r="T57" s="25"/>
      <c r="U57" s="25"/>
      <c r="V57" s="25"/>
      <c r="W57" s="25"/>
      <c r="AM57" s="2"/>
      <c r="AN57" s="2"/>
    </row>
    <row r="58" spans="12:18" ht="12.75">
      <c r="L58" s="2"/>
      <c r="M58" s="2"/>
      <c r="R58" s="2"/>
    </row>
    <row r="59" spans="12:18" ht="12.75">
      <c r="L59" s="2"/>
      <c r="M59" s="2"/>
      <c r="R59" s="2"/>
    </row>
    <row r="60" spans="12:18" ht="12.75">
      <c r="L60" s="2"/>
      <c r="M60" s="2"/>
      <c r="R60" s="2"/>
    </row>
    <row r="61" spans="12:18" ht="12.75">
      <c r="L61" s="2"/>
      <c r="M61" s="2"/>
      <c r="R61" s="2"/>
    </row>
    <row r="62" spans="12:18" ht="12.75">
      <c r="L62" s="2"/>
      <c r="M62" s="2"/>
      <c r="R62" s="2"/>
    </row>
    <row r="63" spans="12:18" ht="12.75">
      <c r="L63" s="2"/>
      <c r="M63" s="2"/>
      <c r="R63" s="2"/>
    </row>
    <row r="64" spans="12:13" ht="12.75">
      <c r="L64" s="2"/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131" ht="12.75">
      <c r="R131" s="2"/>
    </row>
    <row r="132" ht="12.75">
      <c r="R132" s="2"/>
    </row>
    <row r="133" ht="12.75">
      <c r="R133" s="2"/>
    </row>
    <row r="134" ht="12.75">
      <c r="R134" s="2"/>
    </row>
    <row r="135" ht="12.75">
      <c r="R135" s="2"/>
    </row>
    <row r="136" ht="12.75">
      <c r="R136" s="2"/>
    </row>
    <row r="137" ht="12.75">
      <c r="R137" s="2"/>
    </row>
    <row r="138" ht="12.75">
      <c r="R138" s="2"/>
    </row>
    <row r="139" ht="12.75">
      <c r="R139" s="2"/>
    </row>
    <row r="140" ht="12.75">
      <c r="R140" s="2"/>
    </row>
    <row r="141" ht="12.75">
      <c r="R141" s="2"/>
    </row>
    <row r="142" ht="12.75">
      <c r="R142" s="2"/>
    </row>
    <row r="143" ht="12.75">
      <c r="R143" s="2"/>
    </row>
    <row r="144" ht="12.75">
      <c r="R144" s="2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5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D1">
      <selection activeCell="L5" sqref="L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3.28125" style="2" customWidth="1"/>
    <col min="8" max="8" width="13.28125" style="2" bestFit="1" customWidth="1"/>
    <col min="9" max="9" width="10.7109375" style="19" customWidth="1"/>
    <col min="10" max="10" width="12.28125" style="2" bestFit="1" customWidth="1"/>
    <col min="11" max="11" width="14.28125" style="2" bestFit="1" customWidth="1"/>
    <col min="12" max="12" width="13.281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43</v>
      </c>
    </row>
    <row r="4" spans="6:12" ht="12.75">
      <c r="F4" s="17" t="s">
        <v>78</v>
      </c>
      <c r="G4" s="17" t="s">
        <v>78</v>
      </c>
      <c r="H4" s="16" t="s">
        <v>110</v>
      </c>
      <c r="L4" s="17" t="s">
        <v>78</v>
      </c>
    </row>
    <row r="5" spans="2:13" ht="12.75">
      <c r="B5" s="1" t="s">
        <v>1</v>
      </c>
      <c r="C5" s="16" t="s">
        <v>46</v>
      </c>
      <c r="F5" s="17" t="s">
        <v>47</v>
      </c>
      <c r="G5" s="17" t="s">
        <v>47</v>
      </c>
      <c r="H5" s="18" t="s">
        <v>49</v>
      </c>
      <c r="J5" s="18" t="s">
        <v>51</v>
      </c>
      <c r="L5" s="17" t="s">
        <v>47</v>
      </c>
      <c r="M5" s="16" t="s">
        <v>112</v>
      </c>
    </row>
    <row r="6" spans="2:19" ht="12.75">
      <c r="B6" s="5"/>
      <c r="C6" s="6"/>
      <c r="D6" s="6"/>
      <c r="E6" s="6"/>
      <c r="F6" s="17" t="s">
        <v>48</v>
      </c>
      <c r="G6" s="17" t="s">
        <v>48</v>
      </c>
      <c r="H6" s="17" t="s">
        <v>50</v>
      </c>
      <c r="I6" s="17" t="s">
        <v>50</v>
      </c>
      <c r="J6" s="28" t="s">
        <v>52</v>
      </c>
      <c r="K6" s="6"/>
      <c r="L6" s="17" t="s">
        <v>48</v>
      </c>
      <c r="M6" s="16" t="s">
        <v>113</v>
      </c>
      <c r="N6" s="9"/>
      <c r="O6" s="6"/>
      <c r="P6" s="6"/>
      <c r="Q6" s="6"/>
      <c r="S6" s="22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109</v>
      </c>
      <c r="G7" s="11" t="s">
        <v>111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114</v>
      </c>
      <c r="M7" s="11" t="s">
        <v>115</v>
      </c>
      <c r="N7" s="9"/>
      <c r="O7" s="6"/>
      <c r="P7" s="6"/>
      <c r="Q7" s="6"/>
      <c r="S7" s="22"/>
      <c r="T7" s="22"/>
    </row>
    <row r="8" spans="12:17" ht="12.75">
      <c r="L8" s="29"/>
      <c r="M8" s="25"/>
      <c r="N8" s="30"/>
      <c r="O8" s="25"/>
      <c r="P8" s="25"/>
      <c r="Q8" s="25"/>
    </row>
    <row r="9" spans="1:20" ht="12.75">
      <c r="A9" t="s">
        <v>44</v>
      </c>
      <c r="B9" t="s">
        <v>8</v>
      </c>
      <c r="D9" s="2">
        <v>125399384</v>
      </c>
      <c r="F9" s="2">
        <v>580908.73</v>
      </c>
      <c r="G9" s="2">
        <v>290454.37</v>
      </c>
      <c r="I9" s="3">
        <f>+G9/D9</f>
        <v>0.0023162344242456567</v>
      </c>
      <c r="K9" s="2">
        <f>+D9/12</f>
        <v>10449948.666666666</v>
      </c>
      <c r="L9" s="25">
        <f>+F9-G9</f>
        <v>290454.36</v>
      </c>
      <c r="M9" s="25">
        <f>+L9/12</f>
        <v>24204.53</v>
      </c>
      <c r="N9" s="30"/>
      <c r="O9" s="25"/>
      <c r="P9" s="25"/>
      <c r="Q9" s="25"/>
      <c r="S9" s="23"/>
      <c r="T9" s="23"/>
    </row>
    <row r="10" spans="1:20" ht="12.75">
      <c r="A10" t="s">
        <v>45</v>
      </c>
      <c r="B10" t="s">
        <v>10</v>
      </c>
      <c r="D10" s="2">
        <v>7685310</v>
      </c>
      <c r="F10" s="2">
        <v>24043</v>
      </c>
      <c r="G10" s="2">
        <v>22359.99</v>
      </c>
      <c r="I10" s="3">
        <f>+G10/D10</f>
        <v>0.002909445422500849</v>
      </c>
      <c r="K10" s="2">
        <f>+D10/12</f>
        <v>640442.5</v>
      </c>
      <c r="L10" s="25">
        <f>+F10-G10</f>
        <v>1683.0099999999984</v>
      </c>
      <c r="M10" s="25">
        <f>+L10/12</f>
        <v>140.2508333333332</v>
      </c>
      <c r="N10" s="30"/>
      <c r="O10" s="25"/>
      <c r="P10" s="25"/>
      <c r="Q10" s="25"/>
      <c r="S10" s="23"/>
      <c r="T10" s="23"/>
    </row>
    <row r="11" spans="1:20" ht="12.75">
      <c r="A11" t="s">
        <v>11</v>
      </c>
      <c r="B11" t="s">
        <v>12</v>
      </c>
      <c r="D11" s="2">
        <v>4099937</v>
      </c>
      <c r="F11" s="2">
        <v>6155</v>
      </c>
      <c r="G11" s="2">
        <v>246.2</v>
      </c>
      <c r="I11" s="3">
        <f>+G11/D11</f>
        <v>6.004970320275653E-05</v>
      </c>
      <c r="K11" s="2">
        <f>+D11/12</f>
        <v>341661.4166666667</v>
      </c>
      <c r="L11" s="25">
        <f>+F11-G11</f>
        <v>5908.8</v>
      </c>
      <c r="M11" s="25">
        <f>+L11/12</f>
        <v>492.40000000000003</v>
      </c>
      <c r="N11" s="30"/>
      <c r="O11" s="25"/>
      <c r="P11" s="25"/>
      <c r="Q11" s="25"/>
      <c r="S11" s="23"/>
      <c r="T11" s="23"/>
    </row>
    <row r="12" spans="1:20" ht="12.75">
      <c r="A12" t="s">
        <v>13</v>
      </c>
      <c r="I12" s="3"/>
      <c r="L12" s="25"/>
      <c r="M12" s="25"/>
      <c r="N12" s="30"/>
      <c r="O12" s="25"/>
      <c r="P12" s="25"/>
      <c r="Q12" s="25"/>
      <c r="S12" s="23"/>
      <c r="T12" s="23"/>
    </row>
    <row r="13" spans="1:20" ht="12.75">
      <c r="A13" t="s">
        <v>14</v>
      </c>
      <c r="I13" s="3"/>
      <c r="L13" s="25"/>
      <c r="M13" s="25"/>
      <c r="N13" s="30"/>
      <c r="O13" s="25"/>
      <c r="P13" s="25"/>
      <c r="Q13" s="25"/>
      <c r="S13" s="23"/>
      <c r="T13" s="23"/>
    </row>
    <row r="14" spans="12:20" ht="12.75">
      <c r="L14" s="25">
        <f>+F14-G14</f>
        <v>0</v>
      </c>
      <c r="M14" s="25"/>
      <c r="N14" s="30"/>
      <c r="O14" s="25"/>
      <c r="P14" s="25"/>
      <c r="Q14" s="25"/>
      <c r="S14" s="23"/>
      <c r="T14" s="23"/>
    </row>
    <row r="15" spans="1:20" ht="12.75">
      <c r="A15" t="s">
        <v>16</v>
      </c>
      <c r="B15" t="s">
        <v>17</v>
      </c>
      <c r="D15" s="2">
        <v>70701786</v>
      </c>
      <c r="F15" s="2">
        <v>213675.33</v>
      </c>
      <c r="G15" s="2">
        <v>106837.66</v>
      </c>
      <c r="I15" s="3">
        <f>+G15/D15</f>
        <v>0.0015111027039684684</v>
      </c>
      <c r="K15" s="2">
        <f>+D15/12</f>
        <v>5891815.5</v>
      </c>
      <c r="L15" s="25">
        <f>+F15-G15</f>
        <v>106837.66999999998</v>
      </c>
      <c r="M15" s="25">
        <f>+L15/12</f>
        <v>8903.139166666666</v>
      </c>
      <c r="N15" s="30"/>
      <c r="O15" s="25"/>
      <c r="P15" s="25"/>
      <c r="Q15" s="25"/>
      <c r="S15" s="23"/>
      <c r="T15" s="23"/>
    </row>
    <row r="16" spans="1:20" ht="12.75">
      <c r="A16" t="s">
        <v>25</v>
      </c>
      <c r="B16" t="s">
        <v>17</v>
      </c>
      <c r="D16" s="2">
        <v>0</v>
      </c>
      <c r="L16" s="29"/>
      <c r="M16" s="25"/>
      <c r="N16" s="30"/>
      <c r="O16" s="25"/>
      <c r="P16" s="25"/>
      <c r="Q16" s="25"/>
      <c r="S16" s="23"/>
      <c r="T16" s="23"/>
    </row>
    <row r="17" spans="1:20" ht="12.75">
      <c r="A17" t="s">
        <v>16</v>
      </c>
      <c r="B17" t="s">
        <v>17</v>
      </c>
      <c r="C17" s="2">
        <v>0</v>
      </c>
      <c r="L17" s="29"/>
      <c r="M17" s="25"/>
      <c r="N17" s="30"/>
      <c r="O17" s="25"/>
      <c r="P17" s="25"/>
      <c r="Q17" s="25"/>
      <c r="S17" s="23"/>
      <c r="T17" s="23"/>
    </row>
    <row r="18" spans="12:20" ht="12.75">
      <c r="L18" s="29"/>
      <c r="M18" s="25"/>
      <c r="N18" s="30"/>
      <c r="O18" s="25"/>
      <c r="P18" s="25"/>
      <c r="Q18" s="25"/>
      <c r="S18" s="23"/>
      <c r="T18" s="23"/>
    </row>
    <row r="19" spans="1:20" ht="12.75">
      <c r="A19" t="s">
        <v>18</v>
      </c>
      <c r="B19" t="s">
        <v>19</v>
      </c>
      <c r="D19" s="2">
        <v>0</v>
      </c>
      <c r="L19" s="29"/>
      <c r="M19" s="25"/>
      <c r="N19" s="30"/>
      <c r="O19" s="25"/>
      <c r="P19" s="25"/>
      <c r="Q19" s="25"/>
      <c r="S19" s="23"/>
      <c r="T19" s="23"/>
    </row>
    <row r="20" spans="1:20" ht="12.75">
      <c r="A20" t="s">
        <v>29</v>
      </c>
      <c r="B20" t="s">
        <v>19</v>
      </c>
      <c r="D20" s="2">
        <v>0</v>
      </c>
      <c r="L20" s="29"/>
      <c r="M20" s="25"/>
      <c r="N20" s="30"/>
      <c r="O20" s="25"/>
      <c r="P20" s="25"/>
      <c r="Q20" s="25"/>
      <c r="S20" s="23"/>
      <c r="T20" s="23"/>
    </row>
    <row r="21" spans="1:20" ht="12.75">
      <c r="A21" t="s">
        <v>30</v>
      </c>
      <c r="B21" t="s">
        <v>19</v>
      </c>
      <c r="D21" s="2">
        <v>0</v>
      </c>
      <c r="L21" s="29"/>
      <c r="M21" s="25"/>
      <c r="N21" s="30"/>
      <c r="O21" s="25"/>
      <c r="P21" s="25"/>
      <c r="Q21" s="25"/>
      <c r="S21" s="23"/>
      <c r="T21" s="23"/>
    </row>
    <row r="22" spans="1:20" ht="12.75">
      <c r="A22" t="s">
        <v>18</v>
      </c>
      <c r="B22" t="s">
        <v>19</v>
      </c>
      <c r="C22" s="2">
        <v>849437</v>
      </c>
      <c r="F22" s="2">
        <v>315187.42</v>
      </c>
      <c r="G22" s="2">
        <v>220631.2</v>
      </c>
      <c r="H22" s="3">
        <f>+G22/C22</f>
        <v>0.259738155978607</v>
      </c>
      <c r="J22" s="2">
        <f>+C22/12</f>
        <v>70786.41666666667</v>
      </c>
      <c r="L22" s="25">
        <f>+F22-G22</f>
        <v>94556.21999999997</v>
      </c>
      <c r="M22" s="25">
        <f>+L22/12</f>
        <v>7879.684999999998</v>
      </c>
      <c r="N22" s="30"/>
      <c r="O22" s="25"/>
      <c r="P22" s="25"/>
      <c r="Q22" s="25"/>
      <c r="S22" s="23"/>
      <c r="T22" s="23"/>
    </row>
    <row r="23" spans="1:20" ht="12.75">
      <c r="A23" t="s">
        <v>29</v>
      </c>
      <c r="B23" t="s">
        <v>19</v>
      </c>
      <c r="C23" s="2">
        <v>0</v>
      </c>
      <c r="L23" s="29"/>
      <c r="M23" s="25"/>
      <c r="N23" s="30"/>
      <c r="O23" s="25"/>
      <c r="P23" s="25"/>
      <c r="Q23" s="25"/>
      <c r="S23" s="23"/>
      <c r="T23" s="23"/>
    </row>
    <row r="24" spans="1:20" ht="12.75">
      <c r="A24" t="s">
        <v>30</v>
      </c>
      <c r="B24" t="s">
        <v>19</v>
      </c>
      <c r="C24" s="2">
        <v>0</v>
      </c>
      <c r="L24" s="29"/>
      <c r="M24" s="25"/>
      <c r="N24" s="30"/>
      <c r="O24" s="25"/>
      <c r="P24" s="25"/>
      <c r="Q24" s="25"/>
      <c r="S24" s="23"/>
      <c r="T24" s="23"/>
    </row>
    <row r="25" spans="12:17" ht="12.75">
      <c r="L25" s="29"/>
      <c r="M25" s="25"/>
      <c r="N25" s="30"/>
      <c r="O25" s="25"/>
      <c r="P25" s="25"/>
      <c r="Q25" s="25"/>
    </row>
    <row r="26" spans="2:17" ht="12.75">
      <c r="B26" t="s">
        <v>20</v>
      </c>
      <c r="L26" s="29"/>
      <c r="M26" s="25"/>
      <c r="N26" s="30"/>
      <c r="O26" s="25"/>
      <c r="P26" s="25"/>
      <c r="Q26" s="25"/>
    </row>
    <row r="27" spans="12:17" ht="12.75">
      <c r="L27" s="29"/>
      <c r="M27" s="25"/>
      <c r="N27" s="30"/>
      <c r="O27" s="25"/>
      <c r="P27" s="25"/>
      <c r="Q27" s="25"/>
    </row>
    <row r="28" spans="1:17" ht="12.75">
      <c r="A28" t="s">
        <v>28</v>
      </c>
      <c r="B28" t="s">
        <v>33</v>
      </c>
      <c r="D28" s="2">
        <v>0</v>
      </c>
      <c r="L28" s="29"/>
      <c r="M28" s="25"/>
      <c r="N28" s="30"/>
      <c r="O28" s="25"/>
      <c r="P28" s="25"/>
      <c r="Q28" s="25"/>
    </row>
    <row r="29" spans="1:17" ht="12.75">
      <c r="A29" t="s">
        <v>36</v>
      </c>
      <c r="B29" t="s">
        <v>34</v>
      </c>
      <c r="D29" s="2">
        <v>0</v>
      </c>
      <c r="L29" s="29"/>
      <c r="M29" s="25"/>
      <c r="N29" s="30"/>
      <c r="O29" s="25"/>
      <c r="P29" s="25"/>
      <c r="Q29" s="25"/>
    </row>
    <row r="30" spans="1:17" ht="12.75">
      <c r="A30" t="s">
        <v>28</v>
      </c>
      <c r="B30" t="s">
        <v>26</v>
      </c>
      <c r="C30" s="2">
        <v>84764</v>
      </c>
      <c r="D30" s="2">
        <v>0</v>
      </c>
      <c r="F30" s="2">
        <v>28268.7</v>
      </c>
      <c r="G30" s="2">
        <v>8508.88</v>
      </c>
      <c r="H30" s="3">
        <f>+G30/C30</f>
        <v>0.10038318153933272</v>
      </c>
      <c r="J30" s="2">
        <f>+C30/12</f>
        <v>7063.666666666667</v>
      </c>
      <c r="L30" s="25">
        <f>+F30-G30</f>
        <v>19759.82</v>
      </c>
      <c r="M30" s="25">
        <f>+L30/12</f>
        <v>1646.6516666666666</v>
      </c>
      <c r="N30" s="30"/>
      <c r="O30" s="25"/>
      <c r="P30" s="25"/>
      <c r="Q30" s="25"/>
    </row>
    <row r="31" spans="12:17" ht="12.75">
      <c r="L31" s="29"/>
      <c r="M31" s="25"/>
      <c r="N31" s="30"/>
      <c r="O31" s="25"/>
      <c r="P31" s="25"/>
      <c r="Q31" s="25"/>
    </row>
    <row r="32" spans="1:17" ht="12.75">
      <c r="A32" t="s">
        <v>31</v>
      </c>
      <c r="B32" t="s">
        <v>33</v>
      </c>
      <c r="D32" s="2">
        <v>0</v>
      </c>
      <c r="L32" s="29"/>
      <c r="M32" s="25"/>
      <c r="N32" s="30"/>
      <c r="O32" s="25"/>
      <c r="P32" s="25"/>
      <c r="Q32" s="25"/>
    </row>
    <row r="33" spans="1:17" ht="12.75">
      <c r="A33" t="s">
        <v>37</v>
      </c>
      <c r="B33" t="s">
        <v>34</v>
      </c>
      <c r="D33" s="2">
        <v>0</v>
      </c>
      <c r="L33" s="29"/>
      <c r="M33" s="25"/>
      <c r="N33" s="30"/>
      <c r="O33" s="25"/>
      <c r="P33" s="25"/>
      <c r="Q33" s="25"/>
    </row>
    <row r="34" spans="1:17" ht="12.75">
      <c r="A34" t="s">
        <v>31</v>
      </c>
      <c r="B34" t="s">
        <v>26</v>
      </c>
      <c r="C34" s="2">
        <v>39294</v>
      </c>
      <c r="F34" s="2">
        <v>27705.36</v>
      </c>
      <c r="G34" s="2">
        <v>19393.75</v>
      </c>
      <c r="H34" s="3">
        <f>+G34/C34</f>
        <v>0.49355499567363975</v>
      </c>
      <c r="J34" s="2">
        <f>+C34/12</f>
        <v>3274.5</v>
      </c>
      <c r="L34" s="25">
        <f>+F34-G34</f>
        <v>8311.61</v>
      </c>
      <c r="M34" s="25">
        <f>+L34/12</f>
        <v>692.6341666666667</v>
      </c>
      <c r="N34" s="30"/>
      <c r="O34" s="25"/>
      <c r="P34" s="25"/>
      <c r="Q34" s="25"/>
    </row>
    <row r="35" spans="12:17" ht="12.75">
      <c r="L35" s="29"/>
      <c r="M35" s="25"/>
      <c r="N35" s="30"/>
      <c r="O35" s="25"/>
      <c r="P35" s="25"/>
      <c r="Q35" s="25"/>
    </row>
    <row r="36" spans="1:17" ht="12.75">
      <c r="A36" t="s">
        <v>32</v>
      </c>
      <c r="B36" t="s">
        <v>33</v>
      </c>
      <c r="D36" s="2">
        <v>0</v>
      </c>
      <c r="L36" s="29"/>
      <c r="M36" s="25"/>
      <c r="N36" s="30"/>
      <c r="O36" s="25"/>
      <c r="P36" s="25"/>
      <c r="Q36" s="25"/>
    </row>
    <row r="37" spans="1:17" ht="12.75">
      <c r="A37" t="s">
        <v>32</v>
      </c>
      <c r="B37" t="s">
        <v>26</v>
      </c>
      <c r="C37" s="2">
        <v>22870</v>
      </c>
      <c r="F37" s="2">
        <v>22965.68</v>
      </c>
      <c r="G37" s="2">
        <v>16075.98</v>
      </c>
      <c r="H37" s="3">
        <f>+G37/C37</f>
        <v>0.7029287275907302</v>
      </c>
      <c r="J37" s="2">
        <f>+C37/12</f>
        <v>1905.8333333333333</v>
      </c>
      <c r="L37" s="25">
        <f>+F37-G37</f>
        <v>6889.700000000001</v>
      </c>
      <c r="M37" s="25">
        <f>+L37/12</f>
        <v>574.1416666666668</v>
      </c>
      <c r="N37" s="30"/>
      <c r="O37" s="25"/>
      <c r="P37" s="25"/>
      <c r="Q37" s="25"/>
    </row>
    <row r="38" spans="12:17" ht="12.75">
      <c r="L38" s="29"/>
      <c r="M38" s="25"/>
      <c r="N38" s="30"/>
      <c r="O38" s="25"/>
      <c r="P38" s="25"/>
      <c r="Q38" s="25"/>
    </row>
    <row r="39" spans="2:17" ht="12.75">
      <c r="B39" t="s">
        <v>21</v>
      </c>
      <c r="L39" s="29"/>
      <c r="M39" s="25"/>
      <c r="N39" s="30"/>
      <c r="O39" s="25"/>
      <c r="P39" s="25"/>
      <c r="Q39" s="25"/>
    </row>
    <row r="40" spans="2:17" ht="12.75">
      <c r="B40" t="s">
        <v>22</v>
      </c>
      <c r="L40" s="29"/>
      <c r="M40" s="25"/>
      <c r="N40" s="30"/>
      <c r="O40" s="25"/>
      <c r="P40" s="25"/>
      <c r="Q40" s="25"/>
    </row>
    <row r="41" spans="1:17" ht="12.75">
      <c r="A41" t="s">
        <v>38</v>
      </c>
      <c r="B41" t="s">
        <v>35</v>
      </c>
      <c r="C41" s="2">
        <v>10600</v>
      </c>
      <c r="F41" s="2">
        <v>6806.34</v>
      </c>
      <c r="G41" s="2">
        <v>2041.9</v>
      </c>
      <c r="H41" s="3">
        <f>+G41/C41</f>
        <v>0.1926320754716981</v>
      </c>
      <c r="J41" s="2">
        <f>+C41/12</f>
        <v>883.3333333333334</v>
      </c>
      <c r="L41" s="25">
        <f>+F41-G41</f>
        <v>4764.4400000000005</v>
      </c>
      <c r="M41" s="25">
        <f>+L41/12</f>
        <v>397.0366666666667</v>
      </c>
      <c r="N41" s="30"/>
      <c r="O41" s="25"/>
      <c r="P41" s="25"/>
      <c r="Q41" s="25"/>
    </row>
    <row r="42" spans="12:17" ht="12.75">
      <c r="L42" s="29"/>
      <c r="M42" s="25"/>
      <c r="N42" s="30"/>
      <c r="O42" s="25"/>
      <c r="P42" s="25"/>
      <c r="Q42" s="25"/>
    </row>
    <row r="43" spans="2:17" ht="12.75">
      <c r="B43" t="s">
        <v>23</v>
      </c>
      <c r="C43" s="2">
        <v>533</v>
      </c>
      <c r="F43" s="2">
        <v>856.44</v>
      </c>
      <c r="G43" s="2">
        <v>257.79</v>
      </c>
      <c r="H43" s="3">
        <f>+G43/C43</f>
        <v>0.4836585365853659</v>
      </c>
      <c r="J43" s="2">
        <f>+C43/12</f>
        <v>44.416666666666664</v>
      </c>
      <c r="L43" s="25">
        <f>+F43-G43</f>
        <v>598.6500000000001</v>
      </c>
      <c r="M43" s="25">
        <f>+L43/12</f>
        <v>49.88750000000001</v>
      </c>
      <c r="N43" s="30"/>
      <c r="O43" s="25"/>
      <c r="P43" s="25"/>
      <c r="Q43" s="25"/>
    </row>
    <row r="44" spans="12:17" ht="12.75">
      <c r="L44" s="29"/>
      <c r="M44" s="25"/>
      <c r="N44" s="30"/>
      <c r="O44" s="25"/>
      <c r="P44" s="25"/>
      <c r="Q44" s="25"/>
    </row>
    <row r="45" spans="1:17" ht="13.5" thickBot="1">
      <c r="A45" s="13"/>
      <c r="B45" s="13" t="s">
        <v>24</v>
      </c>
      <c r="C45" s="14">
        <f>SUM(C9:C43)</f>
        <v>1007498</v>
      </c>
      <c r="D45" s="14">
        <f>SUM(D9:D43)</f>
        <v>207886417</v>
      </c>
      <c r="E45" s="14"/>
      <c r="F45" s="14">
        <f>SUM(F9:F43)</f>
        <v>1226572</v>
      </c>
      <c r="G45" s="14">
        <f>SUM(G9:G43)</f>
        <v>686807.72</v>
      </c>
      <c r="H45" s="27"/>
      <c r="I45" s="21"/>
      <c r="J45" s="14"/>
      <c r="K45" s="14"/>
      <c r="L45" s="14">
        <f>SUM(L9:L43)</f>
        <v>539764.2799999999</v>
      </c>
      <c r="M45" s="14">
        <f>SUM(M9:M43)</f>
        <v>44980.35666666667</v>
      </c>
      <c r="N45" s="30"/>
      <c r="O45" s="25"/>
      <c r="P45" s="25"/>
      <c r="Q45" s="25"/>
    </row>
    <row r="46" spans="12:17" ht="12.75">
      <c r="L46" s="29"/>
      <c r="M46" s="25"/>
      <c r="N46" s="30"/>
      <c r="O46" s="25"/>
      <c r="P46" s="25"/>
      <c r="Q46" s="25"/>
    </row>
    <row r="47" spans="2:17" ht="12.75">
      <c r="B47" t="s">
        <v>39</v>
      </c>
      <c r="C47" s="2">
        <f>849437+39294+22870+84764+533+10600</f>
        <v>1007498</v>
      </c>
      <c r="D47" s="2">
        <f>125399384+70701786+4099937+7685310</f>
        <v>207886417</v>
      </c>
      <c r="F47" s="2">
        <f>1196374+6155+24043</f>
        <v>1226572</v>
      </c>
      <c r="G47" s="2">
        <f>290454.37+106837.66+220631.2+19393.75+16075.98+8508.88+257.79+2041.9+22359.99+246.2</f>
        <v>686807.72</v>
      </c>
      <c r="J47" s="2">
        <f>SUM(J9:J44)</f>
        <v>83958.16666666667</v>
      </c>
      <c r="K47" s="2">
        <f>SUM(K9:K44)</f>
        <v>17323868.083333332</v>
      </c>
      <c r="L47" s="25">
        <f>290454.37+106837.66+94556.23+8311.61+6889.7+19759.82+598.65+4764.44+1683.01+5908.8</f>
        <v>539764.29</v>
      </c>
      <c r="M47" s="25">
        <f>+M45</f>
        <v>44980.35666666667</v>
      </c>
      <c r="N47" s="30"/>
      <c r="O47" s="25"/>
      <c r="P47" s="25"/>
      <c r="Q47" s="25"/>
    </row>
    <row r="48" spans="10:17" ht="12.75">
      <c r="J48" s="2" t="s">
        <v>53</v>
      </c>
      <c r="K48" s="2" t="s">
        <v>53</v>
      </c>
      <c r="L48" s="29"/>
      <c r="M48" s="2" t="s">
        <v>53</v>
      </c>
      <c r="N48" s="30"/>
      <c r="O48" s="25"/>
      <c r="P48" s="25"/>
      <c r="Q48" s="25"/>
    </row>
    <row r="49" spans="3:17" ht="13.5" thickBot="1">
      <c r="C49" s="2">
        <f>+C47-C45</f>
        <v>0</v>
      </c>
      <c r="D49" s="2">
        <f>+D47-D45</f>
        <v>0</v>
      </c>
      <c r="F49" s="2">
        <f>+F47-F45</f>
        <v>0</v>
      </c>
      <c r="J49" s="26">
        <f>+J47*12</f>
        <v>1007498</v>
      </c>
      <c r="K49" s="26">
        <f>+K47*12</f>
        <v>207886417</v>
      </c>
      <c r="L49" s="29"/>
      <c r="M49" s="26">
        <f>+M47*12</f>
        <v>539764.28</v>
      </c>
      <c r="N49" s="30"/>
      <c r="O49" s="25"/>
      <c r="P49" s="25"/>
      <c r="Q49" s="25"/>
    </row>
    <row r="50" spans="12:17" ht="13.5" thickTop="1">
      <c r="L50" s="29"/>
      <c r="M50" s="25"/>
      <c r="N50" s="30"/>
      <c r="O50" s="25"/>
      <c r="P50" s="25"/>
      <c r="Q50" s="25"/>
    </row>
    <row r="51" spans="14:17" ht="12.75">
      <c r="N51" s="30"/>
      <c r="O51" s="25"/>
      <c r="P51" s="25"/>
      <c r="Q51" s="25"/>
    </row>
    <row r="52" spans="12:17" ht="12.75">
      <c r="L52" s="29"/>
      <c r="M52" s="25"/>
      <c r="N52" s="30"/>
      <c r="O52" s="25"/>
      <c r="P52" s="25"/>
      <c r="Q52" s="25"/>
    </row>
    <row r="53" spans="12:17" ht="12.75">
      <c r="L53" s="29"/>
      <c r="M53" s="25"/>
      <c r="N53" s="30"/>
      <c r="O53" s="25"/>
      <c r="P53" s="25"/>
      <c r="Q53" s="25"/>
    </row>
    <row r="54" spans="12:17" ht="12.75">
      <c r="L54" s="29"/>
      <c r="M54" s="25"/>
      <c r="N54" s="30"/>
      <c r="O54" s="25"/>
      <c r="P54" s="25"/>
      <c r="Q54" s="25"/>
    </row>
    <row r="55" spans="12:17" ht="12.75">
      <c r="L55" s="29"/>
      <c r="M55" s="25"/>
      <c r="N55" s="30"/>
      <c r="O55" s="25"/>
      <c r="P55" s="25"/>
      <c r="Q55" s="25"/>
    </row>
    <row r="56" spans="12:17" ht="12.75">
      <c r="L56" s="29"/>
      <c r="M56" s="25"/>
      <c r="N56" s="30"/>
      <c r="O56" s="25"/>
      <c r="P56" s="25"/>
      <c r="Q56" s="25"/>
    </row>
    <row r="57" spans="12:17" ht="12.75">
      <c r="L57" s="29"/>
      <c r="M57" s="25"/>
      <c r="N57" s="30"/>
      <c r="O57" s="25"/>
      <c r="P57" s="25"/>
      <c r="Q57" s="25"/>
    </row>
    <row r="58" spans="12:17" ht="12.75">
      <c r="L58" s="29"/>
      <c r="M58" s="25"/>
      <c r="N58" s="30"/>
      <c r="O58" s="25"/>
      <c r="P58" s="25"/>
      <c r="Q58" s="25"/>
    </row>
    <row r="59" spans="12:17" ht="12.75">
      <c r="L59" s="29"/>
      <c r="M59" s="25"/>
      <c r="N59" s="30"/>
      <c r="O59" s="25"/>
      <c r="P59" s="25"/>
      <c r="Q59" s="25"/>
    </row>
    <row r="60" spans="12:17" ht="12.75">
      <c r="L60" s="29"/>
      <c r="M60" s="25"/>
      <c r="N60" s="30"/>
      <c r="O60" s="25"/>
      <c r="P60" s="25"/>
      <c r="Q60" s="25"/>
    </row>
    <row r="61" spans="12:17" ht="12.75">
      <c r="L61" s="29"/>
      <c r="M61" s="25"/>
      <c r="N61" s="30"/>
      <c r="O61" s="25"/>
      <c r="P61" s="25"/>
      <c r="Q61" s="25"/>
    </row>
    <row r="62" spans="12:17" ht="12.75">
      <c r="L62" s="29"/>
      <c r="M62" s="25"/>
      <c r="N62" s="30"/>
      <c r="O62" s="25"/>
      <c r="P62" s="25"/>
      <c r="Q62" s="25"/>
    </row>
    <row r="63" spans="12:17" ht="12.75">
      <c r="L63" s="29"/>
      <c r="M63" s="25"/>
      <c r="N63" s="30"/>
      <c r="O63" s="25"/>
      <c r="P63" s="25"/>
      <c r="Q63" s="25"/>
    </row>
    <row r="64" spans="12:17" ht="12.75">
      <c r="L64" s="29"/>
      <c r="M64" s="25"/>
      <c r="N64" s="30"/>
      <c r="O64" s="25"/>
      <c r="P64" s="25"/>
      <c r="Q64" s="25"/>
    </row>
    <row r="65" spans="12:17" ht="12.75">
      <c r="L65" s="29"/>
      <c r="M65" s="25"/>
      <c r="N65" s="30"/>
      <c r="O65" s="25"/>
      <c r="P65" s="25"/>
      <c r="Q65" s="25"/>
    </row>
    <row r="66" spans="12:17" ht="12.75">
      <c r="L66" s="29"/>
      <c r="M66" s="25"/>
      <c r="N66" s="30"/>
      <c r="O66" s="25"/>
      <c r="P66" s="25"/>
      <c r="Q66" s="25"/>
    </row>
    <row r="67" spans="12:17" ht="12.75">
      <c r="L67" s="29"/>
      <c r="M67" s="25"/>
      <c r="N67" s="30"/>
      <c r="O67" s="25"/>
      <c r="P67" s="25"/>
      <c r="Q67" s="25"/>
    </row>
    <row r="68" spans="12:17" ht="12.75">
      <c r="L68" s="29"/>
      <c r="M68" s="25"/>
      <c r="N68" s="30"/>
      <c r="O68" s="25"/>
      <c r="P68" s="25"/>
      <c r="Q68" s="25"/>
    </row>
    <row r="69" spans="12:17" ht="12.75">
      <c r="L69" s="29"/>
      <c r="M69" s="25"/>
      <c r="N69" s="30"/>
      <c r="O69" s="25"/>
      <c r="P69" s="25"/>
      <c r="Q69" s="25"/>
    </row>
    <row r="70" spans="12:17" ht="12.75">
      <c r="L70" s="29"/>
      <c r="M70" s="25"/>
      <c r="N70" s="30"/>
      <c r="O70" s="25"/>
      <c r="P70" s="25"/>
      <c r="Q70" s="25"/>
    </row>
    <row r="71" spans="12:17" ht="12.75">
      <c r="L71" s="29"/>
      <c r="M71" s="25"/>
      <c r="N71" s="30"/>
      <c r="O71" s="25"/>
      <c r="P71" s="25"/>
      <c r="Q71" s="25"/>
    </row>
    <row r="72" spans="12:17" ht="12.75">
      <c r="L72" s="29"/>
      <c r="M72" s="25"/>
      <c r="N72" s="30"/>
      <c r="O72" s="25"/>
      <c r="P72" s="25"/>
      <c r="Q72" s="25"/>
    </row>
    <row r="73" spans="12:17" ht="12.75">
      <c r="L73" s="29"/>
      <c r="M73" s="25"/>
      <c r="N73" s="30"/>
      <c r="O73" s="25"/>
      <c r="P73" s="25"/>
      <c r="Q73" s="25"/>
    </row>
    <row r="74" spans="12:17" ht="12.75">
      <c r="L74" s="29"/>
      <c r="M74" s="25"/>
      <c r="N74" s="30"/>
      <c r="O74" s="25"/>
      <c r="P74" s="25"/>
      <c r="Q74" s="25"/>
    </row>
    <row r="75" spans="12:17" ht="12.75">
      <c r="L75" s="29"/>
      <c r="M75" s="25"/>
      <c r="N75" s="30"/>
      <c r="O75" s="25"/>
      <c r="P75" s="25"/>
      <c r="Q75" s="25"/>
    </row>
    <row r="76" spans="12:17" ht="12.75">
      <c r="L76" s="29"/>
      <c r="M76" s="25"/>
      <c r="N76" s="30"/>
      <c r="O76" s="25"/>
      <c r="P76" s="25"/>
      <c r="Q76" s="25"/>
    </row>
    <row r="77" spans="12:17" ht="12.75">
      <c r="L77" s="29"/>
      <c r="M77" s="25"/>
      <c r="N77" s="30"/>
      <c r="O77" s="25"/>
      <c r="P77" s="25"/>
      <c r="Q77" s="25"/>
    </row>
    <row r="78" spans="12:17" ht="12.75">
      <c r="L78" s="29"/>
      <c r="M78" s="25"/>
      <c r="N78" s="30"/>
      <c r="O78" s="25"/>
      <c r="P78" s="25"/>
      <c r="Q78" s="25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6">
      <selection activeCell="M9" sqref="M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11586939*1.75</f>
        <v>20277143.25</v>
      </c>
      <c r="G9" s="2">
        <f>+'[1]PILRecoveryAmt'!K9</f>
        <v>10449948.666666666</v>
      </c>
      <c r="I9" s="2">
        <f>+D9-G9</f>
        <v>9827194.583333334</v>
      </c>
      <c r="J9" s="29"/>
      <c r="K9" s="3">
        <f>+'2002PILRecoveryAmt'!I9</f>
        <v>0.0023162344242456567</v>
      </c>
      <c r="L9" s="2">
        <f>+K9*D9</f>
        <v>46966.617221010456</v>
      </c>
      <c r="M9" s="25">
        <f>+'2002PILRecoveryAmt'!M9*1.75</f>
        <v>42357.9275</v>
      </c>
      <c r="N9" s="25">
        <f>+L9+M9</f>
        <v>89324.54472101046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877338*1.75</f>
        <v>1535341.5</v>
      </c>
      <c r="G10" s="2">
        <f>+'[1]PILRecoveryAmt'!K10</f>
        <v>640442.5</v>
      </c>
      <c r="I10" s="2">
        <f>+D10-G10</f>
        <v>894899</v>
      </c>
      <c r="J10" s="29"/>
      <c r="K10" s="3">
        <f>+'2002PILRecoveryAmt'!I10</f>
        <v>0.002909445422500849</v>
      </c>
      <c r="L10" s="2">
        <f>+K10*D10</f>
        <v>4466.992299150587</v>
      </c>
      <c r="M10" s="25">
        <f>+'2002PILRecoveryAmt'!M10*1.75</f>
        <v>245.4389583333331</v>
      </c>
      <c r="N10" s="25">
        <f>+L10+M10</f>
        <v>4712.4312574839205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413889*1.75</f>
        <v>724305.75</v>
      </c>
      <c r="G11" s="2">
        <f>+'[1]PILRecoveryAmt'!K11</f>
        <v>341661.4166666667</v>
      </c>
      <c r="I11" s="2">
        <f>+D11-G11</f>
        <v>382644.3333333333</v>
      </c>
      <c r="J11" s="29"/>
      <c r="K11" s="3">
        <f>+'2002PILRecoveryAmt'!I11</f>
        <v>6.004970320275653E-05</v>
      </c>
      <c r="L11" s="2">
        <f>+K11*D11</f>
        <v>43.49434531554997</v>
      </c>
      <c r="M11" s="25">
        <f>+'2002PILRecoveryAmt'!M11*1.75</f>
        <v>861.7</v>
      </c>
      <c r="N11" s="25">
        <f>+L11+M11</f>
        <v>905.19434531555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6194753*1.75</f>
        <v>10840817.75</v>
      </c>
      <c r="G15" s="2">
        <f>+'[1]PILRecoveryAmt'!K13</f>
        <v>5891815.5</v>
      </c>
      <c r="I15" s="2">
        <f>+D15-G15</f>
        <v>4949002.25</v>
      </c>
      <c r="J15" s="29"/>
      <c r="K15" s="3">
        <f>+'2002PILRecoveryAmt'!I15</f>
        <v>0.0015111027039684684</v>
      </c>
      <c r="L15" s="2">
        <f>+K15*D15</f>
        <v>16381.589015254369</v>
      </c>
      <c r="M15" s="25">
        <f>+'2002PILRecoveryAmt'!M15*1.75</f>
        <v>15580.493541666665</v>
      </c>
      <c r="N15" s="25">
        <f>+L15+M15</f>
        <v>31962.082556921036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76616*1.75</f>
        <v>134078</v>
      </c>
      <c r="G16" s="2">
        <f>+'[1]PILRecoveryAmt'!K16</f>
        <v>0</v>
      </c>
      <c r="I16" s="2">
        <f>+D16-G16</f>
        <v>134078</v>
      </c>
      <c r="J16" s="29"/>
      <c r="K16" s="3">
        <f>+'2002PILRecoveryAmt'!I15</f>
        <v>0.0015111027039684684</v>
      </c>
      <c r="L16" s="2">
        <f>+K16*D16</f>
        <v>202.6056283426843</v>
      </c>
      <c r="M16" s="25">
        <f>+'2002PILRecoveryAmt'!M16</f>
        <v>0</v>
      </c>
      <c r="N16" s="25">
        <f>+L16+M16</f>
        <v>202.6056283426843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41520*1.75</f>
        <v>72660</v>
      </c>
      <c r="G17" s="2">
        <f>+'[1]PILRecoveryAmt'!K17</f>
        <v>0</v>
      </c>
      <c r="I17" s="2">
        <f>+D17-G17</f>
        <v>72660</v>
      </c>
      <c r="J17" s="29"/>
      <c r="K17" s="3">
        <v>0.00151</v>
      </c>
      <c r="L17" s="2">
        <f>+K17*D17</f>
        <v>109.7166</v>
      </c>
      <c r="M17" s="25">
        <f>+'2002PILRecoveryAmt'!M17</f>
        <v>0</v>
      </c>
      <c r="N17" s="25">
        <f>+L17+M17</f>
        <v>109.7166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13490.35*1.75</f>
        <v>23608.1125</v>
      </c>
      <c r="F22" s="2">
        <f>+'[1]PILRecoveryAmt'!J20</f>
        <v>70786.41666666667</v>
      </c>
      <c r="H22" s="2">
        <f>+C22-F22</f>
        <v>-47178.30416666667</v>
      </c>
      <c r="J22" s="29"/>
      <c r="K22" s="3">
        <f>+'2002PILRecoveryAmt'!H22</f>
        <v>0.259738155978607</v>
      </c>
      <c r="L22" s="2">
        <f>+K22*C22</f>
        <v>6131.9276068855015</v>
      </c>
      <c r="M22" s="25">
        <f>+'2002PILRecoveryAmt'!M22*1.75</f>
        <v>13789.448749999996</v>
      </c>
      <c r="N22" s="25">
        <f>+L22+M22</f>
        <v>19921.3763568855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15684.04*1.75</f>
        <v>27447.07</v>
      </c>
      <c r="H23" s="2">
        <f>+C23-F23</f>
        <v>27447.07</v>
      </c>
      <c r="J23" s="29"/>
      <c r="K23" s="3">
        <f>+'2002PILRecoveryAmt'!H22</f>
        <v>0.259738155978607</v>
      </c>
      <c r="L23" s="2">
        <f>+K23*C23</f>
        <v>7129.051348815745</v>
      </c>
      <c r="M23" s="25">
        <f>+'2002PILRecoveryAmt'!M23</f>
        <v>0</v>
      </c>
      <c r="N23" s="25">
        <f>+L23+M23</f>
        <v>7129.051348815745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39145.42*1.75</f>
        <v>68504.485</v>
      </c>
      <c r="H24" s="2">
        <f>+C24-F24</f>
        <v>68504.485</v>
      </c>
      <c r="J24" s="29"/>
      <c r="K24" s="3">
        <f>+'2002PILRecoveryAmt'!H22</f>
        <v>0.259738155978607</v>
      </c>
      <c r="L24" s="2">
        <f>+K24*C24</f>
        <v>17793.228610164144</v>
      </c>
      <c r="M24" s="25">
        <f>+'2002PILRecoveryAmt'!M24</f>
        <v>0</v>
      </c>
      <c r="N24" s="25">
        <f>+L24+M24</f>
        <v>17793.228610164144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(282.74+1757.92)*1.75</f>
        <v>3571.155</v>
      </c>
      <c r="H25" s="2">
        <f>+C25-F25</f>
        <v>3571.155</v>
      </c>
      <c r="J25" s="29"/>
      <c r="K25" s="3">
        <f>+'2002PILRecoveryAmt'!H22</f>
        <v>0.259738155978607</v>
      </c>
      <c r="L25" s="2">
        <f>+K25*C25</f>
        <v>927.5652144137823</v>
      </c>
      <c r="M25" s="25">
        <f>+'2002PILRecoveryAmt'!M25</f>
        <v>0</v>
      </c>
      <c r="N25" s="25">
        <f>+L25+M25</f>
        <v>927.5652144137823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6653.91*1.75</f>
        <v>11644.342499999999</v>
      </c>
      <c r="F30" s="2">
        <f>+'[1]PILRecoveryAmt'!J28</f>
        <v>7063.666666666667</v>
      </c>
      <c r="H30" s="2">
        <f>+C30-F30</f>
        <v>4580.675833333332</v>
      </c>
      <c r="J30" s="29"/>
      <c r="K30" s="3">
        <f>+'2002PILRecoveryAmt'!H30</f>
        <v>0.10038318153933272</v>
      </c>
      <c r="L30" s="2">
        <f>+K30*C30</f>
        <v>1168.8961470836673</v>
      </c>
      <c r="M30" s="25">
        <f>+'2002PILRecoveryAmt'!M30*1.75</f>
        <v>2881.6404166666666</v>
      </c>
      <c r="N30" s="25">
        <f>+L30+M30</f>
        <v>4050.5365637503337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2962.35*1.75</f>
        <v>5184.1125</v>
      </c>
      <c r="F34" s="2">
        <f>+'[1]PILRecoveryAmt'!J32</f>
        <v>3274.5</v>
      </c>
      <c r="H34" s="2">
        <f>+C34-F34</f>
        <v>1909.6125000000002</v>
      </c>
      <c r="J34" s="29"/>
      <c r="K34" s="3">
        <f>+'2002PILRecoveryAmt'!H34</f>
        <v>0.49355499567363975</v>
      </c>
      <c r="L34" s="2">
        <f>+K34*C34</f>
        <v>2558.6446225091618</v>
      </c>
      <c r="M34" s="25">
        <f>+'2002PILRecoveryAmt'!M34*1.75</f>
        <v>1212.1097916666668</v>
      </c>
      <c r="N34" s="25">
        <f>+L34+M34</f>
        <v>3770.7544141758285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339.6*1.75</f>
        <v>594.3000000000001</v>
      </c>
      <c r="F37" s="2">
        <f>+'[1]PILRecoveryAmt'!J35</f>
        <v>1905.8333333333333</v>
      </c>
      <c r="H37" s="2">
        <f>+C37-F37</f>
        <v>-1311.5333333333333</v>
      </c>
      <c r="J37" s="29"/>
      <c r="K37" s="3">
        <f>+'2002PILRecoveryAmt'!H37</f>
        <v>0.7029287275907302</v>
      </c>
      <c r="L37" s="2">
        <f>+K37*C37</f>
        <v>417.75054280717103</v>
      </c>
      <c r="M37" s="25">
        <f>+'2002PILRecoveryAmt'!M37*1.75</f>
        <v>1004.7479166666668</v>
      </c>
      <c r="N37" s="25">
        <f>+L37+M37</f>
        <v>1422.4984594738378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876.96*1.75</f>
        <v>1534.68</v>
      </c>
      <c r="F41" s="2">
        <f>+'[1]PILRecoveryAmt'!J39</f>
        <v>883.3333333333334</v>
      </c>
      <c r="H41" s="2">
        <f>+C41-F41</f>
        <v>651.3466666666667</v>
      </c>
      <c r="J41" s="29"/>
      <c r="K41" s="3">
        <f>+'2002PILRecoveryAmt'!H41</f>
        <v>0.1926320754716981</v>
      </c>
      <c r="L41" s="2">
        <f>+K41*C41</f>
        <v>295.6285935849057</v>
      </c>
      <c r="M41" s="25">
        <f>+'2002PILRecoveryAmt'!M41*1.75</f>
        <v>694.8141666666667</v>
      </c>
      <c r="N41" s="25">
        <f>+L41+M41</f>
        <v>990.4427602515723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13996.55*1.75</f>
        <v>24493.962499999998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+'2002PILRecoveryAmt'!M43*1.75</f>
        <v>87.30312500000002</v>
      </c>
      <c r="N43" s="25">
        <f>+L43+M43</f>
        <v>87.30312500000002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142088.25749999995</v>
      </c>
      <c r="D45" s="14">
        <f>SUM(D9:D44)</f>
        <v>33608840.2125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58130.090833333335</v>
      </c>
      <c r="I45" s="14">
        <f>SUM(I9:I43)</f>
        <v>16260478.166666668</v>
      </c>
      <c r="J45" s="29"/>
      <c r="K45" s="15"/>
      <c r="L45" s="14">
        <f>SUM(L9:L43)</f>
        <v>104593.70779533772</v>
      </c>
      <c r="M45" s="14">
        <f>SUM(M9:M43)</f>
        <v>78715.62416666663</v>
      </c>
      <c r="N45" s="14">
        <f>SUM(N9:N43)</f>
        <v>183309.33196200442</v>
      </c>
      <c r="O45" s="25"/>
    </row>
    <row r="46" spans="7:15" ht="12.75">
      <c r="G46" s="2" t="s">
        <v>143</v>
      </c>
      <c r="H46" s="2">
        <f>+C45-F45</f>
        <v>58130.09083333328</v>
      </c>
      <c r="I46" s="2">
        <f>+D45-G45</f>
        <v>16284972.129166666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24493.96249999851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+'[2]Festival Dec 30'!D9</f>
        <v>11081213</v>
      </c>
      <c r="G9" s="2">
        <f>+'[1]PILRecoveryAmt'!K9</f>
        <v>10449948.666666666</v>
      </c>
      <c r="I9" s="2">
        <f>+D9-G9</f>
        <v>631264.333333334</v>
      </c>
      <c r="J9" s="29"/>
      <c r="K9" s="3">
        <f>+'2002PILRecoveryAmt'!I9</f>
        <v>0.0023162344242456567</v>
      </c>
      <c r="L9" s="2">
        <f>+K9*D9</f>
        <v>25666.687012998485</v>
      </c>
      <c r="M9" s="25">
        <f>+'2002PILRecoveryAmt'!M9</f>
        <v>24204.53</v>
      </c>
      <c r="N9" s="25">
        <f>+L9+M9</f>
        <v>49871.21701299849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+'[2]Festival Dec 30'!D10</f>
        <v>618942</v>
      </c>
      <c r="G10" s="2">
        <f>+'[1]PILRecoveryAmt'!K10</f>
        <v>640442.5</v>
      </c>
      <c r="I10" s="2">
        <f>+D10-G10</f>
        <v>-21500.5</v>
      </c>
      <c r="J10" s="29"/>
      <c r="K10" s="3">
        <f>+'2002PILRecoveryAmt'!I10</f>
        <v>0.002909445422500849</v>
      </c>
      <c r="L10" s="2">
        <f>+K10*D10</f>
        <v>1800.7779686935205</v>
      </c>
      <c r="M10" s="25">
        <f>+'2002PILRecoveryAmt'!M10</f>
        <v>140.2508333333332</v>
      </c>
      <c r="N10" s="25">
        <f>+L10+M10</f>
        <v>1941.0288020268538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+'[2]Festival Dec 30'!D11</f>
        <v>334577</v>
      </c>
      <c r="G11" s="2">
        <f>+'[1]PILRecoveryAmt'!K11</f>
        <v>341661.4166666667</v>
      </c>
      <c r="I11" s="2">
        <f>+D11-G11</f>
        <v>-7084.416666666686</v>
      </c>
      <c r="J11" s="29"/>
      <c r="K11" s="3">
        <f>+'2002PILRecoveryAmt'!I11</f>
        <v>6.004970320275653E-05</v>
      </c>
      <c r="L11" s="2">
        <f>+K11*D11</f>
        <v>20.09124954846867</v>
      </c>
      <c r="M11" s="25">
        <f>+'2002PILRecoveryAmt'!M11</f>
        <v>492.40000000000003</v>
      </c>
      <c r="N11" s="25">
        <f>+L11+M11</f>
        <v>512.4912495484687</v>
      </c>
      <c r="O11" s="25"/>
      <c r="Q11" s="23"/>
      <c r="R11" s="23"/>
    </row>
    <row r="12" spans="1:18" ht="12.75">
      <c r="A12" t="s">
        <v>13</v>
      </c>
      <c r="D12" s="2">
        <f>+'[2]Festival Dec 30'!D12</f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f>+'[2]Festival Dec 30'!D13</f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+'[2]Festival Dec 30'!D15</f>
        <v>5952481</v>
      </c>
      <c r="G15" s="2">
        <f>+'[1]PILRecoveryAmt'!K13</f>
        <v>5891815.5</v>
      </c>
      <c r="I15" s="2">
        <f>+D15-G15</f>
        <v>60665.5</v>
      </c>
      <c r="J15" s="29"/>
      <c r="K15" s="3">
        <f>+'2002PILRecoveryAmt'!I15</f>
        <v>0.0015111027039684684</v>
      </c>
      <c r="L15" s="2">
        <f>+K15*D15</f>
        <v>8994.810134420934</v>
      </c>
      <c r="M15" s="25">
        <f>+'2002PILRecoveryAmt'!M15</f>
        <v>8903.139166666666</v>
      </c>
      <c r="N15" s="25">
        <f>+L15+M15</f>
        <v>17897.9493010876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+'[2]Festival Dec 30'!D16</f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+'[2]Festival Dec 30'!C22</f>
        <v>13655.37</v>
      </c>
      <c r="F22" s="2">
        <f>+'[1]PILRecoveryAmt'!J20</f>
        <v>70786.41666666667</v>
      </c>
      <c r="H22" s="2">
        <f>+C22-F22</f>
        <v>-57131.04666666667</v>
      </c>
      <c r="J22" s="29"/>
      <c r="K22" s="3">
        <f>+'2002PILRecoveryAmt'!H22</f>
        <v>0.259738155978607</v>
      </c>
      <c r="L22" s="2">
        <f>+K22*C22</f>
        <v>3546.8206230055907</v>
      </c>
      <c r="M22" s="25">
        <f>+'2002PILRecoveryAmt'!M22</f>
        <v>7879.684999999998</v>
      </c>
      <c r="N22" s="25">
        <f>+L22+M22</f>
        <v>11426.505623005589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+'[2]Festival Dec 30'!C23</f>
        <v>18731.85</v>
      </c>
      <c r="H23" s="2">
        <f>+C23-F23</f>
        <v>18731.85</v>
      </c>
      <c r="J23" s="29"/>
      <c r="K23" s="3">
        <f>+'2002PILRecoveryAmt'!H22</f>
        <v>0.259738155978607</v>
      </c>
      <c r="L23" s="2">
        <f>+K23*C23</f>
        <v>4865.376177067869</v>
      </c>
      <c r="M23" s="25">
        <f>+'2002PILRecoveryAmt'!M23</f>
        <v>0</v>
      </c>
      <c r="N23" s="25">
        <f>+L23+M23</f>
        <v>4865.376177067869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+'[2]Festival Dec 30'!C24</f>
        <v>35801.58</v>
      </c>
      <c r="H24" s="2">
        <f>+C24-F24</f>
        <v>35801.58</v>
      </c>
      <c r="J24" s="29"/>
      <c r="K24" s="3">
        <f>+'2002PILRecoveryAmt'!H22</f>
        <v>0.259738155978607</v>
      </c>
      <c r="L24" s="2">
        <f>+K24*C24</f>
        <v>9299.036370320577</v>
      </c>
      <c r="M24" s="25">
        <f>+'2002PILRecoveryAmt'!M24</f>
        <v>0</v>
      </c>
      <c r="N24" s="25">
        <f>+L24+M24</f>
        <v>9299.036370320577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+'[2]Festival Dec 30'!C25</f>
        <v>1429.02</v>
      </c>
      <c r="H25" s="2">
        <f>+C25-F25</f>
        <v>1429.02</v>
      </c>
      <c r="J25" s="29"/>
      <c r="K25" s="3">
        <f>+'2002PILRecoveryAmt'!H22</f>
        <v>0.259738155978607</v>
      </c>
      <c r="L25" s="2">
        <f>+K25*C25</f>
        <v>371.171019656549</v>
      </c>
      <c r="M25" s="25">
        <f>+'2002PILRecoveryAmt'!M25</f>
        <v>0</v>
      </c>
      <c r="N25" s="25">
        <f>+L25+M25</f>
        <v>371.171019656549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+'[2]Festival Dec 30'!C30</f>
        <v>6850.16</v>
      </c>
      <c r="F30" s="2">
        <f>+'[1]PILRecoveryAmt'!J28</f>
        <v>7063.666666666667</v>
      </c>
      <c r="H30" s="2">
        <f>+C30-F30</f>
        <v>-213.50666666666712</v>
      </c>
      <c r="J30" s="29"/>
      <c r="K30" s="3">
        <f>+'2002PILRecoveryAmt'!H30</f>
        <v>0.10038318153933272</v>
      </c>
      <c r="L30" s="2">
        <f>+K30*C30</f>
        <v>687.6408548534754</v>
      </c>
      <c r="M30" s="25">
        <f>+'2002PILRecoveryAmt'!M30</f>
        <v>1646.6516666666666</v>
      </c>
      <c r="N30" s="25">
        <f>+L30+M30</f>
        <v>2334.292521520142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+'[2]Festival Dec 30'!C34</f>
        <v>3404.86</v>
      </c>
      <c r="F34" s="2">
        <f>+'[1]PILRecoveryAmt'!J32</f>
        <v>3274.5</v>
      </c>
      <c r="H34" s="2">
        <f>+C34-F34</f>
        <v>130.36000000000013</v>
      </c>
      <c r="J34" s="29"/>
      <c r="K34" s="3">
        <f>+'2002PILRecoveryAmt'!H34</f>
        <v>0.49355499567363975</v>
      </c>
      <c r="L34" s="2">
        <f>+K34*C34</f>
        <v>1680.4856625693492</v>
      </c>
      <c r="M34" s="25">
        <f>+'2002PILRecoveryAmt'!M34</f>
        <v>692.6341666666667</v>
      </c>
      <c r="N34" s="25">
        <f>+L34+M34</f>
        <v>2373.119829236016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+'[2]Festival Dec 30'!C37</f>
        <v>1786.5</v>
      </c>
      <c r="F37" s="2">
        <f>+'[1]PILRecoveryAmt'!J35</f>
        <v>1905.8333333333333</v>
      </c>
      <c r="H37" s="2">
        <f>+C37-F37</f>
        <v>-119.33333333333326</v>
      </c>
      <c r="J37" s="29"/>
      <c r="K37" s="3">
        <f>+'2002PILRecoveryAmt'!H37</f>
        <v>0.7029287275907302</v>
      </c>
      <c r="L37" s="2">
        <f>+K37*C37</f>
        <v>1255.7821718408395</v>
      </c>
      <c r="M37" s="25">
        <f>+'2002PILRecoveryAmt'!M37</f>
        <v>574.1416666666668</v>
      </c>
      <c r="N37" s="25">
        <f>+L37+M37</f>
        <v>1829.9238385075064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+'[2]Festival Dec 30'!C41</f>
        <v>3481.1800000000003</v>
      </c>
      <c r="D41" s="2" t="s">
        <v>101</v>
      </c>
      <c r="F41" s="2">
        <f>+'[1]PILRecoveryAmt'!J39</f>
        <v>883.3333333333334</v>
      </c>
      <c r="H41" s="2">
        <f>+C41-F41</f>
        <v>2597.846666666667</v>
      </c>
      <c r="J41" s="29"/>
      <c r="K41" s="3">
        <f>+'2002PILRecoveryAmt'!H41</f>
        <v>0.1926320754716981</v>
      </c>
      <c r="L41" s="2">
        <f>+K41*C41</f>
        <v>670.586928490566</v>
      </c>
      <c r="M41" s="25">
        <f>+'2002PILRecoveryAmt'!M41</f>
        <v>397.0366666666667</v>
      </c>
      <c r="N41" s="25">
        <f>+L41+M41</f>
        <v>1067.6235951572328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f>+'[2]Festival Dec 30'!C43</f>
        <v>42.66</v>
      </c>
      <c r="D43" s="2">
        <f>+'[2]Festival Dec 30'!D43</f>
        <v>152</v>
      </c>
      <c r="F43" s="2">
        <f>+'[1]PILRecoveryAmt'!J41</f>
        <v>44.416666666666664</v>
      </c>
      <c r="H43" s="2">
        <f>+C43-F43</f>
        <v>-1.7566666666666677</v>
      </c>
      <c r="J43" s="29"/>
      <c r="K43" s="3">
        <f>+'2002PILRecoveryAmt'!H43</f>
        <v>0.4836585365853659</v>
      </c>
      <c r="L43" s="2">
        <f>+K43*C43</f>
        <v>20.632873170731706</v>
      </c>
      <c r="M43" s="25">
        <f>+'2002PILRecoveryAmt'!M43</f>
        <v>49.88750000000001</v>
      </c>
      <c r="N43" s="25">
        <f>+L43+M43</f>
        <v>70.52037317073172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85183.18000000002</v>
      </c>
      <c r="D45" s="14">
        <f>SUM(D9:D44)</f>
        <v>18105865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1225.0133333333313</v>
      </c>
      <c r="I45" s="14">
        <f>SUM(I9:I43)</f>
        <v>781844.9166666672</v>
      </c>
      <c r="J45" s="29"/>
      <c r="K45" s="15"/>
      <c r="L45" s="14">
        <f>SUM(L9:L43)</f>
        <v>59058.96471705721</v>
      </c>
      <c r="M45" s="14">
        <f>SUM(M9:M43)</f>
        <v>44980.35666666667</v>
      </c>
      <c r="N45" s="14">
        <f>SUM(N9:N43)</f>
        <v>104039.3213837239</v>
      </c>
      <c r="O45" s="25"/>
    </row>
    <row r="46" spans="7:15" ht="12.75">
      <c r="G46" s="2" t="s">
        <v>143</v>
      </c>
      <c r="H46" s="2">
        <f>+C45-F45</f>
        <v>1225.0133333333506</v>
      </c>
      <c r="I46" s="2">
        <f>+D45-G45</f>
        <v>781996.9166666679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7" sqref="F17:J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9985133</v>
      </c>
      <c r="G9" s="2">
        <f>+'[1]PILRecoveryAmt'!K9</f>
        <v>10449948.666666666</v>
      </c>
      <c r="I9" s="2">
        <f>+D9-G9</f>
        <v>-464815.66666666605</v>
      </c>
      <c r="J9" s="29"/>
      <c r="K9" s="3">
        <f>+'2002PILRecoveryAmt'!I9</f>
        <v>0.0023162344242456567</v>
      </c>
      <c r="L9" s="2">
        <f>+K9*D9</f>
        <v>23127.908785271306</v>
      </c>
      <c r="M9" s="25">
        <f>+'2002PILRecoveryAmt'!M9</f>
        <v>24204.53</v>
      </c>
      <c r="N9" s="25">
        <f>+L9+M9</f>
        <v>47332.438785271304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527829</v>
      </c>
      <c r="G10" s="2">
        <f>+'[1]PILRecoveryAmt'!K10</f>
        <v>640442.5</v>
      </c>
      <c r="I10" s="2">
        <f>+D10-G10</f>
        <v>-112613.5</v>
      </c>
      <c r="J10" s="29"/>
      <c r="K10" s="3">
        <f>+'2002PILRecoveryAmt'!I10</f>
        <v>0.002909445422500849</v>
      </c>
      <c r="L10" s="2">
        <f>+K10*D10</f>
        <v>1535.6896679132008</v>
      </c>
      <c r="M10" s="25">
        <f>+'2002PILRecoveryAmt'!M10</f>
        <v>140.2508333333332</v>
      </c>
      <c r="N10" s="25">
        <f>+L10+M10</f>
        <v>1675.940501246534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278443</v>
      </c>
      <c r="G11" s="2">
        <f>+'[1]PILRecoveryAmt'!K11</f>
        <v>341661.4166666667</v>
      </c>
      <c r="I11" s="2">
        <f>+D11-G11</f>
        <v>-63218.416666666686</v>
      </c>
      <c r="J11" s="29"/>
      <c r="K11" s="3">
        <f>+'2002PILRecoveryAmt'!I11</f>
        <v>6.004970320275653E-05</v>
      </c>
      <c r="L11" s="2">
        <f>+K11*D11</f>
        <v>16.720419508885136</v>
      </c>
      <c r="M11" s="25">
        <f>+'2002PILRecoveryAmt'!M11</f>
        <v>492.40000000000003</v>
      </c>
      <c r="N11" s="25">
        <f>+L11+M11</f>
        <v>509.12041950888516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5585928</v>
      </c>
      <c r="G15" s="2">
        <f>+'[1]PILRecoveryAmt'!K13</f>
        <v>5891815.5</v>
      </c>
      <c r="I15" s="2">
        <f>+D15-G15</f>
        <v>-305887.5</v>
      </c>
      <c r="J15" s="29"/>
      <c r="K15" s="3">
        <f>+'2002PILRecoveryAmt'!I15</f>
        <v>0.0015111027039684684</v>
      </c>
      <c r="L15" s="2">
        <f>+K15*D15</f>
        <v>8440.91090497318</v>
      </c>
      <c r="M15" s="25">
        <f>+'2002PILRecoveryAmt'!M15</f>
        <v>8903.139166666666</v>
      </c>
      <c r="N15" s="25">
        <f>+L15+M15</f>
        <v>17344.050071639846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13677.3</v>
      </c>
      <c r="F22" s="2">
        <f>+'[1]PILRecoveryAmt'!J20</f>
        <v>70786.41666666667</v>
      </c>
      <c r="H22" s="2">
        <f>+C22-F22</f>
        <v>-57109.11666666667</v>
      </c>
      <c r="J22" s="29"/>
      <c r="K22" s="3">
        <f>+'2002PILRecoveryAmt'!H22</f>
        <v>0.259738155978607</v>
      </c>
      <c r="L22" s="2">
        <f>+K22*C22</f>
        <v>3552.5166807662013</v>
      </c>
      <c r="M22" s="25">
        <f>+'2002PILRecoveryAmt'!M22</f>
        <v>7879.684999999998</v>
      </c>
      <c r="N22" s="25">
        <f>+L22+M22</f>
        <v>11432.201680766198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20292.78</v>
      </c>
      <c r="H23" s="2">
        <f>+C23-F23</f>
        <v>20292.78</v>
      </c>
      <c r="J23" s="29"/>
      <c r="K23" s="3">
        <f>+'2002PILRecoveryAmt'!H22</f>
        <v>0.259738155978607</v>
      </c>
      <c r="L23" s="2">
        <f>+K23*C23</f>
        <v>5270.809256879556</v>
      </c>
      <c r="M23" s="25">
        <f>+'2002PILRecoveryAmt'!M23</f>
        <v>0</v>
      </c>
      <c r="N23" s="25">
        <f>+L23+M23</f>
        <v>5270.809256879556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35748.48</v>
      </c>
      <c r="H24" s="2">
        <f>+C24-F24</f>
        <v>35748.48</v>
      </c>
      <c r="J24" s="29"/>
      <c r="K24" s="3">
        <f>+'2002PILRecoveryAmt'!H22</f>
        <v>0.259738155978607</v>
      </c>
      <c r="L24" s="2">
        <f>+K24*C24</f>
        <v>9285.244274238114</v>
      </c>
      <c r="M24" s="25">
        <f>+'2002PILRecoveryAmt'!M24</f>
        <v>0</v>
      </c>
      <c r="N24" s="25">
        <f>+L24+M24</f>
        <v>9285.244274238114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277.22+1342.64</f>
        <v>1619.8600000000001</v>
      </c>
      <c r="H25" s="2">
        <f>+C25-F25</f>
        <v>1619.8600000000001</v>
      </c>
      <c r="J25" s="29"/>
      <c r="K25" s="3">
        <f>+'2002PILRecoveryAmt'!H22</f>
        <v>0.259738155978607</v>
      </c>
      <c r="L25" s="2">
        <f>+K25*C25</f>
        <v>420.73944934350635</v>
      </c>
      <c r="M25" s="25">
        <f>+'2002PILRecoveryAmt'!M25</f>
        <v>0</v>
      </c>
      <c r="N25" s="25">
        <f>+L25+M25</f>
        <v>420.73944934350635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7506.93</v>
      </c>
      <c r="F30" s="2">
        <f>+'[1]PILRecoveryAmt'!J28</f>
        <v>7063.666666666667</v>
      </c>
      <c r="H30" s="2">
        <f>+C30-F30</f>
        <v>443.2633333333333</v>
      </c>
      <c r="J30" s="29"/>
      <c r="K30" s="3">
        <f>+'2002PILRecoveryAmt'!H30</f>
        <v>0.10038318153933272</v>
      </c>
      <c r="L30" s="2">
        <f>+K30*C30</f>
        <v>753.569516993063</v>
      </c>
      <c r="M30" s="25">
        <f>+'2002PILRecoveryAmt'!M30</f>
        <v>1646.6516666666666</v>
      </c>
      <c r="N30" s="25">
        <f>+L30+M30</f>
        <v>2400.22118365973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+'[1]PILRecoveryAmt'!J32</f>
        <v>3274.5</v>
      </c>
      <c r="H34" s="2">
        <f>+C34-F34</f>
        <v>267.57000000000016</v>
      </c>
      <c r="J34" s="29"/>
      <c r="K34" s="3">
        <f>+'2002PILRecoveryAmt'!H34</f>
        <v>0.49355499567363975</v>
      </c>
      <c r="L34" s="2">
        <f>+K34*C34</f>
        <v>1748.2063435257292</v>
      </c>
      <c r="M34" s="25">
        <f>+'2002PILRecoveryAmt'!M34</f>
        <v>692.6341666666667</v>
      </c>
      <c r="N34" s="25">
        <f>+L34+M34</f>
        <v>2440.840510192396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1676.43</v>
      </c>
      <c r="F37" s="2">
        <f>+'[1]PILRecoveryAmt'!J35</f>
        <v>1905.8333333333333</v>
      </c>
      <c r="H37" s="2">
        <f>+C37-F37</f>
        <v>-229.4033333333332</v>
      </c>
      <c r="J37" s="29"/>
      <c r="K37" s="3">
        <f>+'2002PILRecoveryAmt'!H37</f>
        <v>0.7029287275907302</v>
      </c>
      <c r="L37" s="2">
        <f>+K37*C37</f>
        <v>1178.4108067949278</v>
      </c>
      <c r="M37" s="25">
        <f>+'2002PILRecoveryAmt'!M37</f>
        <v>574.1416666666668</v>
      </c>
      <c r="N37" s="25">
        <f>+L37+M37</f>
        <v>1752.5524734615947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</v>
      </c>
      <c r="D41" s="2" t="s">
        <v>101</v>
      </c>
      <c r="F41" s="2">
        <f>+'[1]PILRecoveryAmt'!J39</f>
        <v>883.3333333333334</v>
      </c>
      <c r="H41" s="2">
        <f>+C41-F41</f>
        <v>-9.333333333333371</v>
      </c>
      <c r="J41" s="29"/>
      <c r="K41" s="3">
        <f>+'2002PILRecoveryAmt'!H41</f>
        <v>0.1926320754716981</v>
      </c>
      <c r="L41" s="2">
        <f>+K41*C41</f>
        <v>168.36043396226415</v>
      </c>
      <c r="M41" s="25">
        <f>+'2002PILRecoveryAmt'!M41</f>
        <v>397.0366666666667</v>
      </c>
      <c r="N41" s="25">
        <f>+L41+M41</f>
        <v>565.3971006289308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84937.85</v>
      </c>
      <c r="D45" s="14">
        <f>SUM(D9:D44)</f>
        <v>16495985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979.6833333333337</v>
      </c>
      <c r="I45" s="14">
        <f>SUM(I9:I43)</f>
        <v>-828035.0833333328</v>
      </c>
      <c r="J45" s="29"/>
      <c r="K45" s="15"/>
      <c r="L45" s="14">
        <f>SUM(L9:L43)</f>
        <v>55678.15221059019</v>
      </c>
      <c r="M45" s="14">
        <f>SUM(M9:M43)</f>
        <v>44980.35666666667</v>
      </c>
      <c r="N45" s="14">
        <f>SUM(N9:N43)</f>
        <v>100658.50887725687</v>
      </c>
      <c r="O45" s="25"/>
    </row>
    <row r="46" spans="7:15" ht="12.75">
      <c r="G46" s="2" t="s">
        <v>143</v>
      </c>
      <c r="H46" s="2">
        <f>+C45-F45</f>
        <v>979.6833333333343</v>
      </c>
      <c r="I46" s="2">
        <f>+D45-G45</f>
        <v>-827883.0833333321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4">
      <selection activeCell="F29" sqref="F29:J2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124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9378142</v>
      </c>
      <c r="G9" s="2">
        <f>+'[1]PILRecoveryAmt'!K9</f>
        <v>10449948.666666666</v>
      </c>
      <c r="I9" s="2">
        <f>+D9-G9</f>
        <v>-1071806.666666666</v>
      </c>
      <c r="J9" s="29"/>
      <c r="K9" s="3">
        <f>+'2002PILRecoveryAmt'!I9</f>
        <v>0.0023162344242456567</v>
      </c>
      <c r="L9" s="2">
        <f>+K9*D9</f>
        <v>21721.975335864012</v>
      </c>
      <c r="M9" s="25">
        <f>+'2002PILRecoveryAmt'!M9</f>
        <v>24204.53</v>
      </c>
      <c r="N9" s="25">
        <f>+L9+M9</f>
        <v>45926.505335864014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657130</v>
      </c>
      <c r="G10" s="2">
        <f>+'[1]PILRecoveryAmt'!K10</f>
        <v>640442.5</v>
      </c>
      <c r="I10" s="2">
        <f>+D10-G10</f>
        <v>16687.5</v>
      </c>
      <c r="J10" s="29"/>
      <c r="K10" s="3">
        <f>+'2002PILRecoveryAmt'!I10</f>
        <v>0.002909445422500849</v>
      </c>
      <c r="L10" s="2">
        <f>+K10*D10</f>
        <v>1911.883870487983</v>
      </c>
      <c r="M10" s="25">
        <f>+'2002PILRecoveryAmt'!M10</f>
        <v>140.2508333333332</v>
      </c>
      <c r="N10" s="25">
        <f>+L10+M10</f>
        <v>2052.134703821316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347234</v>
      </c>
      <c r="G11" s="2">
        <f>+'[1]PILRecoveryAmt'!K11</f>
        <v>341661.4166666667</v>
      </c>
      <c r="I11" s="2">
        <f>+D11-G11</f>
        <v>5572.583333333314</v>
      </c>
      <c r="J11" s="29"/>
      <c r="K11" s="3">
        <f>+'2002PILRecoveryAmt'!I11</f>
        <v>6.004970320275653E-05</v>
      </c>
      <c r="L11" s="2">
        <f>+K11*D11</f>
        <v>20.85129864190596</v>
      </c>
      <c r="M11" s="25">
        <f>+'2002PILRecoveryAmt'!M11</f>
        <v>492.40000000000003</v>
      </c>
      <c r="N11" s="25">
        <f>+L11+M11</f>
        <v>513.251298641906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5871490</v>
      </c>
      <c r="G15" s="2">
        <f>+'[1]PILRecoveryAmt'!K13</f>
        <v>5891815.5</v>
      </c>
      <c r="I15" s="2">
        <f>+D15-G15</f>
        <v>-20325.5</v>
      </c>
      <c r="J15" s="29"/>
      <c r="K15" s="3">
        <f>+'2002PILRecoveryAmt'!I15</f>
        <v>0.0015111027039684684</v>
      </c>
      <c r="L15" s="2">
        <f>+K15*D15</f>
        <v>8872.424415323823</v>
      </c>
      <c r="M15" s="25">
        <f>+'2002PILRecoveryAmt'!M15</f>
        <v>8903.139166666666</v>
      </c>
      <c r="N15" s="25">
        <f>+L15+M15</f>
        <v>17775.56358199049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13901.52</v>
      </c>
      <c r="F22" s="2">
        <f>+'[1]PILRecoveryAmt'!J20</f>
        <v>70786.41666666667</v>
      </c>
      <c r="H22" s="2">
        <f>+C22-F22</f>
        <v>-56884.89666666667</v>
      </c>
      <c r="J22" s="29"/>
      <c r="K22" s="3">
        <f>+'2002PILRecoveryAmt'!H22</f>
        <v>0.259738155978607</v>
      </c>
      <c r="L22" s="2">
        <f>+K22*C22</f>
        <v>3610.755170099725</v>
      </c>
      <c r="M22" s="25">
        <f>+'2002PILRecoveryAmt'!M22</f>
        <v>7879.684999999998</v>
      </c>
      <c r="N22" s="25">
        <f>+L22+M22</f>
        <v>11490.440170099722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19329.41</v>
      </c>
      <c r="H23" s="2">
        <f>+C23-F23</f>
        <v>19329.41</v>
      </c>
      <c r="J23" s="29"/>
      <c r="K23" s="3">
        <f>+'2002PILRecoveryAmt'!H22</f>
        <v>0.259738155978607</v>
      </c>
      <c r="L23" s="2">
        <f>+K23*C23</f>
        <v>5020.585309554446</v>
      </c>
      <c r="M23" s="25">
        <f>+'2002PILRecoveryAmt'!M23</f>
        <v>0</v>
      </c>
      <c r="N23" s="25">
        <f>+L23+M23</f>
        <v>5020.585309554446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35713.55</v>
      </c>
      <c r="H24" s="2">
        <f>+C24-F24</f>
        <v>35713.55</v>
      </c>
      <c r="J24" s="29"/>
      <c r="K24" s="3">
        <f>+'2002PILRecoveryAmt'!H22</f>
        <v>0.259738155978607</v>
      </c>
      <c r="L24" s="2">
        <f>+K24*C24</f>
        <v>9276.17162044978</v>
      </c>
      <c r="M24" s="25">
        <f>+'2002PILRecoveryAmt'!M24</f>
        <v>0</v>
      </c>
      <c r="N24" s="25">
        <f>+L24+M24</f>
        <v>9276.17162044978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366.98+1386.24</f>
        <v>1753.22</v>
      </c>
      <c r="H25" s="2">
        <f>+C25-F25</f>
        <v>1753.22</v>
      </c>
      <c r="J25" s="29"/>
      <c r="K25" s="3">
        <f>+'2002PILRecoveryAmt'!H22</f>
        <v>0.259738155978607</v>
      </c>
      <c r="L25" s="2">
        <f>+K25*C25</f>
        <v>455.37812982481336</v>
      </c>
      <c r="M25" s="25">
        <f>+'2002PILRecoveryAmt'!M25</f>
        <v>0</v>
      </c>
      <c r="N25" s="25">
        <f>+L25+M25</f>
        <v>455.37812982481336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7663.05</v>
      </c>
      <c r="F30" s="2">
        <f>+'[1]PILRecoveryAmt'!J28</f>
        <v>7063.666666666667</v>
      </c>
      <c r="H30" s="2">
        <f>+C30-F30</f>
        <v>599.3833333333332</v>
      </c>
      <c r="J30" s="29"/>
      <c r="K30" s="3">
        <f>+'2002PILRecoveryAmt'!H30</f>
        <v>0.10038318153933272</v>
      </c>
      <c r="L30" s="2">
        <f>+K30*C30</f>
        <v>769.2413392949836</v>
      </c>
      <c r="M30" s="25">
        <f>+'2002PILRecoveryAmt'!M30</f>
        <v>1646.6516666666666</v>
      </c>
      <c r="N30" s="25">
        <f>+L30+M30</f>
        <v>2415.8930059616505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3474.66</v>
      </c>
      <c r="F34" s="2">
        <f>+'[1]PILRecoveryAmt'!J32</f>
        <v>3274.5</v>
      </c>
      <c r="H34" s="2">
        <f>+C34-F34</f>
        <v>200.15999999999985</v>
      </c>
      <c r="J34" s="29"/>
      <c r="K34" s="3">
        <f>+'2002PILRecoveryAmt'!H34</f>
        <v>0.49355499567363975</v>
      </c>
      <c r="L34" s="2">
        <f>+K34*C34</f>
        <v>1714.935801267369</v>
      </c>
      <c r="M34" s="25">
        <f>+'2002PILRecoveryAmt'!M34</f>
        <v>692.6341666666667</v>
      </c>
      <c r="N34" s="25">
        <f>+L34+M34</f>
        <v>2407.569967934036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1284.83</v>
      </c>
      <c r="F37" s="2">
        <f>+'[1]PILRecoveryAmt'!J35</f>
        <v>1905.8333333333333</v>
      </c>
      <c r="H37" s="2">
        <f>+C37-F37</f>
        <v>-621.0033333333333</v>
      </c>
      <c r="J37" s="29"/>
      <c r="K37" s="3">
        <f>+'2002PILRecoveryAmt'!H37</f>
        <v>0.7029287275907302</v>
      </c>
      <c r="L37" s="2">
        <f>+K37*C37</f>
        <v>903.1439170703978</v>
      </c>
      <c r="M37" s="25">
        <f>+'2002PILRecoveryAmt'!M37</f>
        <v>574.1416666666668</v>
      </c>
      <c r="N37" s="25">
        <f>+L37+M37</f>
        <v>1477.2855837370646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83990.88000000002</v>
      </c>
      <c r="D45" s="14">
        <f>SUM(D9:D44)</f>
        <v>16372320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32.713333333338674</v>
      </c>
      <c r="I45" s="14">
        <f>SUM(I9:I43)</f>
        <v>-951700.0833333328</v>
      </c>
      <c r="J45" s="29"/>
      <c r="K45" s="15"/>
      <c r="L45" s="14">
        <f>SUM(L9:L43)</f>
        <v>54623.62942680128</v>
      </c>
      <c r="M45" s="14">
        <f>SUM(M9:M43)</f>
        <v>44980.35666666667</v>
      </c>
      <c r="N45" s="14">
        <f>SUM(N9:N43)</f>
        <v>99603.98609346792</v>
      </c>
      <c r="O45" s="25"/>
    </row>
    <row r="46" spans="7:15" ht="12.75">
      <c r="G46" s="2" t="s">
        <v>143</v>
      </c>
      <c r="H46" s="2">
        <f>+C45-F45</f>
        <v>32.71333333334769</v>
      </c>
      <c r="I46" s="2">
        <f>+D45-G45</f>
        <v>-951548.0833333321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5" sqref="F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11726041-135</f>
        <v>11725906</v>
      </c>
      <c r="G9" s="2">
        <f>+'[1]PILRecoveryAmt'!K9</f>
        <v>10449948.666666666</v>
      </c>
      <c r="I9" s="2">
        <f>+D9-G9</f>
        <v>1275957.333333334</v>
      </c>
      <c r="J9" s="29"/>
      <c r="K9" s="3">
        <f>+'2002PILRecoveryAmt'!I9</f>
        <v>0.0023162344242456567</v>
      </c>
      <c r="L9" s="2">
        <f>+K9*D9</f>
        <v>27159.94713266869</v>
      </c>
      <c r="M9" s="25">
        <f>+'2002PILRecoveryAmt'!M9</f>
        <v>24204.53</v>
      </c>
      <c r="N9" s="25">
        <f>+L9+M9</f>
        <v>51364.47713266869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703259</v>
      </c>
      <c r="G10" s="2">
        <f>+'[1]PILRecoveryAmt'!K10</f>
        <v>640442.5</v>
      </c>
      <c r="I10" s="2">
        <f>+D10-G10</f>
        <v>62816.5</v>
      </c>
      <c r="J10" s="29"/>
      <c r="K10" s="3">
        <f>+'2002PILRecoveryAmt'!I10</f>
        <v>0.002909445422500849</v>
      </c>
      <c r="L10" s="2">
        <f>+K10*D10</f>
        <v>2046.0936783825246</v>
      </c>
      <c r="M10" s="25">
        <f>+'2002PILRecoveryAmt'!M10</f>
        <v>140.2508333333332</v>
      </c>
      <c r="N10" s="25">
        <f>+L10+M10</f>
        <v>2186.3445117158576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356668</v>
      </c>
      <c r="G11" s="2">
        <f>+'[1]PILRecoveryAmt'!K11</f>
        <v>341661.4166666667</v>
      </c>
      <c r="I11" s="2">
        <f>+D11-G11</f>
        <v>15006.583333333314</v>
      </c>
      <c r="J11" s="29"/>
      <c r="K11" s="3">
        <f>+'2002PILRecoveryAmt'!I11</f>
        <v>6.004970320275653E-05</v>
      </c>
      <c r="L11" s="2">
        <f>+K11*D11</f>
        <v>21.417807541920766</v>
      </c>
      <c r="M11" s="25">
        <f>+'2002PILRecoveryAmt'!M11</f>
        <v>492.40000000000003</v>
      </c>
      <c r="N11" s="25">
        <f>+L11+M11</f>
        <v>513.8178075419208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6430074</v>
      </c>
      <c r="G15" s="2">
        <f>+'[1]PILRecoveryAmt'!K13</f>
        <v>5891815.5</v>
      </c>
      <c r="I15" s="2">
        <f>+D15-G15</f>
        <v>538258.5</v>
      </c>
      <c r="J15" s="29"/>
      <c r="K15" s="3">
        <f>+'2002PILRecoveryAmt'!I15</f>
        <v>0.0015111027039684684</v>
      </c>
      <c r="L15" s="2">
        <f>+K15*D15</f>
        <v>9716.502208117347</v>
      </c>
      <c r="M15" s="25">
        <f>+'2002PILRecoveryAmt'!M15</f>
        <v>8903.139166666666</v>
      </c>
      <c r="N15" s="25">
        <f>+L15+M15</f>
        <v>18619.641374784012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13783.46</v>
      </c>
      <c r="F22" s="2">
        <f>+'[1]PILRecoveryAmt'!J20</f>
        <v>70786.41666666667</v>
      </c>
      <c r="H22" s="2">
        <f>+C22-F22</f>
        <v>-57002.95666666667</v>
      </c>
      <c r="J22" s="29"/>
      <c r="K22" s="3">
        <f>+'2002PILRecoveryAmt'!H22</f>
        <v>0.259738155978607</v>
      </c>
      <c r="L22" s="2">
        <f>+K22*C22</f>
        <v>3580.09048340489</v>
      </c>
      <c r="M22" s="25">
        <f>+'2002PILRecoveryAmt'!M22</f>
        <v>7879.684999999998</v>
      </c>
      <c r="N22" s="25">
        <f>+L22+M22</f>
        <v>11459.775483404888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19352.77</v>
      </c>
      <c r="H23" s="2">
        <f>+C23-F23</f>
        <v>19352.77</v>
      </c>
      <c r="J23" s="29"/>
      <c r="K23" s="3">
        <f>+'2002PILRecoveryAmt'!H22</f>
        <v>0.259738155978607</v>
      </c>
      <c r="L23" s="2">
        <f>+K23*C23</f>
        <v>5026.652792878106</v>
      </c>
      <c r="M23" s="25">
        <f>+'2002PILRecoveryAmt'!M23</f>
        <v>0</v>
      </c>
      <c r="N23" s="25">
        <f>+L23+M23</f>
        <v>5026.652792878106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35935.44</v>
      </c>
      <c r="H24" s="2">
        <f>+C24-F24</f>
        <v>35935.44</v>
      </c>
      <c r="J24" s="29"/>
      <c r="K24" s="3">
        <f>+'2002PILRecoveryAmt'!H22</f>
        <v>0.259738155978607</v>
      </c>
      <c r="L24" s="2">
        <f>+K24*C24</f>
        <v>9333.804919879874</v>
      </c>
      <c r="M24" s="25">
        <f>+'2002PILRecoveryAmt'!M24</f>
        <v>0</v>
      </c>
      <c r="N24" s="25">
        <f>+L24+M24</f>
        <v>9333.804919879874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468.3+1403.32</f>
        <v>1871.62</v>
      </c>
      <c r="H25" s="2">
        <f>+C25-F25</f>
        <v>1871.62</v>
      </c>
      <c r="J25" s="29"/>
      <c r="K25" s="3">
        <f>+'2002PILRecoveryAmt'!H22</f>
        <v>0.259738155978607</v>
      </c>
      <c r="L25" s="2">
        <f>+K25*C25</f>
        <v>486.1311274926804</v>
      </c>
      <c r="M25" s="25">
        <f>+'2002PILRecoveryAmt'!M25</f>
        <v>0</v>
      </c>
      <c r="N25" s="25">
        <f>+L25+M25</f>
        <v>486.1311274926804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7709.2</v>
      </c>
      <c r="F30" s="2">
        <f>+'[1]PILRecoveryAmt'!J28</f>
        <v>7063.666666666667</v>
      </c>
      <c r="H30" s="2">
        <f>+C30-F30</f>
        <v>645.5333333333328</v>
      </c>
      <c r="J30" s="29"/>
      <c r="K30" s="3">
        <f>+'2002PILRecoveryAmt'!H30</f>
        <v>0.10038318153933272</v>
      </c>
      <c r="L30" s="2">
        <f>+K30*C30</f>
        <v>773.8740231230238</v>
      </c>
      <c r="M30" s="25">
        <f>+'2002PILRecoveryAmt'!M30</f>
        <v>1646.6516666666666</v>
      </c>
      <c r="N30" s="25">
        <f>+L30+M30</f>
        <v>2420.5256897896907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+'[1]PILRecoveryAmt'!J32</f>
        <v>3274.5</v>
      </c>
      <c r="H34" s="2">
        <f>+C34-F34</f>
        <v>267.57000000000016</v>
      </c>
      <c r="J34" s="29"/>
      <c r="K34" s="3">
        <f>+'2002PILRecoveryAmt'!H34</f>
        <v>0.49355499567363975</v>
      </c>
      <c r="L34" s="2">
        <f>+K34*C34</f>
        <v>1748.2063435257292</v>
      </c>
      <c r="M34" s="25">
        <f>+'2002PILRecoveryAmt'!M34</f>
        <v>692.6341666666667</v>
      </c>
      <c r="N34" s="25">
        <f>+L34+M34</f>
        <v>2440.840510192396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1152.62</v>
      </c>
      <c r="F37" s="2">
        <f>+'[1]PILRecoveryAmt'!J35</f>
        <v>1905.8333333333333</v>
      </c>
      <c r="H37" s="2">
        <f>+C37-F37</f>
        <v>-753.2133333333334</v>
      </c>
      <c r="J37" s="29"/>
      <c r="K37" s="3">
        <f>+'2002PILRecoveryAmt'!H37</f>
        <v>0.7029287275907302</v>
      </c>
      <c r="L37" s="2">
        <f>+K37*C37</f>
        <v>810.2097099956273</v>
      </c>
      <c r="M37" s="25">
        <f>+'2002PILRecoveryAmt'!M37</f>
        <v>574.1416666666668</v>
      </c>
      <c r="N37" s="25">
        <f>+L37+M37</f>
        <v>1384.3513766622941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84217.81999999999</v>
      </c>
      <c r="D45" s="14">
        <f>SUM(D9:D44)</f>
        <v>19334231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259.6533333333262</v>
      </c>
      <c r="I45" s="14">
        <f>SUM(I9:I43)</f>
        <v>2010210.9166666672</v>
      </c>
      <c r="J45" s="29"/>
      <c r="K45" s="15"/>
      <c r="L45" s="14">
        <f>SUM(L9:L43)</f>
        <v>61049.213445932466</v>
      </c>
      <c r="M45" s="14">
        <f>SUM(M9:M43)</f>
        <v>44980.35666666667</v>
      </c>
      <c r="N45" s="14">
        <f>SUM(N9:N43)</f>
        <v>106029.5701125991</v>
      </c>
      <c r="O45" s="25"/>
    </row>
    <row r="46" spans="7:15" ht="12.75">
      <c r="G46" s="2" t="s">
        <v>143</v>
      </c>
      <c r="H46" s="2">
        <f>+C45-F45</f>
        <v>259.6533333333209</v>
      </c>
      <c r="I46" s="2">
        <f>+D45-G45</f>
        <v>2010362.916666668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100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12280323-2700</f>
        <v>12277623</v>
      </c>
      <c r="G9" s="2">
        <f>+'[1]PILRecoveryAmt'!K9</f>
        <v>10449948.666666666</v>
      </c>
      <c r="I9" s="2">
        <f>+D9-G9</f>
        <v>1827674.333333334</v>
      </c>
      <c r="J9" s="29"/>
      <c r="K9" s="3">
        <f>+'2002PILRecoveryAmt'!I9</f>
        <v>0.0023162344242456567</v>
      </c>
      <c r="L9" s="2">
        <f>+K9*D9</f>
        <v>28437.853040510232</v>
      </c>
      <c r="M9" s="25">
        <f>+'2002PILRecoveryAmt'!M9</f>
        <v>24204.53</v>
      </c>
      <c r="N9" s="25">
        <f>+L9+M9</f>
        <v>52642.383040510234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652754</v>
      </c>
      <c r="G10" s="2">
        <f>+'[1]PILRecoveryAmt'!K10</f>
        <v>640442.5</v>
      </c>
      <c r="I10" s="2">
        <f>+D10-G10</f>
        <v>12311.5</v>
      </c>
      <c r="J10" s="29"/>
      <c r="K10" s="3">
        <f>+'2002PILRecoveryAmt'!I10</f>
        <v>0.002909445422500849</v>
      </c>
      <c r="L10" s="2">
        <f>+K10*D10</f>
        <v>1899.1521373191192</v>
      </c>
      <c r="M10" s="25">
        <f>+'2002PILRecoveryAmt'!M10</f>
        <v>140.2508333333332</v>
      </c>
      <c r="N10" s="25">
        <f>+L10+M10</f>
        <v>2039.4029706524525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377279</v>
      </c>
      <c r="G11" s="2">
        <f>+'[1]PILRecoveryAmt'!K11</f>
        <v>341661.4166666667</v>
      </c>
      <c r="I11" s="2">
        <f>+D11-G11</f>
        <v>35617.583333333314</v>
      </c>
      <c r="J11" s="29"/>
      <c r="K11" s="3">
        <f>+'2002PILRecoveryAmt'!I11</f>
        <v>6.004970320275653E-05</v>
      </c>
      <c r="L11" s="2">
        <f>+K11*D11</f>
        <v>22.65549197463278</v>
      </c>
      <c r="M11" s="25">
        <f>+'2002PILRecoveryAmt'!M11</f>
        <v>492.40000000000003</v>
      </c>
      <c r="N11" s="25">
        <f>+L11+M11</f>
        <v>515.0554919746328</v>
      </c>
      <c r="O11" s="25"/>
      <c r="Q11" s="23"/>
      <c r="R11" s="23"/>
    </row>
    <row r="12" spans="1:18" ht="12.75">
      <c r="A12" t="s">
        <v>13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6369058</v>
      </c>
      <c r="G15" s="2">
        <f>+'[1]PILRecoveryAmt'!K13</f>
        <v>5891815.5</v>
      </c>
      <c r="I15" s="2">
        <f>+D15-G15</f>
        <v>477242.5</v>
      </c>
      <c r="J15" s="29"/>
      <c r="K15" s="3">
        <f>+'2002PILRecoveryAmt'!I15</f>
        <v>0.0015111027039684684</v>
      </c>
      <c r="L15" s="2">
        <f>+K15*D15</f>
        <v>9624.300765532005</v>
      </c>
      <c r="M15" s="25">
        <f>+'2002PILRecoveryAmt'!M15</f>
        <v>8903.139166666666</v>
      </c>
      <c r="N15" s="25">
        <f>+L15+M15</f>
        <v>18527.43993219867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12941.35</v>
      </c>
      <c r="F22" s="2">
        <f>+'[1]PILRecoveryAmt'!J20</f>
        <v>70786.41666666667</v>
      </c>
      <c r="H22" s="2">
        <f>+C22-F22</f>
        <v>-57845.06666666667</v>
      </c>
      <c r="J22" s="29"/>
      <c r="K22" s="3">
        <f>+'2002PILRecoveryAmt'!H22</f>
        <v>0.259738155978607</v>
      </c>
      <c r="L22" s="2">
        <f>+K22*C22</f>
        <v>3361.3623848737457</v>
      </c>
      <c r="M22" s="25">
        <f>+'2002PILRecoveryAmt'!M22</f>
        <v>7879.684999999998</v>
      </c>
      <c r="N22" s="25">
        <f>+L22+M22</f>
        <v>11241.047384873744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19384.02</v>
      </c>
      <c r="H23" s="2">
        <f>+C23-F23</f>
        <v>19384.02</v>
      </c>
      <c r="J23" s="29"/>
      <c r="K23" s="3">
        <f>+'2002PILRecoveryAmt'!H22</f>
        <v>0.259738155978607</v>
      </c>
      <c r="L23" s="2">
        <f>+K23*C23</f>
        <v>5034.769610252438</v>
      </c>
      <c r="M23" s="25">
        <f>+'2002PILRecoveryAmt'!M23</f>
        <v>0</v>
      </c>
      <c r="N23" s="25">
        <f>+L23+M23</f>
        <v>5034.769610252438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35334.2</v>
      </c>
      <c r="H24" s="2">
        <f>+C24-F24</f>
        <v>35334.2</v>
      </c>
      <c r="J24" s="29"/>
      <c r="K24" s="3">
        <f>+'2002PILRecoveryAmt'!H22</f>
        <v>0.259738155978607</v>
      </c>
      <c r="L24" s="2">
        <f>+K24*C24</f>
        <v>9177.639950979295</v>
      </c>
      <c r="M24" s="25">
        <f>+'2002PILRecoveryAmt'!M24</f>
        <v>0</v>
      </c>
      <c r="N24" s="25">
        <f>+L24+M24</f>
        <v>9177.639950979295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444.66+1367.68</f>
        <v>1812.3400000000001</v>
      </c>
      <c r="H25" s="2">
        <f>+C25-F25</f>
        <v>1812.3400000000001</v>
      </c>
      <c r="J25" s="29"/>
      <c r="K25" s="3">
        <f>+'2002PILRecoveryAmt'!H22</f>
        <v>0.259738155978607</v>
      </c>
      <c r="L25" s="2">
        <f>+K25*C25</f>
        <v>470.7338496062686</v>
      </c>
      <c r="M25" s="25">
        <f>+'2002PILRecoveryAmt'!M25</f>
        <v>0</v>
      </c>
      <c r="N25" s="25">
        <f>+L25+M25</f>
        <v>470.7338496062686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7679.35</v>
      </c>
      <c r="F30" s="2">
        <f>+'[1]PILRecoveryAmt'!J28</f>
        <v>7063.666666666667</v>
      </c>
      <c r="H30" s="2">
        <f>+C30-F30</f>
        <v>615.6833333333334</v>
      </c>
      <c r="J30" s="29"/>
      <c r="K30" s="3">
        <f>+'2002PILRecoveryAmt'!H30</f>
        <v>0.10038318153933272</v>
      </c>
      <c r="L30" s="2">
        <f>+K30*C30</f>
        <v>770.8775851540747</v>
      </c>
      <c r="M30" s="25">
        <f>+'2002PILRecoveryAmt'!M30</f>
        <v>1646.6516666666666</v>
      </c>
      <c r="N30" s="25">
        <f>+L30+M30</f>
        <v>2417.5292518207416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3626.74</v>
      </c>
      <c r="F34" s="2">
        <f>+'[1]PILRecoveryAmt'!J32</f>
        <v>3274.5</v>
      </c>
      <c r="H34" s="2">
        <f>+C34-F34</f>
        <v>352.2399999999998</v>
      </c>
      <c r="J34" s="29"/>
      <c r="K34" s="3">
        <f>+'2002PILRecoveryAmt'!H34</f>
        <v>0.49355499567363975</v>
      </c>
      <c r="L34" s="2">
        <f>+K34*C34</f>
        <v>1789.9956450094162</v>
      </c>
      <c r="M34" s="25">
        <f>+'2002PILRecoveryAmt'!M34</f>
        <v>692.6341666666667</v>
      </c>
      <c r="N34" s="25">
        <f>+L34+M34</f>
        <v>2482.6298116760827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1180.93</v>
      </c>
      <c r="F37" s="2">
        <f>+'[1]PILRecoveryAmt'!J35</f>
        <v>1905.8333333333333</v>
      </c>
      <c r="H37" s="2">
        <f>+C37-F37</f>
        <v>-724.9033333333332</v>
      </c>
      <c r="J37" s="29"/>
      <c r="K37" s="3">
        <f>+'2002PILRecoveryAmt'!H37</f>
        <v>0.7029287275907302</v>
      </c>
      <c r="L37" s="2">
        <f>+K37*C37</f>
        <v>830.1096222737211</v>
      </c>
      <c r="M37" s="25">
        <f>+'2002PILRecoveryAmt'!M37</f>
        <v>574.1416666666668</v>
      </c>
      <c r="N37" s="25">
        <f>+L37+M37</f>
        <v>1404.251288940388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82829.57</v>
      </c>
      <c r="D45" s="14">
        <f>SUM(D9:D44)</f>
        <v>19795038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-1128.596666666679</v>
      </c>
      <c r="I45" s="14">
        <f>SUM(I9:I43)</f>
        <v>2471017.916666667</v>
      </c>
      <c r="J45" s="29"/>
      <c r="K45" s="15"/>
      <c r="L45" s="14">
        <f>SUM(L9:L43)</f>
        <v>61765.733302406996</v>
      </c>
      <c r="M45" s="14">
        <f>SUM(M9:M43)</f>
        <v>44980.35666666667</v>
      </c>
      <c r="N45" s="14">
        <f>SUM(N9:N43)</f>
        <v>106746.08996907366</v>
      </c>
      <c r="O45" s="25"/>
    </row>
    <row r="46" spans="7:15" ht="12.75">
      <c r="G46" s="2" t="s">
        <v>143</v>
      </c>
      <c r="H46" s="2">
        <f>+C45-F45</f>
        <v>-1128.5966666666645</v>
      </c>
      <c r="I46" s="2">
        <f>+D45-G45</f>
        <v>2471169.916666668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D1">
      <selection activeCell="E15" sqref="E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97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9688830</v>
      </c>
      <c r="G9" s="2">
        <f>+'[1]PILRecoveryAmt'!K9</f>
        <v>10449948.666666666</v>
      </c>
      <c r="I9" s="2">
        <f>+D9-G9</f>
        <v>-761118.666666666</v>
      </c>
      <c r="J9" s="29"/>
      <c r="K9" s="3">
        <f>+'2002PILRecoveryAmt'!I9</f>
        <v>0.0023162344242456567</v>
      </c>
      <c r="L9" s="2">
        <f>+K9*D9</f>
        <v>22441.601576664045</v>
      </c>
      <c r="M9" s="25">
        <f>+'2002PILRecoveryAmt'!M9</f>
        <v>24204.53</v>
      </c>
      <c r="N9" s="25">
        <f>+L9+M9</f>
        <v>46646.13157666405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570158</v>
      </c>
      <c r="G10" s="2">
        <f>+'[1]PILRecoveryAmt'!K10</f>
        <v>640442.5</v>
      </c>
      <c r="I10" s="2">
        <f>+D10-G10</f>
        <v>-70284.5</v>
      </c>
      <c r="J10" s="29"/>
      <c r="K10" s="3">
        <f>+'2002PILRecoveryAmt'!I10</f>
        <v>0.002909445422500849</v>
      </c>
      <c r="L10" s="2">
        <f>+K10*D10</f>
        <v>1658.8435832022392</v>
      </c>
      <c r="M10" s="25">
        <f>+'2002PILRecoveryAmt'!M10</f>
        <v>140.2508333333332</v>
      </c>
      <c r="N10" s="25">
        <f>+L10+M10</f>
        <v>1799.0944165355725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308394</v>
      </c>
      <c r="G11" s="2">
        <f>+'[1]PILRecoveryAmt'!K11</f>
        <v>341661.4166666667</v>
      </c>
      <c r="I11" s="2">
        <f>+D11-G11</f>
        <v>-33267.416666666686</v>
      </c>
      <c r="J11" s="29"/>
      <c r="K11" s="3">
        <f>+'2002PILRecoveryAmt'!I11</f>
        <v>6.004970320275653E-05</v>
      </c>
      <c r="L11" s="2">
        <f>+K11*D11</f>
        <v>18.5189681695109</v>
      </c>
      <c r="M11" s="25">
        <f>+'2002PILRecoveryAmt'!M11</f>
        <v>492.40000000000003</v>
      </c>
      <c r="N11" s="25">
        <f>+L11+M11</f>
        <v>510.91896816951095</v>
      </c>
      <c r="O11" s="25"/>
      <c r="Q11" s="23"/>
      <c r="R11" s="23"/>
    </row>
    <row r="12" spans="1:18" ht="12.75">
      <c r="A12" t="s">
        <v>13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7:18" ht="12.75">
      <c r="G14" s="2"/>
      <c r="J14" s="29"/>
      <c r="K14" s="3"/>
      <c r="L14" s="2"/>
      <c r="M14" s="25"/>
      <c r="N14" s="25"/>
      <c r="O14" s="25"/>
      <c r="Q14" s="23"/>
      <c r="R14" s="23"/>
    </row>
    <row r="15" spans="10:18" ht="12.75">
      <c r="J15" s="29"/>
      <c r="K15" s="3"/>
      <c r="L15" s="2"/>
      <c r="M15" s="25"/>
      <c r="N15" s="25"/>
      <c r="O15" s="25"/>
      <c r="Q15" s="23"/>
      <c r="R15" s="23"/>
    </row>
    <row r="16" spans="1:18" ht="12.75">
      <c r="A16" t="s">
        <v>16</v>
      </c>
      <c r="B16" t="s">
        <v>17</v>
      </c>
      <c r="D16" s="2">
        <v>5414260</v>
      </c>
      <c r="G16" s="2">
        <f>+'[1]PILRecoveryAmt'!K13</f>
        <v>5891815.5</v>
      </c>
      <c r="I16" s="2">
        <f>+D16-G16</f>
        <v>-477555.5</v>
      </c>
      <c r="J16" s="29"/>
      <c r="K16" s="3">
        <f>+'2002PILRecoveryAmt'!I15</f>
        <v>0.0015111027039684684</v>
      </c>
      <c r="L16" s="2">
        <f>+K16*D16</f>
        <v>8181.5029259883195</v>
      </c>
      <c r="M16" s="25">
        <f>+'2002PILRecoveryAmt'!M15</f>
        <v>8903.139166666666</v>
      </c>
      <c r="N16" s="25">
        <f>+L16+M16</f>
        <v>17084.642092654984</v>
      </c>
      <c r="O16" s="25"/>
      <c r="Q16" s="23"/>
      <c r="R16" s="23"/>
    </row>
    <row r="17" spans="1:18" ht="12.75">
      <c r="A17" t="s">
        <v>25</v>
      </c>
      <c r="B17" t="s">
        <v>17</v>
      </c>
      <c r="D17" s="2">
        <v>118172</v>
      </c>
      <c r="G17" s="2">
        <f>+'[1]PILRecoveryAmt'!K16</f>
        <v>0</v>
      </c>
      <c r="I17" s="2">
        <f>+D17-G17</f>
        <v>118172</v>
      </c>
      <c r="J17" s="29"/>
      <c r="K17" s="3">
        <f>+'2002PILRecoveryAmt'!I15</f>
        <v>0.0015111027039684684</v>
      </c>
      <c r="L17" s="2">
        <f>+K17*D17</f>
        <v>178.57002873336185</v>
      </c>
      <c r="M17" s="25">
        <f>+'2002PILRecoveryAmt'!M16</f>
        <v>0</v>
      </c>
      <c r="N17" s="25">
        <f>+L17+M17</f>
        <v>178.57002873336185</v>
      </c>
      <c r="O17" s="25"/>
      <c r="Q17" s="23"/>
      <c r="R17" s="23"/>
    </row>
    <row r="18" spans="1:18" ht="12.75">
      <c r="A18" t="s">
        <v>16</v>
      </c>
      <c r="B18" t="s">
        <v>17</v>
      </c>
      <c r="C18" s="2">
        <f>+'[1]Festival July 31'!C17</f>
        <v>0</v>
      </c>
      <c r="J18" s="29"/>
      <c r="K18" s="3"/>
      <c r="L18" s="2"/>
      <c r="M18" s="25"/>
      <c r="N18" s="25"/>
      <c r="O18" s="25"/>
      <c r="Q18" s="23"/>
      <c r="R18" s="23"/>
    </row>
    <row r="19" spans="10:18" ht="12.75"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18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29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30</v>
      </c>
      <c r="B22" t="s">
        <v>19</v>
      </c>
      <c r="D22" s="2">
        <v>0</v>
      </c>
      <c r="J22" s="29"/>
      <c r="K22" s="3"/>
      <c r="L22" s="2"/>
      <c r="M22" s="25"/>
      <c r="N22" s="25"/>
      <c r="O22" s="25"/>
      <c r="Q22" s="23"/>
      <c r="R22" s="23"/>
    </row>
    <row r="23" spans="1:18" ht="12.75">
      <c r="A23" t="s">
        <v>18</v>
      </c>
      <c r="B23" t="s">
        <v>19</v>
      </c>
      <c r="C23" s="2">
        <v>12944.49</v>
      </c>
      <c r="F23" s="2">
        <f>+'[1]PILRecoveryAmt'!J20</f>
        <v>70786.41666666667</v>
      </c>
      <c r="H23" s="2">
        <f>+C23-F23</f>
        <v>-57841.92666666667</v>
      </c>
      <c r="J23" s="29"/>
      <c r="K23" s="3">
        <f>+'2002PILRecoveryAmt'!H22</f>
        <v>0.259738155978607</v>
      </c>
      <c r="L23" s="2">
        <f>+K23*C23</f>
        <v>3362.1779626835187</v>
      </c>
      <c r="M23" s="25">
        <f>+'2002PILRecoveryAmt'!M22</f>
        <v>7879.684999999998</v>
      </c>
      <c r="N23" s="25">
        <f>+L23+M23</f>
        <v>11241.862962683517</v>
      </c>
      <c r="O23" s="25"/>
      <c r="Q23" s="23"/>
      <c r="R23" s="23"/>
    </row>
    <row r="24" spans="1:18" ht="12.75">
      <c r="A24" t="s">
        <v>29</v>
      </c>
      <c r="B24" t="s">
        <v>19</v>
      </c>
      <c r="C24" s="2">
        <v>19378.26</v>
      </c>
      <c r="H24" s="2">
        <f>+C24-F24</f>
        <v>19378.26</v>
      </c>
      <c r="J24" s="29"/>
      <c r="K24" s="3">
        <f>+'2002PILRecoveryAmt'!H22</f>
        <v>0.259738155978607</v>
      </c>
      <c r="L24" s="2">
        <f>+K24*C24</f>
        <v>5033.273518474</v>
      </c>
      <c r="M24" s="25">
        <f>+'2002PILRecoveryAmt'!M23</f>
        <v>0</v>
      </c>
      <c r="N24" s="25">
        <f>+L24+M24</f>
        <v>5033.273518474</v>
      </c>
      <c r="O24" s="25"/>
      <c r="Q24" s="23"/>
      <c r="R24" s="23"/>
    </row>
    <row r="25" spans="1:18" ht="12.75">
      <c r="A25" t="s">
        <v>30</v>
      </c>
      <c r="B25" t="s">
        <v>19</v>
      </c>
      <c r="C25" s="2">
        <v>35727.53</v>
      </c>
      <c r="H25" s="2">
        <f>+C25-F25</f>
        <v>35727.53</v>
      </c>
      <c r="J25" s="29"/>
      <c r="K25" s="3">
        <f>+'2002PILRecoveryAmt'!H22</f>
        <v>0.259738155978607</v>
      </c>
      <c r="L25" s="2">
        <f>+K25*C25</f>
        <v>9279.802759870361</v>
      </c>
      <c r="M25" s="25">
        <f>+'2002PILRecoveryAmt'!M24</f>
        <v>0</v>
      </c>
      <c r="N25" s="25">
        <f>+L25+M25</f>
        <v>9279.802759870361</v>
      </c>
      <c r="O25" s="25"/>
      <c r="Q25" s="23"/>
      <c r="R25" s="23"/>
    </row>
    <row r="26" spans="1:15" ht="12.75">
      <c r="A26" t="s">
        <v>130</v>
      </c>
      <c r="B26" t="s">
        <v>82</v>
      </c>
      <c r="C26" s="2">
        <v>1541.72</v>
      </c>
      <c r="H26" s="2">
        <f>+C26-F26</f>
        <v>1541.72</v>
      </c>
      <c r="J26" s="29"/>
      <c r="K26" s="3">
        <f>+'2002PILRecoveryAmt'!H22</f>
        <v>0.259738155978607</v>
      </c>
      <c r="L26" s="2">
        <f>+K26*C26</f>
        <v>400.443509835338</v>
      </c>
      <c r="M26" s="25">
        <f>+'2002PILRecoveryAmt'!M25</f>
        <v>0</v>
      </c>
      <c r="N26" s="25">
        <f>+L26+M26</f>
        <v>400.443509835338</v>
      </c>
      <c r="O26" s="25"/>
    </row>
    <row r="27" spans="10:15" ht="12.75">
      <c r="J27" s="29"/>
      <c r="K27" s="3"/>
      <c r="L27" s="2"/>
      <c r="M27" s="25"/>
      <c r="N27" s="25"/>
      <c r="O27" s="25"/>
    </row>
    <row r="28" spans="10:15" ht="12.75">
      <c r="J28" s="29"/>
      <c r="K28" s="3"/>
      <c r="L28" s="2"/>
      <c r="M28" s="25"/>
      <c r="N28" s="25"/>
      <c r="O28" s="25"/>
    </row>
    <row r="29" spans="1:15" ht="12.75">
      <c r="A29" t="s">
        <v>28</v>
      </c>
      <c r="B29" t="s">
        <v>33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36</v>
      </c>
      <c r="B30" t="s">
        <v>34</v>
      </c>
      <c r="J30" s="29"/>
      <c r="K30" s="3"/>
      <c r="L30" s="2"/>
      <c r="M30" s="25"/>
      <c r="N30" s="25"/>
      <c r="O30" s="25"/>
    </row>
    <row r="31" spans="1:15" ht="12.75">
      <c r="A31" t="s">
        <v>28</v>
      </c>
      <c r="B31" t="s">
        <v>26</v>
      </c>
      <c r="C31" s="2">
        <v>7617.11</v>
      </c>
      <c r="F31" s="2">
        <f>+'[1]PILRecoveryAmt'!J28</f>
        <v>7063.666666666667</v>
      </c>
      <c r="H31" s="2">
        <f>+C31-F31</f>
        <v>553.4433333333327</v>
      </c>
      <c r="J31" s="29"/>
      <c r="K31" s="3">
        <f>+'2002PILRecoveryAmt'!H30</f>
        <v>0.10038318153933272</v>
      </c>
      <c r="L31" s="2">
        <f>+K31*C31</f>
        <v>764.6297359350666</v>
      </c>
      <c r="M31" s="25">
        <f>+'2002PILRecoveryAmt'!M30</f>
        <v>1646.6516666666666</v>
      </c>
      <c r="N31" s="25">
        <f>+L31+M31</f>
        <v>2411.281402601733</v>
      </c>
      <c r="O31" s="25"/>
    </row>
    <row r="32" spans="10:15" ht="12.75">
      <c r="J32" s="29"/>
      <c r="K32" s="3"/>
      <c r="L32" s="2"/>
      <c r="M32" s="25"/>
      <c r="N32" s="25"/>
      <c r="O32" s="25"/>
    </row>
    <row r="33" spans="1:15" ht="12.75">
      <c r="A33" t="s">
        <v>31</v>
      </c>
      <c r="B33" t="s">
        <v>33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37</v>
      </c>
      <c r="B34" t="s">
        <v>34</v>
      </c>
      <c r="J34" s="29"/>
      <c r="K34" s="3"/>
      <c r="L34" s="2"/>
      <c r="M34" s="25"/>
      <c r="N34" s="25"/>
      <c r="O34" s="25"/>
    </row>
    <row r="35" spans="1:15" ht="12.75">
      <c r="A35" t="s">
        <v>31</v>
      </c>
      <c r="B35" t="s">
        <v>26</v>
      </c>
      <c r="C35" s="2">
        <v>3686.8</v>
      </c>
      <c r="F35" s="2">
        <f>+'[1]PILRecoveryAmt'!J32</f>
        <v>3274.5</v>
      </c>
      <c r="H35" s="2">
        <f>+C35-F35</f>
        <v>412.3000000000002</v>
      </c>
      <c r="J35" s="29"/>
      <c r="K35" s="3">
        <f>+'2002PILRecoveryAmt'!H34</f>
        <v>0.49355499567363975</v>
      </c>
      <c r="L35" s="2">
        <f>+K35*C35</f>
        <v>1819.638558049575</v>
      </c>
      <c r="M35" s="25">
        <f>+'2002PILRecoveryAmt'!M34</f>
        <v>692.6341666666667</v>
      </c>
      <c r="N35" s="25">
        <f>+L35+M35</f>
        <v>2512.272724716242</v>
      </c>
      <c r="O35" s="25"/>
    </row>
    <row r="36" spans="10:15" ht="12.75"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33</v>
      </c>
      <c r="D37" s="2">
        <v>0</v>
      </c>
      <c r="J37" s="29"/>
      <c r="K37" s="3"/>
      <c r="L37" s="2"/>
      <c r="M37" s="25"/>
      <c r="N37" s="25"/>
      <c r="O37" s="25"/>
    </row>
    <row r="38" spans="1:15" ht="12.75">
      <c r="A38" t="s">
        <v>32</v>
      </c>
      <c r="B38" t="s">
        <v>26</v>
      </c>
      <c r="C38" s="2">
        <v>1090.72</v>
      </c>
      <c r="F38" s="2">
        <f>+'[1]PILRecoveryAmt'!J35</f>
        <v>1905.8333333333333</v>
      </c>
      <c r="H38" s="2">
        <f>+C38-F38</f>
        <v>-815.1133333333332</v>
      </c>
      <c r="J38" s="29"/>
      <c r="K38" s="3">
        <f>+'2002PILRecoveryAmt'!H37</f>
        <v>0.7029287275907302</v>
      </c>
      <c r="L38" s="2">
        <f>+K38*C38</f>
        <v>766.6984217577613</v>
      </c>
      <c r="M38" s="25">
        <f>+'2002PILRecoveryAmt'!M37</f>
        <v>574.1416666666668</v>
      </c>
      <c r="N38" s="25">
        <f>+L38+M38</f>
        <v>1340.840088424428</v>
      </c>
      <c r="O38" s="25"/>
    </row>
    <row r="39" spans="10:15" ht="12.75">
      <c r="J39" s="29"/>
      <c r="K39" s="3"/>
      <c r="L39" s="2"/>
      <c r="M39" s="25"/>
      <c r="N39" s="25"/>
      <c r="O39" s="25"/>
    </row>
    <row r="40" spans="2:15" ht="12.75">
      <c r="B40" t="s">
        <v>21</v>
      </c>
      <c r="J40" s="29"/>
      <c r="K40" s="3"/>
      <c r="L40" s="2"/>
      <c r="M40" s="25"/>
      <c r="N40" s="25"/>
      <c r="O40" s="25"/>
    </row>
    <row r="41" spans="2:15" ht="12.75">
      <c r="B41" t="s">
        <v>22</v>
      </c>
      <c r="J41" s="29"/>
      <c r="K41" s="3"/>
      <c r="L41" s="2"/>
      <c r="M41" s="25"/>
      <c r="N41" s="25"/>
      <c r="O41" s="25"/>
    </row>
    <row r="42" spans="1:15" ht="12.75">
      <c r="A42" t="s">
        <v>38</v>
      </c>
      <c r="B42" t="s">
        <v>35</v>
      </c>
      <c r="C42" s="2">
        <v>870.64</v>
      </c>
      <c r="D42" s="2">
        <v>0</v>
      </c>
      <c r="F42" s="2">
        <f>+'[1]PILRecoveryAmt'!J39</f>
        <v>883.3333333333334</v>
      </c>
      <c r="H42" s="2">
        <f>+C42-F42</f>
        <v>-12.693333333333385</v>
      </c>
      <c r="J42" s="29"/>
      <c r="K42" s="3">
        <f>+'2002PILRecoveryAmt'!H41</f>
        <v>0.1926320754716981</v>
      </c>
      <c r="L42" s="2">
        <f>+K42*C42</f>
        <v>167.71319018867925</v>
      </c>
      <c r="M42" s="25">
        <f>+'2002PILRecoveryAmt'!M41</f>
        <v>397.0366666666667</v>
      </c>
      <c r="N42" s="25">
        <f>+L42+M42</f>
        <v>564.7498568553459</v>
      </c>
      <c r="O42" s="25"/>
    </row>
    <row r="43" spans="10:15" ht="12.75">
      <c r="J43" s="29"/>
      <c r="K43" s="3"/>
      <c r="L43" s="2"/>
      <c r="M43" s="25"/>
      <c r="N43" s="25"/>
      <c r="O43" s="25"/>
    </row>
    <row r="44" spans="2:15" ht="12.75">
      <c r="B44" t="s">
        <v>23</v>
      </c>
      <c r="D44" s="2">
        <v>152</v>
      </c>
      <c r="F44" s="2">
        <f>+'[1]PILRecoveryAmt'!J41</f>
        <v>44.416666666666664</v>
      </c>
      <c r="H44" s="2">
        <f>+C44-F44</f>
        <v>-44.416666666666664</v>
      </c>
      <c r="J44" s="29"/>
      <c r="K44" s="3">
        <f>+'2002PILRecoveryAmt'!H43</f>
        <v>0.4836585365853659</v>
      </c>
      <c r="L44" s="2">
        <f>+K44*C44</f>
        <v>0</v>
      </c>
      <c r="M44" s="25">
        <f>+'2002PILRecoveryAmt'!M43</f>
        <v>49.88750000000001</v>
      </c>
      <c r="N44" s="25">
        <f>+L44+M44</f>
        <v>49.88750000000001</v>
      </c>
      <c r="O44" s="25"/>
    </row>
    <row r="45" spans="10:15" ht="12.75">
      <c r="J45" s="29"/>
      <c r="K45" s="3"/>
      <c r="L45" s="2"/>
      <c r="M45" s="25"/>
      <c r="N45" s="25"/>
      <c r="O45" s="25"/>
    </row>
    <row r="46" spans="1:15" ht="13.5" thickBot="1">
      <c r="A46" s="13"/>
      <c r="B46" s="13" t="s">
        <v>24</v>
      </c>
      <c r="C46" s="14">
        <f>SUM(C9:C45)</f>
        <v>82857.27</v>
      </c>
      <c r="D46" s="14">
        <f>SUM(D9:D45)</f>
        <v>16099966</v>
      </c>
      <c r="E46" s="14"/>
      <c r="F46" s="14">
        <f>SUM(F9:F44)</f>
        <v>83958.16666666667</v>
      </c>
      <c r="G46" s="14">
        <f>SUM(G9:G44)</f>
        <v>17323868.083333332</v>
      </c>
      <c r="H46" s="14">
        <f>SUM(H9:H45)</f>
        <v>-1100.8966666666731</v>
      </c>
      <c r="I46" s="14">
        <f>SUM(I9:I44)</f>
        <v>-1224054.0833333328</v>
      </c>
      <c r="J46" s="29"/>
      <c r="K46" s="15"/>
      <c r="L46" s="14">
        <f>SUM(L9:L44)</f>
        <v>54073.41473955178</v>
      </c>
      <c r="M46" s="14">
        <f>SUM(M9:M44)</f>
        <v>44980.35666666667</v>
      </c>
      <c r="N46" s="14">
        <f>SUM(N9:N44)</f>
        <v>99053.77140621844</v>
      </c>
      <c r="O46" s="25"/>
    </row>
    <row r="47" spans="7:15" ht="12.75">
      <c r="G47" s="2" t="s">
        <v>143</v>
      </c>
      <c r="H47" s="2">
        <f>+C46-F46</f>
        <v>-1100.8966666666674</v>
      </c>
      <c r="I47" s="2">
        <f>+D46-G46</f>
        <v>-1223902.083333332</v>
      </c>
      <c r="J47" s="29"/>
      <c r="K47" s="3"/>
      <c r="L47" s="2"/>
      <c r="M47" s="25"/>
      <c r="N47" s="25"/>
      <c r="O47" s="25"/>
    </row>
    <row r="48" spans="7:15" ht="12.75">
      <c r="G48" s="2" t="s">
        <v>144</v>
      </c>
      <c r="I48" s="2">
        <f>+I47-I46</f>
        <v>152.0000000006985</v>
      </c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  <row r="56" spans="8:15" ht="12.75">
      <c r="H56" s="25"/>
      <c r="I56" s="25"/>
      <c r="J56" s="29"/>
      <c r="K56" s="25"/>
      <c r="L56" s="30"/>
      <c r="M56" s="25"/>
      <c r="N56" s="25"/>
      <c r="O56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80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6294716</v>
      </c>
      <c r="G9" s="2">
        <f>+'[1]PILRecoveryAmt'!K9</f>
        <v>10449948.666666666</v>
      </c>
      <c r="I9" s="2">
        <f>+D9-G9</f>
        <v>-4155232.666666666</v>
      </c>
      <c r="J9" s="29"/>
      <c r="K9" s="3">
        <f>+'2002PILRecoveryAmt'!I9</f>
        <v>0.0023162344242456567</v>
      </c>
      <c r="L9" s="2">
        <f>+K9*D9</f>
        <v>14580.037890049924</v>
      </c>
      <c r="M9" s="25">
        <f>+'2002PILRecoveryAmt'!M9</f>
        <v>24204.53</v>
      </c>
      <c r="N9" s="25">
        <f>+L9+M9</f>
        <v>38784.56789004992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1237+1237</f>
        <v>2474</v>
      </c>
      <c r="G10" s="2">
        <f>+'[1]PILRecoveryAmt'!K10</f>
        <v>640442.5</v>
      </c>
      <c r="I10" s="2">
        <f>+D10-G10</f>
        <v>-637968.5</v>
      </c>
      <c r="J10" s="29"/>
      <c r="K10" s="3">
        <f>+'2002PILRecoveryAmt'!I10</f>
        <v>0.002909445422500849</v>
      </c>
      <c r="L10" s="2">
        <f>+K10*D10</f>
        <v>7.1979679752671</v>
      </c>
      <c r="M10" s="25">
        <f>+'2002PILRecoveryAmt'!M10</f>
        <v>140.2508333333332</v>
      </c>
      <c r="N10" s="25">
        <f aca="true" t="shared" si="0" ref="N10:N16">+L10+M10</f>
        <v>147.44880130860028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1104</v>
      </c>
      <c r="G11" s="2">
        <f>+'[1]PILRecoveryAmt'!K11</f>
        <v>341661.4166666667</v>
      </c>
      <c r="I11" s="2">
        <f>+D11-G11</f>
        <v>-340557.4166666667</v>
      </c>
      <c r="J11" s="29"/>
      <c r="K11" s="3">
        <f>+'2002PILRecoveryAmt'!I11</f>
        <v>6.004970320275653E-05</v>
      </c>
      <c r="L11" s="2">
        <f>+K11*D11</f>
        <v>0.0662948723358432</v>
      </c>
      <c r="M11" s="25">
        <f>+'2002PILRecoveryAmt'!M11</f>
        <v>492.40000000000003</v>
      </c>
      <c r="N11" s="25">
        <f t="shared" si="0"/>
        <v>492.4662948723359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+'2002PILRecoveryAmt'!I10</f>
        <v>0.002909445422500849</v>
      </c>
      <c r="L12" s="2">
        <f>+K12*D12</f>
        <v>0</v>
      </c>
      <c r="M12" s="25"/>
      <c r="N12" s="25">
        <f t="shared" si="0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+'2002PILRecoveryAmt'!I11</f>
        <v>6.004970320275653E-05</v>
      </c>
      <c r="L13" s="2">
        <f>+K13*D13</f>
        <v>0</v>
      </c>
      <c r="N13" s="25">
        <f t="shared" si="0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v>2021508</v>
      </c>
      <c r="G15" s="2">
        <f>+'[1]PILRecoveryAmt'!K13</f>
        <v>5891815.5</v>
      </c>
      <c r="I15" s="2">
        <f>+D15-G15</f>
        <v>-3870307.5</v>
      </c>
      <c r="J15" s="29"/>
      <c r="K15" s="3">
        <f>+'2002PILRecoveryAmt'!I15</f>
        <v>0.0015111027039684684</v>
      </c>
      <c r="L15" s="2">
        <f>+K15*D15</f>
        <v>3054.7062048938906</v>
      </c>
      <c r="M15" s="25">
        <f>+'2002PILRecoveryAmt'!M15</f>
        <v>8903.139166666666</v>
      </c>
      <c r="N15" s="25">
        <f t="shared" si="0"/>
        <v>11957.845371560557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11932</v>
      </c>
      <c r="G16" s="2">
        <f>+'[1]PILRecoveryAmt'!K16</f>
        <v>0</v>
      </c>
      <c r="I16" s="2">
        <f>+D16-G16</f>
        <v>11932</v>
      </c>
      <c r="J16" s="29"/>
      <c r="K16" s="3">
        <f>+'2002PILRecoveryAmt'!I15</f>
        <v>0.0015111027039684684</v>
      </c>
      <c r="L16" s="2">
        <f>+K16*D16</f>
        <v>18.030477463751765</v>
      </c>
      <c r="M16" s="25">
        <f>+'2002PILRecoveryAmt'!M16</f>
        <v>0</v>
      </c>
      <c r="N16" s="25">
        <f t="shared" si="0"/>
        <v>18.030477463751765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5294.93</v>
      </c>
      <c r="F22" s="2">
        <f>+'[1]PILRecoveryAmt'!J20</f>
        <v>70786.41666666667</v>
      </c>
      <c r="H22" s="2">
        <f>+C22-F22</f>
        <v>-65491.48666666667</v>
      </c>
      <c r="J22" s="29"/>
      <c r="K22" s="3">
        <f>+'2002PILRecoveryAmt'!H22</f>
        <v>0.259738155978607</v>
      </c>
      <c r="L22" s="2">
        <f>+K22*C22</f>
        <v>1375.2953542358057</v>
      </c>
      <c r="M22" s="25">
        <f>+'2002PILRecoveryAmt'!M22</f>
        <v>7879.684999999998</v>
      </c>
      <c r="N22" s="25">
        <f>+L22+M22</f>
        <v>9254.980354235804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18033.09</v>
      </c>
      <c r="H23" s="2">
        <f>+C23-F23</f>
        <v>18033.09</v>
      </c>
      <c r="J23" s="29"/>
      <c r="K23" s="3">
        <f>+'2002PILRecoveryAmt'!H22</f>
        <v>0.259738155978607</v>
      </c>
      <c r="L23" s="2">
        <f>+K23*C23</f>
        <v>4683.8815431962585</v>
      </c>
      <c r="M23" s="25">
        <f>+'2002PILRecoveryAmt'!M23</f>
        <v>0</v>
      </c>
      <c r="N23" s="25">
        <f>+L23+M23</f>
        <v>4683.8815431962585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34874.51</v>
      </c>
      <c r="H24" s="2">
        <f>+C24-F24</f>
        <v>34874.51</v>
      </c>
      <c r="J24" s="29"/>
      <c r="K24" s="3">
        <f>+'2002PILRecoveryAmt'!H22</f>
        <v>0.259738155978607</v>
      </c>
      <c r="L24" s="2">
        <f>+K24*C24</f>
        <v>9058.24091805749</v>
      </c>
      <c r="M24" s="25">
        <f>+'2002PILRecoveryAmt'!M24</f>
        <v>0</v>
      </c>
      <c r="N24" s="25">
        <f>+L24+M24</f>
        <v>9058.24091805749</v>
      </c>
      <c r="O24" s="25"/>
      <c r="Q24" s="23"/>
      <c r="R24" s="23"/>
    </row>
    <row r="25" spans="1:15" ht="12.75">
      <c r="A25" t="s">
        <v>130</v>
      </c>
      <c r="C25" s="2">
        <v>297.9</v>
      </c>
      <c r="H25" s="2">
        <f>+C25-F25</f>
        <v>297.9</v>
      </c>
      <c r="J25" s="29"/>
      <c r="K25" s="3">
        <v>0.029574</v>
      </c>
      <c r="L25" s="2">
        <f>+K25*C25</f>
        <v>8.8100946</v>
      </c>
      <c r="M25" s="25">
        <f>+'2002PILRecoveryAmt'!M25</f>
        <v>0</v>
      </c>
      <c r="N25" s="25">
        <f>+L25+M25</f>
        <v>8.8100946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7529.99</v>
      </c>
      <c r="F30" s="2">
        <f>+'[1]PILRecoveryAmt'!J28</f>
        <v>7063.666666666667</v>
      </c>
      <c r="H30" s="2">
        <f>+C30-F30</f>
        <v>466.3233333333328</v>
      </c>
      <c r="J30" s="29"/>
      <c r="K30" s="3">
        <f>+'2002PILRecoveryAmt'!H30</f>
        <v>0.10038318153933272</v>
      </c>
      <c r="L30" s="2">
        <f>+K30*C30</f>
        <v>755.88435315936</v>
      </c>
      <c r="M30" s="25">
        <f>+'2002PILRecoveryAmt'!M30</f>
        <v>1646.6516666666666</v>
      </c>
      <c r="N30" s="25">
        <f>+L30+M30</f>
        <v>2402.536019826027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3754.58</v>
      </c>
      <c r="F34" s="2">
        <f>+'[1]PILRecoveryAmt'!J32</f>
        <v>3274.5</v>
      </c>
      <c r="H34" s="2">
        <f>+C34-F34</f>
        <v>480.0799999999999</v>
      </c>
      <c r="J34" s="29"/>
      <c r="K34" s="3">
        <f>+'2002PILRecoveryAmt'!H34</f>
        <v>0.49355499567363975</v>
      </c>
      <c r="L34" s="2">
        <f>+K34*C34</f>
        <v>1853.0917156563344</v>
      </c>
      <c r="M34" s="25">
        <f>+'2002PILRecoveryAmt'!M34</f>
        <v>692.6341666666667</v>
      </c>
      <c r="N34" s="25">
        <f>+L34+M34</f>
        <v>2545.7258823230013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1334.03</v>
      </c>
      <c r="F37" s="2">
        <f>+'[1]PILRecoveryAmt'!J35</f>
        <v>1905.8333333333333</v>
      </c>
      <c r="H37" s="2">
        <f>+C37-F37</f>
        <v>-571.8033333333333</v>
      </c>
      <c r="J37" s="29"/>
      <c r="K37" s="3">
        <f>+'2002PILRecoveryAmt'!H37</f>
        <v>0.7029287275907302</v>
      </c>
      <c r="L37" s="2">
        <f>+K37*C37</f>
        <v>937.7280104678618</v>
      </c>
      <c r="M37" s="25">
        <f>+'2002PILRecoveryAmt'!M37</f>
        <v>574.1416666666668</v>
      </c>
      <c r="N37" s="25">
        <f>+L37+M37</f>
        <v>1511.8696771345285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0</v>
      </c>
      <c r="F41" s="2">
        <f>+'[1]PILRecoveryAmt'!J39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D43" s="2">
        <v>0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71119.03</v>
      </c>
      <c r="D45" s="14">
        <f>SUM(D9:D44)</f>
        <v>8331734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-12839.136666666667</v>
      </c>
      <c r="I45" s="14">
        <f>SUM(I9:I43)</f>
        <v>-8992134.083333332</v>
      </c>
      <c r="J45" s="29"/>
      <c r="K45" s="15"/>
      <c r="L45" s="14">
        <f>SUM(L9:L43)</f>
        <v>36332.97082462828</v>
      </c>
      <c r="M45" s="14">
        <f>SUM(M9:M43)</f>
        <v>44980.35666666667</v>
      </c>
      <c r="N45" s="14">
        <f>SUM(N9:N43)</f>
        <v>81313.32749129496</v>
      </c>
      <c r="O45" s="25"/>
    </row>
    <row r="46" spans="7:15" ht="12.75">
      <c r="G46" s="2" t="s">
        <v>143</v>
      </c>
      <c r="H46" s="2">
        <f>+C45-F45</f>
        <v>-12839.136666666673</v>
      </c>
      <c r="I46" s="2">
        <f>+D45-G45</f>
        <v>-8992134.083333332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0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9419276-1022-469+9</f>
        <v>9417794</v>
      </c>
      <c r="G9" s="2">
        <f>+'2002PILRecoveryAmt'!K9</f>
        <v>10449948.666666666</v>
      </c>
      <c r="I9" s="2">
        <f>+D9-G9</f>
        <v>-1032154.666666666</v>
      </c>
      <c r="J9" s="29"/>
      <c r="K9" s="3">
        <f>+'2002PILRecoveryAmt'!I9</f>
        <v>0.0023162344242456567</v>
      </c>
      <c r="L9" s="2">
        <f>+K9*D9</f>
        <v>21813.818663254202</v>
      </c>
      <c r="M9" s="25">
        <f>+'2002PILRecoveryAmt'!M9</f>
        <v>24204.53</v>
      </c>
      <c r="N9" s="25">
        <f>+L9+M9</f>
        <v>46018.348663254204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553760</v>
      </c>
      <c r="G10" s="2">
        <f>+'2002PILRecoveryAmt'!K10</f>
        <v>640442.5</v>
      </c>
      <c r="I10" s="2">
        <f aca="true" t="shared" si="0" ref="I10:I16">+D10-G10</f>
        <v>-86682.5</v>
      </c>
      <c r="J10" s="29"/>
      <c r="K10" s="3">
        <f>+'2002PILRecoveryAmt'!I10</f>
        <v>0.002909445422500849</v>
      </c>
      <c r="L10" s="2">
        <f aca="true" t="shared" si="1" ref="L10:L16">+K10*D10</f>
        <v>1611.1344971640701</v>
      </c>
      <c r="M10" s="25">
        <f>+'2002PILRecoveryAmt'!M10</f>
        <v>140.2508333333332</v>
      </c>
      <c r="N10" s="25">
        <f aca="true" t="shared" si="2" ref="N10:N16">+L10+M10</f>
        <v>1751.3853304974034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300032</v>
      </c>
      <c r="G11" s="2">
        <f>+'2002PILRecoveryAmt'!K11</f>
        <v>341661.4166666667</v>
      </c>
      <c r="I11" s="2">
        <f t="shared" si="0"/>
        <v>-41629.416666666686</v>
      </c>
      <c r="J11" s="29"/>
      <c r="K11" s="3">
        <f>+'2002PILRecoveryAmt'!I11</f>
        <v>6.004970320275653E-05</v>
      </c>
      <c r="L11" s="2">
        <f t="shared" si="1"/>
        <v>18.016832551329447</v>
      </c>
      <c r="M11" s="25">
        <f>+'2002PILRecoveryAmt'!M11</f>
        <v>492.40000000000003</v>
      </c>
      <c r="N11" s="25">
        <f t="shared" si="2"/>
        <v>510.4168325513295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+'2002PILRecoveryAmt'!I11</f>
        <v>6.004970320275653E-05</v>
      </c>
      <c r="L13" s="2">
        <f t="shared" si="1"/>
        <v>0</v>
      </c>
      <c r="N13" s="25">
        <f t="shared" si="2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f>6296511-1334</f>
        <v>6295177</v>
      </c>
      <c r="G15" s="2">
        <f>+'2002PILRecoveryAmt'!K15</f>
        <v>5891815.5</v>
      </c>
      <c r="I15" s="2">
        <f t="shared" si="0"/>
        <v>403361.5</v>
      </c>
      <c r="J15" s="29"/>
      <c r="K15" s="3">
        <f>+'2002PILRecoveryAmt'!I15</f>
        <v>0.0015111027039684684</v>
      </c>
      <c r="L15" s="2">
        <f t="shared" si="1"/>
        <v>9512.658986660112</v>
      </c>
      <c r="M15" s="25">
        <f>+'2002PILRecoveryAmt'!M15</f>
        <v>8903.139166666666</v>
      </c>
      <c r="N15" s="25">
        <f t="shared" si="2"/>
        <v>18415.798153326778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115294</v>
      </c>
      <c r="G16" s="2">
        <f>+'2002PILRecoveryAmt'!K18</f>
        <v>0</v>
      </c>
      <c r="I16" s="2">
        <f t="shared" si="0"/>
        <v>115294</v>
      </c>
      <c r="J16" s="29"/>
      <c r="K16" s="3">
        <f>+'2002PILRecoveryAmt'!I15</f>
        <v>0.0015111027039684684</v>
      </c>
      <c r="L16" s="2">
        <f t="shared" si="1"/>
        <v>174.22107515134059</v>
      </c>
      <c r="M16" s="25">
        <f>+'2002PILRecoveryAmt'!M16</f>
        <v>0</v>
      </c>
      <c r="N16" s="25">
        <f t="shared" si="2"/>
        <v>174.22107515134059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15131.51</v>
      </c>
      <c r="F22" s="2">
        <f>+'2002PILRecoveryAmt'!J22</f>
        <v>70786.41666666667</v>
      </c>
      <c r="H22" s="2">
        <f>+C22-F22</f>
        <v>-55654.90666666667</v>
      </c>
      <c r="J22" s="29"/>
      <c r="K22" s="3">
        <f>+'2002PILRecoveryAmt'!H22</f>
        <v>0.259738155978607</v>
      </c>
      <c r="L22" s="2">
        <f>+K22*C22</f>
        <v>3930.2305045718517</v>
      </c>
      <c r="M22" s="25">
        <f>+'2002PILRecoveryAmt'!M22</f>
        <v>7879.684999999998</v>
      </c>
      <c r="N22" s="25">
        <f>+L22+M22</f>
        <v>11809.915504571849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217.92</v>
      </c>
      <c r="H23" s="2">
        <f>+C23-F23</f>
        <v>217.92</v>
      </c>
      <c r="J23" s="29"/>
      <c r="K23" s="3">
        <f>+'2002PILRecoveryAmt'!H22</f>
        <v>0.259738155978607</v>
      </c>
      <c r="L23" s="2">
        <f>+K23*C23</f>
        <v>56.602138950858034</v>
      </c>
      <c r="M23" s="25">
        <f>+'2002PILRecoveryAmt'!M23</f>
        <v>0</v>
      </c>
      <c r="N23" s="25">
        <f>+L23+M23</f>
        <v>56.602138950858034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236.78</v>
      </c>
      <c r="H24" s="2">
        <f>+C24-F24</f>
        <v>236.78</v>
      </c>
      <c r="J24" s="29"/>
      <c r="K24" s="3">
        <f>+'2002PILRecoveryAmt'!H22</f>
        <v>0.259738155978607</v>
      </c>
      <c r="L24" s="2">
        <f>+K24*C24</f>
        <v>61.500800572614565</v>
      </c>
      <c r="M24" s="25">
        <f>+'2002PILRecoveryAmt'!M24</f>
        <v>0</v>
      </c>
      <c r="N24" s="25">
        <f>+L24+M24</f>
        <v>61.500800572614565</v>
      </c>
      <c r="O24" s="25"/>
      <c r="Q24" s="23"/>
      <c r="R24" s="23"/>
    </row>
    <row r="25" spans="10:15" ht="12.75">
      <c r="J25" s="29"/>
      <c r="K25" s="3"/>
      <c r="L25" s="2"/>
      <c r="M25" s="25">
        <f>+'2002PILRecoveryAmt'!M25</f>
        <v>0</v>
      </c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0</v>
      </c>
      <c r="F30" s="2">
        <f>+'2002PILRecoveryAmt'!J30</f>
        <v>7063.666666666667</v>
      </c>
      <c r="H30" s="2">
        <f>+C30-F30</f>
        <v>-7063.666666666667</v>
      </c>
      <c r="J30" s="29"/>
      <c r="K30" s="3">
        <f>+'2002PILRecoveryAmt'!H30</f>
        <v>0.10038318153933272</v>
      </c>
      <c r="L30" s="2">
        <f>+K30*C30</f>
        <v>0</v>
      </c>
      <c r="M30" s="25">
        <f>+'2002PILRecoveryAmt'!M30</f>
        <v>1646.6516666666666</v>
      </c>
      <c r="N30" s="25">
        <f>+L30+M30</f>
        <v>1646.6516666666666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0</v>
      </c>
      <c r="F34" s="2">
        <f>+'2002PILRecoveryAmt'!J34</f>
        <v>3274.5</v>
      </c>
      <c r="H34" s="2">
        <f>+C34-F34</f>
        <v>-3274.5</v>
      </c>
      <c r="J34" s="29"/>
      <c r="K34" s="3">
        <f>+'2002PILRecoveryAmt'!H34</f>
        <v>0.49355499567363975</v>
      </c>
      <c r="L34" s="2">
        <f>+K34*C34</f>
        <v>0</v>
      </c>
      <c r="M34" s="25">
        <f>+'2002PILRecoveryAmt'!M34</f>
        <v>692.6341666666667</v>
      </c>
      <c r="N34" s="25">
        <f>+L34+M34</f>
        <v>692.6341666666667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0</v>
      </c>
      <c r="F37" s="2">
        <f>+'2002PILRecoveryAmt'!J37</f>
        <v>1905.8333333333333</v>
      </c>
      <c r="H37" s="2">
        <f>+C37-F37</f>
        <v>-1905.8333333333333</v>
      </c>
      <c r="J37" s="29"/>
      <c r="K37" s="3">
        <f>+'2002PILRecoveryAmt'!H37</f>
        <v>0.7029287275907302</v>
      </c>
      <c r="L37" s="2">
        <f>+K37*C37</f>
        <v>0</v>
      </c>
      <c r="M37" s="25">
        <f>+'2002PILRecoveryAmt'!M37</f>
        <v>574.1416666666668</v>
      </c>
      <c r="N37" s="25">
        <f>+L37+M37</f>
        <v>574.1416666666668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313435</v>
      </c>
      <c r="F41" s="2">
        <f>+'2002PILRecoveryAmt'!J41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15586.210000000001</v>
      </c>
      <c r="D45" s="14">
        <f>SUM(D9:D43)</f>
        <v>16995492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-68371.95666666667</v>
      </c>
      <c r="I45" s="14">
        <f>SUM(I9:I43)</f>
        <v>-641811.0833333328</v>
      </c>
      <c r="J45" s="29"/>
      <c r="K45" s="15"/>
      <c r="L45" s="14">
        <f>SUM(L9:L43)</f>
        <v>37178.18349887638</v>
      </c>
      <c r="M45" s="14">
        <f>SUM(M9:M43)</f>
        <v>44980.35666666667</v>
      </c>
      <c r="N45" s="14">
        <f>SUM(N9:N43)</f>
        <v>82158.54016554303</v>
      </c>
      <c r="O45" s="25"/>
    </row>
    <row r="46" spans="7:15" ht="12.75">
      <c r="G46" s="2" t="s">
        <v>143</v>
      </c>
      <c r="H46" s="2">
        <f>+C45-F45</f>
        <v>-68371.95666666667</v>
      </c>
      <c r="I46" s="2">
        <f>+D45-G45</f>
        <v>-328376.0833333321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G47" s="2" t="s">
        <v>144</v>
      </c>
      <c r="I47" s="2">
        <f>+I46-I45</f>
        <v>313435.0000000007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22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3.421875" style="2" customWidth="1"/>
    <col min="6" max="6" width="13.28125" style="2" hidden="1" customWidth="1"/>
    <col min="7" max="7" width="13.7109375" style="19" hidden="1" customWidth="1"/>
    <col min="8" max="8" width="12.28125" style="2" hidden="1" customWidth="1"/>
    <col min="9" max="9" width="14.28125" style="2" hidden="1" customWidth="1"/>
    <col min="10" max="10" width="4.28125" style="3" hidden="1" customWidth="1"/>
    <col min="11" max="11" width="13.57421875" style="2" bestFit="1" customWidth="1"/>
    <col min="12" max="12" width="11.71093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25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10426434-2973-2779</f>
        <v>10420682</v>
      </c>
      <c r="G9" s="2">
        <f>+'2002PILRecoveryAmt'!K9</f>
        <v>10449948.666666666</v>
      </c>
      <c r="I9" s="2">
        <f>+D9-G9</f>
        <v>-29266.666666666046</v>
      </c>
      <c r="J9" s="29"/>
      <c r="K9" s="3">
        <f>+'2002PILRecoveryAmt'!I9</f>
        <v>0.0023162344242456567</v>
      </c>
      <c r="L9" s="2">
        <f>+K9*D9</f>
        <v>24136.742372517077</v>
      </c>
      <c r="M9" s="25">
        <f>+'2002PILRecoveryAmt'!M9</f>
        <v>24204.53</v>
      </c>
      <c r="N9" s="25">
        <f>+L9+M9</f>
        <v>48341.27237251708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705354-272+70</f>
        <v>705152</v>
      </c>
      <c r="G10" s="2">
        <f>+'2002PILRecoveryAmt'!K10</f>
        <v>640442.5</v>
      </c>
      <c r="I10" s="2">
        <f aca="true" t="shared" si="0" ref="I10:I16">+D10-G10</f>
        <v>64709.5</v>
      </c>
      <c r="J10" s="29"/>
      <c r="K10" s="3">
        <f>+'2002PILRecoveryAmt'!I10</f>
        <v>0.002909445422500849</v>
      </c>
      <c r="L10" s="2">
        <f aca="true" t="shared" si="1" ref="L10:L16">+K10*D10</f>
        <v>2051.601258567319</v>
      </c>
      <c r="M10" s="25">
        <f>+'2002PILRecoveryAmt'!M10</f>
        <v>140.2508333333332</v>
      </c>
      <c r="N10" s="25">
        <f aca="true" t="shared" si="2" ref="N10:N16">+L10+M10</f>
        <v>2191.852091900652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366057-104</f>
        <v>365953</v>
      </c>
      <c r="G11" s="2">
        <f>+'2002PILRecoveryAmt'!K11</f>
        <v>341661.4166666667</v>
      </c>
      <c r="I11" s="2">
        <f t="shared" si="0"/>
        <v>24291.583333333314</v>
      </c>
      <c r="J11" s="29"/>
      <c r="K11" s="3">
        <f>+'2002PILRecoveryAmt'!I11</f>
        <v>6.004970320275653E-05</v>
      </c>
      <c r="L11" s="2">
        <f t="shared" si="1"/>
        <v>21.97536903615836</v>
      </c>
      <c r="M11" s="25">
        <f>+'2002PILRecoveryAmt'!M11</f>
        <v>492.40000000000003</v>
      </c>
      <c r="N11" s="25">
        <f t="shared" si="2"/>
        <v>514.3753690361584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+'2002PILRecoveryAmt'!I11</f>
        <v>6.004970320275653E-05</v>
      </c>
      <c r="L13" s="2">
        <f t="shared" si="1"/>
        <v>0</v>
      </c>
      <c r="N13" s="25">
        <f t="shared" si="2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f>6041081-2985-12126</f>
        <v>6025970</v>
      </c>
      <c r="G15" s="2">
        <f>+'2002PILRecoveryAmt'!K15</f>
        <v>5891815.5</v>
      </c>
      <c r="I15" s="2">
        <f t="shared" si="0"/>
        <v>134154.5</v>
      </c>
      <c r="J15" s="29"/>
      <c r="K15" s="3">
        <f>+'2002PILRecoveryAmt'!I15</f>
        <v>0.0015111027039684684</v>
      </c>
      <c r="L15" s="2">
        <f t="shared" si="1"/>
        <v>9105.859561032872</v>
      </c>
      <c r="M15" s="25">
        <f>+'2002PILRecoveryAmt'!M15</f>
        <v>8903.139166666666</v>
      </c>
      <c r="N15" s="25">
        <f t="shared" si="2"/>
        <v>18008.998727699538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+'2002PILRecoveryAmt'!K18</f>
        <v>0</v>
      </c>
      <c r="I16" s="2">
        <f t="shared" si="0"/>
        <v>118172</v>
      </c>
      <c r="J16" s="29"/>
      <c r="K16" s="3">
        <f>+'2002PILRecoveryAmt'!I15</f>
        <v>0.0015111027039684684</v>
      </c>
      <c r="L16" s="2">
        <f t="shared" si="1"/>
        <v>178.57002873336185</v>
      </c>
      <c r="M16" s="25">
        <f>+'2002PILRecoveryAmt'!M16</f>
        <v>0</v>
      </c>
      <c r="N16" s="25">
        <f t="shared" si="2"/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20154.49</v>
      </c>
      <c r="F22" s="2">
        <f>+'2002PILRecoveryAmt'!J22</f>
        <v>70786.41666666667</v>
      </c>
      <c r="H22" s="2">
        <f>+C22-F22</f>
        <v>-50631.926666666666</v>
      </c>
      <c r="J22" s="29"/>
      <c r="K22" s="3">
        <f>+'2002PILRecoveryAmt'!H22</f>
        <v>0.259738155978607</v>
      </c>
      <c r="L22" s="2">
        <f>+K22*C22</f>
        <v>5234.890067289275</v>
      </c>
      <c r="M22" s="25">
        <f>+'2002PILRecoveryAmt'!M22</f>
        <v>7879.684999999998</v>
      </c>
      <c r="N22" s="25">
        <f>+L22+M22</f>
        <v>13114.575067289272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16456.76</v>
      </c>
      <c r="H23" s="2">
        <f>+C23-F23</f>
        <v>16456.76</v>
      </c>
      <c r="J23" s="29"/>
      <c r="K23" s="3">
        <f>+'2002PILRecoveryAmt'!H22</f>
        <v>0.259738155978607</v>
      </c>
      <c r="L23" s="2">
        <f>+K23*C23</f>
        <v>4274.4484957825</v>
      </c>
      <c r="M23" s="25">
        <f>+'2002PILRecoveryAmt'!M23</f>
        <v>0</v>
      </c>
      <c r="N23" s="25">
        <f>+L23+M23</f>
        <v>4274.4484957825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33937.02</v>
      </c>
      <c r="H24" s="2">
        <f>+C24-F24</f>
        <v>33937.02</v>
      </c>
      <c r="J24" s="29"/>
      <c r="K24" s="3">
        <f>+'2002PILRecoveryAmt'!H22</f>
        <v>0.259738155978607</v>
      </c>
      <c r="L24" s="2">
        <f>+K24*C24</f>
        <v>8814.738994209105</v>
      </c>
      <c r="M24" s="25">
        <f>+'2002PILRecoveryAmt'!M24</f>
        <v>0</v>
      </c>
      <c r="N24" s="25">
        <f>+L24+M24</f>
        <v>8814.738994209105</v>
      </c>
      <c r="O24" s="25"/>
      <c r="Q24" s="23"/>
      <c r="R24" s="23"/>
    </row>
    <row r="25" spans="10:15" ht="12.75">
      <c r="J25" s="29"/>
      <c r="K25" s="3"/>
      <c r="L25" s="2"/>
      <c r="M25" s="25">
        <f>+'2002PILRecoveryAmt'!M25</f>
        <v>0</v>
      </c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7415.15</v>
      </c>
      <c r="F30" s="2">
        <f>+'2002PILRecoveryAmt'!J30</f>
        <v>7063.666666666667</v>
      </c>
      <c r="H30" s="2">
        <f>+C30-F30</f>
        <v>351.48333333333267</v>
      </c>
      <c r="J30" s="29"/>
      <c r="K30" s="3">
        <f>+'2002PILRecoveryAmt'!H30</f>
        <v>0.10038318153933272</v>
      </c>
      <c r="L30" s="2">
        <f>+K30*C30</f>
        <v>744.3563485913829</v>
      </c>
      <c r="M30" s="25">
        <f>+'2002PILRecoveryAmt'!M30</f>
        <v>1646.6516666666666</v>
      </c>
      <c r="N30" s="25">
        <f>+L30+M30</f>
        <v>2391.0080152580495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3737.31</v>
      </c>
      <c r="F34" s="2">
        <f>+'2002PILRecoveryAmt'!J34</f>
        <v>3274.5</v>
      </c>
      <c r="H34" s="2">
        <f>+C34-F34</f>
        <v>462.80999999999995</v>
      </c>
      <c r="J34" s="29"/>
      <c r="K34" s="3">
        <f>+'2002PILRecoveryAmt'!H34</f>
        <v>0.49355499567363975</v>
      </c>
      <c r="L34" s="2">
        <f>+K34*C34</f>
        <v>1844.5680208810506</v>
      </c>
      <c r="M34" s="25">
        <f>+'2002PILRecoveryAmt'!M34</f>
        <v>692.6341666666667</v>
      </c>
      <c r="N34" s="25">
        <f>+L34+M34</f>
        <v>2537.2021875477176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1292.94</v>
      </c>
      <c r="F37" s="2">
        <f>+'2002PILRecoveryAmt'!J37</f>
        <v>1905.8333333333333</v>
      </c>
      <c r="H37" s="2">
        <f>+C37-F37</f>
        <v>-612.8933333333332</v>
      </c>
      <c r="J37" s="29"/>
      <c r="K37" s="3">
        <f>+'2002PILRecoveryAmt'!H37</f>
        <v>0.7029287275907302</v>
      </c>
      <c r="L37" s="2">
        <f>+K37*C37</f>
        <v>908.8446690511588</v>
      </c>
      <c r="M37" s="25">
        <f>+'2002PILRecoveryAmt'!M37</f>
        <v>574.1416666666668</v>
      </c>
      <c r="N37" s="25">
        <f>+L37+M37</f>
        <v>1482.9863357178256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D40" s="2">
        <v>0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f>246412+65251</f>
        <v>311663</v>
      </c>
      <c r="F41" s="2">
        <f>+'2002PILRecoveryAmt'!J41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82993.66999999998</v>
      </c>
      <c r="D45" s="14">
        <f>SUM(D9:D43)</f>
        <v>17947592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-964.4966666666753</v>
      </c>
      <c r="I45" s="14">
        <f>SUM(I9:I43)</f>
        <v>312060.91666666727</v>
      </c>
      <c r="J45" s="29"/>
      <c r="K45" s="15"/>
      <c r="L45" s="14">
        <f>SUM(L9:L43)</f>
        <v>57316.59518569126</v>
      </c>
      <c r="M45" s="14">
        <f>SUM(M9:M43)</f>
        <v>44980.35666666667</v>
      </c>
      <c r="N45" s="14">
        <f>SUM(N9:N43)</f>
        <v>102296.95185235793</v>
      </c>
      <c r="O45" s="25"/>
    </row>
    <row r="46" spans="7:15" ht="12.75">
      <c r="G46" s="2" t="s">
        <v>143</v>
      </c>
      <c r="H46" s="2">
        <f>+C45-F45</f>
        <v>-964.4966666666878</v>
      </c>
      <c r="I46" s="2">
        <f>+D45-G45</f>
        <v>623723.9166666679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G47" s="2" t="s">
        <v>144</v>
      </c>
      <c r="I47" s="2">
        <f>+I46-I45</f>
        <v>311663.00000000064</v>
      </c>
      <c r="J47" s="29"/>
      <c r="K47" s="25"/>
      <c r="L47" s="30"/>
      <c r="M47" s="25"/>
      <c r="N47" s="25"/>
      <c r="O47" s="25"/>
    </row>
    <row r="48" spans="10:15" ht="12.75">
      <c r="J48" s="29"/>
      <c r="K48" s="25"/>
      <c r="L48" s="30"/>
      <c r="M48" s="25"/>
      <c r="N48" s="25"/>
      <c r="O48" s="25"/>
    </row>
    <row r="49" spans="10:15" ht="12.75">
      <c r="J49" s="29"/>
      <c r="K49" s="25"/>
      <c r="L49" s="30"/>
      <c r="M49" s="25"/>
      <c r="N49" s="25"/>
      <c r="O49" s="25"/>
    </row>
    <row r="50" spans="10:15" ht="12.75">
      <c r="J50" s="29"/>
      <c r="K50" s="25"/>
      <c r="L50" s="30"/>
      <c r="M50" s="25"/>
      <c r="N50" s="25"/>
      <c r="O50" s="25"/>
    </row>
    <row r="51" spans="10:15" ht="12.75">
      <c r="J51" s="29"/>
      <c r="K51" s="25"/>
      <c r="L51" s="30"/>
      <c r="M51" s="25"/>
      <c r="N51" s="25"/>
      <c r="O51" s="25"/>
    </row>
    <row r="52" spans="10:15" ht="12.75">
      <c r="J52" s="29"/>
      <c r="K52" s="25"/>
      <c r="L52" s="30"/>
      <c r="M52" s="25"/>
      <c r="N52" s="25"/>
      <c r="O52" s="25"/>
    </row>
    <row r="53" spans="10:15" ht="12.75">
      <c r="J53" s="29"/>
      <c r="K53" s="25"/>
      <c r="L53" s="30"/>
      <c r="M53" s="25"/>
      <c r="N53" s="25"/>
      <c r="O53" s="25"/>
    </row>
    <row r="54" spans="10:15" ht="12.75">
      <c r="J54" s="29"/>
      <c r="K54" s="25"/>
      <c r="L54" s="30"/>
      <c r="M54" s="25"/>
      <c r="N54" s="25"/>
      <c r="O54" s="25"/>
    </row>
    <row r="55" spans="10:15" ht="12.75"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5">
      <selection activeCell="M45" sqref="M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customWidth="1"/>
    <col min="5" max="5" width="1.1484375" style="2" customWidth="1"/>
    <col min="6" max="6" width="15.00390625" style="2" hidden="1" customWidth="1"/>
    <col min="7" max="7" width="15.28125" style="19" hidden="1" customWidth="1"/>
    <col min="8" max="8" width="13.7109375" style="2" hidden="1" customWidth="1"/>
    <col min="9" max="9" width="14.28125" style="2" hidden="1" customWidth="1"/>
    <col min="10" max="10" width="4.421875" style="2" hidden="1" customWidth="1"/>
    <col min="11" max="11" width="10.7109375" style="3" customWidth="1"/>
    <col min="12" max="12" width="13.57421875" style="2" bestFit="1" customWidth="1"/>
    <col min="13" max="13" width="11.003906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spans="1:4" ht="12.75">
      <c r="A3" s="1" t="s">
        <v>40</v>
      </c>
      <c r="D3" s="2" t="s">
        <v>129</v>
      </c>
    </row>
    <row r="5" spans="2:12" ht="12.75">
      <c r="B5" s="1" t="s">
        <v>1</v>
      </c>
      <c r="C5" s="16" t="s">
        <v>54</v>
      </c>
      <c r="F5" s="16" t="s">
        <v>55</v>
      </c>
      <c r="H5" s="16" t="s">
        <v>57</v>
      </c>
      <c r="L5" s="17" t="s">
        <v>27</v>
      </c>
    </row>
    <row r="6" spans="2:18" ht="12.75">
      <c r="B6" s="5"/>
      <c r="C6" s="6"/>
      <c r="D6" s="6"/>
      <c r="E6" s="7"/>
      <c r="F6" s="7"/>
      <c r="G6" s="20"/>
      <c r="H6" s="6"/>
      <c r="I6" s="6"/>
      <c r="J6" s="6"/>
      <c r="K6" s="8" t="s">
        <v>62</v>
      </c>
      <c r="L6" s="6" t="s">
        <v>61</v>
      </c>
      <c r="M6" s="31" t="s">
        <v>116</v>
      </c>
      <c r="N6" s="6" t="s">
        <v>117</v>
      </c>
      <c r="O6" s="6"/>
      <c r="P6" s="6"/>
      <c r="R6" s="22"/>
    </row>
    <row r="7" spans="1:19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11"/>
      <c r="K7" s="12" t="s">
        <v>6</v>
      </c>
      <c r="L7" s="11" t="s">
        <v>119</v>
      </c>
      <c r="M7" s="11" t="s">
        <v>118</v>
      </c>
      <c r="N7" s="11" t="s">
        <v>118</v>
      </c>
      <c r="O7" s="11"/>
      <c r="P7" s="11"/>
      <c r="R7" s="22"/>
      <c r="S7" s="22"/>
    </row>
    <row r="8" spans="13:14" ht="12.75">
      <c r="M8" s="25"/>
      <c r="N8" s="25"/>
    </row>
    <row r="9" spans="1:19" ht="12.75">
      <c r="A9" t="s">
        <v>7</v>
      </c>
      <c r="B9" t="s">
        <v>8</v>
      </c>
      <c r="D9" s="2">
        <f>(5537422-1520+5242808-1000)*0.25</f>
        <v>2694427.5</v>
      </c>
      <c r="G9" s="2">
        <f>+'2002PILRecoveryAmt'!K9</f>
        <v>10449948.666666666</v>
      </c>
      <c r="I9" s="2">
        <f>+D9-G9</f>
        <v>-7755521.166666666</v>
      </c>
      <c r="K9" s="3">
        <f>+'2002PILRecoveryAmt'!I9</f>
        <v>0.0023162344242456567</v>
      </c>
      <c r="L9" s="2">
        <f>+K9*D9</f>
        <v>6240.925729134165</v>
      </c>
      <c r="M9" s="25">
        <f>+'2002PILRecoveryAmt'!M9*0.25</f>
        <v>6051.1325</v>
      </c>
      <c r="N9" s="25">
        <f>+L9+M9</f>
        <v>12292.058229134163</v>
      </c>
      <c r="R9" s="23"/>
      <c r="S9" s="23"/>
    </row>
    <row r="10" spans="1:19" ht="12.75">
      <c r="A10" t="s">
        <v>9</v>
      </c>
      <c r="B10" t="s">
        <v>10</v>
      </c>
      <c r="D10" s="2">
        <f>(355853+338568)*0.25</f>
        <v>173605.25</v>
      </c>
      <c r="G10" s="2">
        <f>+'2002PILRecoveryAmt'!K10</f>
        <v>640442.5</v>
      </c>
      <c r="I10" s="2">
        <f aca="true" t="shared" si="0" ref="I10:I16">+D10-G10</f>
        <v>-466837.25</v>
      </c>
      <c r="K10" s="3">
        <f>+'2002PILRecoveryAmt'!I10</f>
        <v>0.002909445422500849</v>
      </c>
      <c r="L10" s="2">
        <f aca="true" t="shared" si="1" ref="L10:L16">+K10*D10</f>
        <v>505.09499993461554</v>
      </c>
      <c r="M10" s="25">
        <f>+'2002PILRecoveryAmt'!M10*0.25</f>
        <v>35.0627083333333</v>
      </c>
      <c r="N10" s="25">
        <f aca="true" t="shared" si="2" ref="N10:N16">+L10+M10</f>
        <v>540.1577082679488</v>
      </c>
      <c r="R10" s="23"/>
      <c r="S10" s="23"/>
    </row>
    <row r="11" spans="1:19" ht="12.75">
      <c r="A11" t="s">
        <v>11</v>
      </c>
      <c r="B11" t="s">
        <v>12</v>
      </c>
      <c r="D11" s="2">
        <f>384214*0.25</f>
        <v>96053.5</v>
      </c>
      <c r="G11" s="2">
        <f>+'2002PILRecoveryAmt'!K11</f>
        <v>341661.4166666667</v>
      </c>
      <c r="I11" s="2">
        <f t="shared" si="0"/>
        <v>-245607.9166666667</v>
      </c>
      <c r="K11" s="3">
        <f>+'2002PILRecoveryAmt'!I11</f>
        <v>6.004970320275653E-05</v>
      </c>
      <c r="L11" s="2">
        <f t="shared" si="1"/>
        <v>5.767984166585975</v>
      </c>
      <c r="M11" s="25">
        <f>+'2002PILRecoveryAmt'!M11*0.25</f>
        <v>123.10000000000001</v>
      </c>
      <c r="N11" s="25">
        <f t="shared" si="2"/>
        <v>128.86798416658598</v>
      </c>
      <c r="R11" s="23"/>
      <c r="S11" s="23"/>
    </row>
    <row r="12" spans="1:19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R12" s="23"/>
      <c r="S12" s="23"/>
    </row>
    <row r="13" spans="1:19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K13" s="3">
        <f>+'2002PILRecoveryAmt'!I11</f>
        <v>6.004970320275653E-05</v>
      </c>
      <c r="L13" s="2">
        <f t="shared" si="1"/>
        <v>0</v>
      </c>
      <c r="M13" s="2"/>
      <c r="N13" s="25">
        <f t="shared" si="2"/>
        <v>0</v>
      </c>
      <c r="R13" s="23"/>
      <c r="S13" s="23"/>
    </row>
    <row r="14" spans="13:19" ht="12.75">
      <c r="M14" s="2"/>
      <c r="R14" s="23"/>
      <c r="S14" s="23"/>
    </row>
    <row r="15" spans="1:19" ht="12.75">
      <c r="A15" t="s">
        <v>16</v>
      </c>
      <c r="B15" t="s">
        <v>17</v>
      </c>
      <c r="D15" s="2">
        <f>(2991232+2999996)*0.25</f>
        <v>1497807</v>
      </c>
      <c r="G15" s="2">
        <f>+'2002PILRecoveryAmt'!K15</f>
        <v>5891815.5</v>
      </c>
      <c r="I15" s="2">
        <f t="shared" si="0"/>
        <v>-4394008.5</v>
      </c>
      <c r="K15" s="3">
        <f>+'2002PILRecoveryAmt'!I15</f>
        <v>0.0015111027039684684</v>
      </c>
      <c r="L15" s="2">
        <f t="shared" si="1"/>
        <v>2263.3402077229</v>
      </c>
      <c r="M15" s="25">
        <f>+'2002PILRecoveryAmt'!M15*0.25</f>
        <v>2225.7847916666665</v>
      </c>
      <c r="N15" s="25">
        <f t="shared" si="2"/>
        <v>4489.124999389566</v>
      </c>
      <c r="R15" s="23"/>
      <c r="S15" s="23"/>
    </row>
    <row r="16" spans="1:19" ht="12.75">
      <c r="A16" t="s">
        <v>25</v>
      </c>
      <c r="B16" t="s">
        <v>17</v>
      </c>
      <c r="D16" s="2">
        <f>121338*0.25</f>
        <v>30334.5</v>
      </c>
      <c r="G16" s="2">
        <f>+'2002PILRecoveryAmt'!K18</f>
        <v>0</v>
      </c>
      <c r="I16" s="2">
        <f t="shared" si="0"/>
        <v>30334.5</v>
      </c>
      <c r="K16" s="3">
        <f>+'2002PILRecoveryAmt'!I15</f>
        <v>0.0015111027039684684</v>
      </c>
      <c r="L16" s="2">
        <f t="shared" si="1"/>
        <v>45.838544973531505</v>
      </c>
      <c r="M16" s="25">
        <f>+'2002PILRecoveryAmt'!M16</f>
        <v>0</v>
      </c>
      <c r="N16" s="25">
        <f t="shared" si="2"/>
        <v>45.838544973531505</v>
      </c>
      <c r="R16" s="23"/>
      <c r="S16" s="23"/>
    </row>
    <row r="17" spans="1:19" ht="12.75">
      <c r="A17" t="s">
        <v>16</v>
      </c>
      <c r="B17" t="s">
        <v>17</v>
      </c>
      <c r="C17" s="2">
        <v>0</v>
      </c>
      <c r="M17" s="25"/>
      <c r="N17" s="25"/>
      <c r="R17" s="23"/>
      <c r="S17" s="23"/>
    </row>
    <row r="18" spans="13:19" ht="12.75">
      <c r="M18" s="25"/>
      <c r="N18" s="25"/>
      <c r="R18" s="23"/>
      <c r="S18" s="23"/>
    </row>
    <row r="19" spans="1:19" ht="12.75">
      <c r="A19" t="s">
        <v>18</v>
      </c>
      <c r="B19" t="s">
        <v>19</v>
      </c>
      <c r="M19" s="25"/>
      <c r="N19" s="25"/>
      <c r="R19" s="23"/>
      <c r="S19" s="23"/>
    </row>
    <row r="20" spans="1:19" ht="12.75">
      <c r="A20" t="s">
        <v>29</v>
      </c>
      <c r="B20" t="s">
        <v>19</v>
      </c>
      <c r="M20" s="25"/>
      <c r="N20" s="25"/>
      <c r="R20" s="23"/>
      <c r="S20" s="23"/>
    </row>
    <row r="21" spans="1:19" ht="12.75">
      <c r="A21" t="s">
        <v>30</v>
      </c>
      <c r="B21" t="s">
        <v>19</v>
      </c>
      <c r="M21" s="25"/>
      <c r="N21" s="25"/>
      <c r="R21" s="23"/>
      <c r="S21" s="23"/>
    </row>
    <row r="22" spans="1:19" ht="12.75">
      <c r="A22" t="s">
        <v>18</v>
      </c>
      <c r="B22" t="s">
        <v>19</v>
      </c>
      <c r="C22" s="2">
        <f>16704.7*0.25</f>
        <v>4176.175</v>
      </c>
      <c r="F22" s="2">
        <f>+'2002PILRecoveryAmt'!J22</f>
        <v>70786.41666666667</v>
      </c>
      <c r="H22" s="2">
        <f>+C22-F22</f>
        <v>-66610.24166666667</v>
      </c>
      <c r="K22" s="3">
        <f>+'2002PILRecoveryAmt'!H22</f>
        <v>0.259738155978607</v>
      </c>
      <c r="L22" s="2">
        <f>+K22*C22</f>
        <v>1084.7119935439591</v>
      </c>
      <c r="M22" s="25">
        <f>+'2002PILRecoveryAmt'!M22*0.25</f>
        <v>1969.9212499999994</v>
      </c>
      <c r="N22" s="25">
        <f>+L22+M22</f>
        <v>3054.6332435439585</v>
      </c>
      <c r="R22" s="23"/>
      <c r="S22" s="23"/>
    </row>
    <row r="23" spans="1:19" ht="12.75">
      <c r="A23" t="s">
        <v>29</v>
      </c>
      <c r="B23" t="s">
        <v>19</v>
      </c>
      <c r="C23" s="2">
        <f>(15360.81+6920)*0.25</f>
        <v>5570.202499999999</v>
      </c>
      <c r="H23" s="2">
        <f>+C23-F23</f>
        <v>5570.202499999999</v>
      </c>
      <c r="K23" s="3">
        <f>+'2002PILRecoveryAmt'!H22</f>
        <v>0.259738155978607</v>
      </c>
      <c r="L23" s="2">
        <f>+K23*C23</f>
        <v>1446.7941257774264</v>
      </c>
      <c r="M23" s="25">
        <f>+'2002PILRecoveryAmt'!M23</f>
        <v>0</v>
      </c>
      <c r="N23" s="25">
        <f>+L23+M23</f>
        <v>1446.7941257774264</v>
      </c>
      <c r="R23" s="23"/>
      <c r="S23" s="23"/>
    </row>
    <row r="24" spans="1:19" ht="12.75">
      <c r="A24" t="s">
        <v>30</v>
      </c>
      <c r="B24" t="s">
        <v>19</v>
      </c>
      <c r="C24" s="2">
        <f>+(33466.81)*0.25</f>
        <v>8366.7025</v>
      </c>
      <c r="H24" s="2">
        <f>+C24-F24</f>
        <v>8366.7025</v>
      </c>
      <c r="K24" s="3">
        <f>+'2002PILRecoveryAmt'!H22</f>
        <v>0.259738155978607</v>
      </c>
      <c r="L24" s="2">
        <f>+K24*C24</f>
        <v>2173.151878971601</v>
      </c>
      <c r="M24" s="25">
        <f>+'2002PILRecoveryAmt'!M24</f>
        <v>0</v>
      </c>
      <c r="N24" s="25">
        <f>+L24+M24</f>
        <v>2173.151878971601</v>
      </c>
      <c r="R24" s="23"/>
      <c r="S24" s="23"/>
    </row>
    <row r="25" spans="13:14" ht="12.75">
      <c r="M25" s="25">
        <f>+'2002PILRecoveryAmt'!M25</f>
        <v>0</v>
      </c>
      <c r="N25" s="25">
        <f>+L25+M25</f>
        <v>0</v>
      </c>
    </row>
    <row r="26" spans="2:14" ht="12.75">
      <c r="B26" t="s">
        <v>20</v>
      </c>
      <c r="M26" s="25"/>
      <c r="N26" s="25"/>
    </row>
    <row r="27" spans="13:14" ht="12.75">
      <c r="M27" s="25"/>
      <c r="N27" s="25"/>
    </row>
    <row r="28" spans="1:14" ht="12.75">
      <c r="A28" t="s">
        <v>28</v>
      </c>
      <c r="B28" t="s">
        <v>33</v>
      </c>
      <c r="D28" s="2" t="s">
        <v>56</v>
      </c>
      <c r="M28" s="25"/>
      <c r="N28" s="25"/>
    </row>
    <row r="29" spans="1:14" ht="12.75">
      <c r="A29" t="s">
        <v>36</v>
      </c>
      <c r="B29" t="s">
        <v>34</v>
      </c>
      <c r="D29" s="2" t="s">
        <v>56</v>
      </c>
      <c r="M29" s="25"/>
      <c r="N29" s="25"/>
    </row>
    <row r="30" spans="1:14" ht="12.75">
      <c r="A30" t="s">
        <v>28</v>
      </c>
      <c r="B30" t="s">
        <v>26</v>
      </c>
      <c r="C30" s="2">
        <f>6703.47*0.25</f>
        <v>1675.8675</v>
      </c>
      <c r="F30" s="2">
        <f>+'2002PILRecoveryAmt'!J30</f>
        <v>7063.666666666667</v>
      </c>
      <c r="H30" s="2">
        <f>+C30-F30</f>
        <v>-5387.799166666667</v>
      </c>
      <c r="K30" s="3">
        <f>+'2002PILRecoveryAmt'!H30</f>
        <v>0.10038318153933272</v>
      </c>
      <c r="L30" s="2">
        <f>+K30*C30</f>
        <v>168.2289114883677</v>
      </c>
      <c r="M30" s="25">
        <f>+'2002PILRecoveryAmt'!M30*0.25</f>
        <v>411.66291666666666</v>
      </c>
      <c r="N30" s="25">
        <f>+L30+M30</f>
        <v>579.8918281550343</v>
      </c>
    </row>
    <row r="31" spans="13:14" ht="12.75">
      <c r="M31" s="25"/>
      <c r="N31" s="25"/>
    </row>
    <row r="32" spans="1:14" ht="12.75">
      <c r="A32" t="s">
        <v>31</v>
      </c>
      <c r="B32" t="s">
        <v>33</v>
      </c>
      <c r="M32" s="25"/>
      <c r="N32" s="25"/>
    </row>
    <row r="33" spans="1:14" ht="12.75">
      <c r="A33" t="s">
        <v>37</v>
      </c>
      <c r="B33" t="s">
        <v>34</v>
      </c>
      <c r="M33" s="25"/>
      <c r="N33" s="25"/>
    </row>
    <row r="34" spans="1:14" ht="12.75">
      <c r="A34" t="s">
        <v>31</v>
      </c>
      <c r="B34" t="s">
        <v>26</v>
      </c>
      <c r="C34" s="2">
        <f>3582.01*0.25</f>
        <v>895.5025</v>
      </c>
      <c r="F34" s="2">
        <f>+'2002PILRecoveryAmt'!J34</f>
        <v>3274.5</v>
      </c>
      <c r="H34" s="2">
        <f>+C34-F34</f>
        <v>-2378.9975</v>
      </c>
      <c r="K34" s="3">
        <f>+'2002PILRecoveryAmt'!H34</f>
        <v>0.49355499567363975</v>
      </c>
      <c r="L34" s="2">
        <f>+K34*C34</f>
        <v>441.9797325132336</v>
      </c>
      <c r="M34" s="25">
        <f>+'2002PILRecoveryAmt'!M34*0.25</f>
        <v>173.15854166666668</v>
      </c>
      <c r="N34" s="25">
        <f>+L34+M34</f>
        <v>615.1382741799002</v>
      </c>
    </row>
    <row r="35" spans="13:14" ht="12.75">
      <c r="M35" s="25"/>
      <c r="N35" s="25"/>
    </row>
    <row r="36" spans="1:14" ht="12.75">
      <c r="A36" t="s">
        <v>32</v>
      </c>
      <c r="B36" t="s">
        <v>33</v>
      </c>
      <c r="M36" s="25"/>
      <c r="N36" s="25"/>
    </row>
    <row r="37" spans="1:14" ht="12.75">
      <c r="A37" t="s">
        <v>32</v>
      </c>
      <c r="B37" t="s">
        <v>26</v>
      </c>
      <c r="C37" s="2">
        <f>1779.61*0.25</f>
        <v>444.9025</v>
      </c>
      <c r="F37" s="2">
        <f>+'2002PILRecoveryAmt'!J37</f>
        <v>1905.8333333333333</v>
      </c>
      <c r="H37" s="2">
        <f>+C37-F37</f>
        <v>-1460.9308333333333</v>
      </c>
      <c r="K37" s="3">
        <f>+'2002PILRecoveryAmt'!H37</f>
        <v>0.7029287275907302</v>
      </c>
      <c r="L37" s="2">
        <f>+K37*C37</f>
        <v>312.7347482269348</v>
      </c>
      <c r="M37" s="25">
        <f>+'2002PILRecoveryAmt'!M37*0.25</f>
        <v>143.5354166666667</v>
      </c>
      <c r="N37" s="25">
        <f>+L37+M37</f>
        <v>456.27016489360153</v>
      </c>
    </row>
    <row r="38" spans="13:14" ht="12.75">
      <c r="M38" s="25"/>
      <c r="N38" s="25"/>
    </row>
    <row r="39" spans="2:14" ht="12.75">
      <c r="B39" t="s">
        <v>21</v>
      </c>
      <c r="M39" s="25"/>
      <c r="N39" s="25"/>
    </row>
    <row r="40" spans="2:14" ht="12.75">
      <c r="B40" t="s">
        <v>22</v>
      </c>
      <c r="M40" s="25"/>
      <c r="N40" s="25"/>
    </row>
    <row r="41" spans="1:14" ht="12.75">
      <c r="A41" t="s">
        <v>38</v>
      </c>
      <c r="B41" t="s">
        <v>35</v>
      </c>
      <c r="D41" s="2">
        <f>311663*0.25</f>
        <v>77915.75</v>
      </c>
      <c r="F41" s="2">
        <f>+'2002PILRecoveryAmt'!J41</f>
        <v>883.3333333333334</v>
      </c>
      <c r="H41" s="2">
        <f>+C41-F41</f>
        <v>-883.3333333333334</v>
      </c>
      <c r="K41" s="3">
        <f>+'2002PILRecoveryAmt'!H41</f>
        <v>0.1926320754716981</v>
      </c>
      <c r="L41" s="2">
        <f>+K41*C41</f>
        <v>0</v>
      </c>
      <c r="M41" s="25">
        <f>+'2002PILRecoveryAmt'!M41*0.25</f>
        <v>99.25916666666667</v>
      </c>
      <c r="N41" s="25">
        <f>+L41+M41</f>
        <v>99.25916666666667</v>
      </c>
    </row>
    <row r="42" spans="13:14" ht="12.75">
      <c r="M42" s="25"/>
      <c r="N42" s="25"/>
    </row>
    <row r="43" spans="2:14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K43" s="3">
        <f>+'2002PILRecoveryAmt'!H43</f>
        <v>0.4836585365853659</v>
      </c>
      <c r="L43" s="2">
        <f>+K43*C43</f>
        <v>0</v>
      </c>
      <c r="M43" s="25">
        <f>+'2002PILRecoveryAmt'!M43*0.25</f>
        <v>12.471875000000002</v>
      </c>
      <c r="N43" s="25">
        <f>+L43+M43</f>
        <v>12.471875000000002</v>
      </c>
    </row>
    <row r="44" spans="13:14" ht="12.75">
      <c r="M44" s="25"/>
      <c r="N44" s="25"/>
    </row>
    <row r="45" spans="1:16" ht="13.5" thickBot="1">
      <c r="A45" s="13"/>
      <c r="B45" s="13" t="s">
        <v>24</v>
      </c>
      <c r="C45" s="14">
        <f>SUM(C9:C43)</f>
        <v>21129.352499999997</v>
      </c>
      <c r="D45" s="14">
        <f>SUM(D9:D43)</f>
        <v>4570143.5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-62828.81416666666</v>
      </c>
      <c r="I45" s="14">
        <f>SUM(I9:I43)</f>
        <v>-12831640.333333332</v>
      </c>
      <c r="J45" s="14"/>
      <c r="K45" s="15"/>
      <c r="L45" s="14">
        <f>SUM(L9:L43)</f>
        <v>14688.568856453321</v>
      </c>
      <c r="M45" s="14">
        <f>SUM(M9:M43)</f>
        <v>11245.089166666667</v>
      </c>
      <c r="N45" s="14">
        <f>SUM(N9:N43)</f>
        <v>25933.658023119984</v>
      </c>
      <c r="O45" s="14"/>
      <c r="P45" s="14"/>
    </row>
    <row r="46" spans="7:14" ht="12.75">
      <c r="G46" s="2" t="s">
        <v>143</v>
      </c>
      <c r="H46" s="2">
        <f>+C45-F45</f>
        <v>-62828.81416666668</v>
      </c>
      <c r="I46" s="2">
        <f>+D45-G45</f>
        <v>-12753724.583333332</v>
      </c>
      <c r="M46" s="25"/>
      <c r="N46" s="25"/>
    </row>
    <row r="47" spans="7:9" ht="12.75">
      <c r="G47" s="2" t="s">
        <v>144</v>
      </c>
      <c r="I47" s="2">
        <f>+I46-I45</f>
        <v>77915.75</v>
      </c>
    </row>
    <row r="48" ht="12.75">
      <c r="G48" s="2"/>
    </row>
    <row r="49" ht="12.75">
      <c r="G49" s="2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2">
      <selection activeCell="F44" sqref="F44:J4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239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13784001</v>
      </c>
      <c r="G9" s="2">
        <f>+'[1]PILRecoveryAmt'!K9</f>
        <v>10449948.666666666</v>
      </c>
      <c r="I9" s="2">
        <f>+D9-G9</f>
        <v>3334052.333333334</v>
      </c>
      <c r="J9" s="29"/>
      <c r="K9" s="3">
        <f>+'2002PILRecoveryAmt'!I9</f>
        <v>0.0023162344242456567</v>
      </c>
      <c r="L9" s="2">
        <f>+K9*D9</f>
        <v>31926.977620036556</v>
      </c>
      <c r="M9" s="25">
        <f>+'2002PILRecoveryAmt'!M9</f>
        <v>24204.53</v>
      </c>
      <c r="N9" s="25">
        <f>+L9+M9</f>
        <v>56131.50762003656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871642</v>
      </c>
      <c r="G10" s="2">
        <f>+'[1]PILRecoveryAmt'!K10</f>
        <v>640442.5</v>
      </c>
      <c r="I10" s="2">
        <f>+D10-G10</f>
        <v>231199.5</v>
      </c>
      <c r="J10" s="29"/>
      <c r="K10" s="3">
        <f>+'2002PILRecoveryAmt'!I10</f>
        <v>0.002909445422500849</v>
      </c>
      <c r="L10" s="2">
        <f>+K10*D10</f>
        <v>2535.994826959485</v>
      </c>
      <c r="M10" s="25">
        <f>+'2002PILRecoveryAmt'!M10</f>
        <v>140.2508333333332</v>
      </c>
      <c r="N10" s="25">
        <f>+L10+M10</f>
        <v>2676.2456602928182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492880</v>
      </c>
      <c r="G11" s="2">
        <f>+'[1]PILRecoveryAmt'!K11</f>
        <v>341661.4166666667</v>
      </c>
      <c r="I11" s="2">
        <f>+D11-G11</f>
        <v>151218.5833333333</v>
      </c>
      <c r="J11" s="29"/>
      <c r="K11" s="3">
        <f>+'2002PILRecoveryAmt'!I11</f>
        <v>6.004970320275653E-05</v>
      </c>
      <c r="L11" s="2">
        <f>+K11*D11</f>
        <v>29.597297714574637</v>
      </c>
      <c r="M11" s="25">
        <f>+'2002PILRecoveryAmt'!M11</f>
        <v>492.40000000000003</v>
      </c>
      <c r="N11" s="25">
        <f>+L11+M11</f>
        <v>521.9972977145746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6939038</v>
      </c>
      <c r="G15" s="2">
        <f>+'[1]PILRecoveryAmt'!K13</f>
        <v>5891815.5</v>
      </c>
      <c r="I15" s="2">
        <f>+D15-G15</f>
        <v>1047222.5</v>
      </c>
      <c r="J15" s="29"/>
      <c r="K15" s="3">
        <f>+'2002PILRecoveryAmt'!I15</f>
        <v>0.0015111027039684684</v>
      </c>
      <c r="L15" s="2">
        <f>+K15*D15</f>
        <v>10485.599084739953</v>
      </c>
      <c r="M15" s="25">
        <f>+'2002PILRecoveryAmt'!M15</f>
        <v>8903.139166666666</v>
      </c>
      <c r="N15" s="25">
        <f>+L15+M15</f>
        <v>19388.73825140662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+'[1]PILRecoveryAmt'!K16</f>
        <v>0</v>
      </c>
      <c r="I16" s="2">
        <f>+D16-G16</f>
        <v>76616</v>
      </c>
      <c r="J16" s="29"/>
      <c r="K16" s="3">
        <f>+'2002PILRecoveryAmt'!I15</f>
        <v>0.0015111027039684684</v>
      </c>
      <c r="L16" s="2">
        <f>+K16*D16</f>
        <v>115.77464476724818</v>
      </c>
      <c r="M16" s="25">
        <f>+'2002PILRecoveryAmt'!M16</f>
        <v>0</v>
      </c>
      <c r="N16" s="25">
        <f>+L16+M16</f>
        <v>115.77464476724818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56802</v>
      </c>
      <c r="G17" s="2">
        <f>+'[1]PILRecoveryAmt'!K17</f>
        <v>0</v>
      </c>
      <c r="I17" s="2">
        <f>+D17-G17</f>
        <v>56802</v>
      </c>
      <c r="J17" s="29"/>
      <c r="K17" s="3">
        <v>0.00151</v>
      </c>
      <c r="L17" s="2">
        <f>+K17*D17</f>
        <v>85.77102000000001</v>
      </c>
      <c r="M17" s="25">
        <f>+'2002PILRecoveryAmt'!M17</f>
        <v>0</v>
      </c>
      <c r="N17" s="25">
        <f>+L17+M17</f>
        <v>85.77102000000001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13780.68</v>
      </c>
      <c r="F22" s="2">
        <f>+'[1]PILRecoveryAmt'!J20</f>
        <v>70786.41666666667</v>
      </c>
      <c r="H22" s="2">
        <f>+C22-F22</f>
        <v>-57005.73666666667</v>
      </c>
      <c r="J22" s="29"/>
      <c r="K22" s="3">
        <f>+'2002PILRecoveryAmt'!H22</f>
        <v>0.259738155978607</v>
      </c>
      <c r="L22" s="2">
        <f>+K22*C22</f>
        <v>3579.36841133127</v>
      </c>
      <c r="M22" s="25">
        <f>+'2002PILRecoveryAmt'!M22</f>
        <v>7879.684999999998</v>
      </c>
      <c r="N22" s="25">
        <f>+L22+M22</f>
        <v>11459.053411331268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16237.86</v>
      </c>
      <c r="H23" s="2">
        <f>+C23-F23</f>
        <v>16237.86</v>
      </c>
      <c r="J23" s="29"/>
      <c r="K23" s="3">
        <f>+'2002PILRecoveryAmt'!H22</f>
        <v>0.259738155978607</v>
      </c>
      <c r="L23" s="2">
        <f>+K23*C23</f>
        <v>4217.591813438784</v>
      </c>
      <c r="M23" s="25">
        <f>+'2002PILRecoveryAmt'!M23</f>
        <v>0</v>
      </c>
      <c r="N23" s="25">
        <f>+L23+M23</f>
        <v>4217.591813438784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38684.42</v>
      </c>
      <c r="H24" s="2">
        <f>+C24-F24</f>
        <v>38684.42</v>
      </c>
      <c r="J24" s="29"/>
      <c r="K24" s="3">
        <f>+'2002PILRecoveryAmt'!H22</f>
        <v>0.259738155978607</v>
      </c>
      <c r="L24" s="2">
        <f>+K24*C24</f>
        <v>10047.819915901944</v>
      </c>
      <c r="M24" s="25">
        <f>+'2002PILRecoveryAmt'!M24</f>
        <v>0</v>
      </c>
      <c r="N24" s="25">
        <f>+L24+M24</f>
        <v>10047.819915901944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304.02+1832.9</f>
        <v>2136.92</v>
      </c>
      <c r="H25" s="2">
        <f>+C25-F25</f>
        <v>2136.92</v>
      </c>
      <c r="J25" s="29"/>
      <c r="K25" s="3">
        <f>+'2002PILRecoveryAmt'!H22</f>
        <v>0.259738155978607</v>
      </c>
      <c r="L25" s="2">
        <f>+K25*C25</f>
        <v>555.0396602738049</v>
      </c>
      <c r="M25" s="25">
        <f>+'2002PILRecoveryAmt'!M25</f>
        <v>0</v>
      </c>
      <c r="N25" s="25">
        <f>+L25+M25</f>
        <v>555.0396602738049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6715.69</v>
      </c>
      <c r="F30" s="2">
        <f>+'[1]PILRecoveryAmt'!J28</f>
        <v>7063.666666666667</v>
      </c>
      <c r="H30" s="2">
        <f>+C30-F30</f>
        <v>-347.97666666666737</v>
      </c>
      <c r="J30" s="29"/>
      <c r="K30" s="3">
        <f>+'2002PILRecoveryAmt'!H30</f>
        <v>0.10038318153933272</v>
      </c>
      <c r="L30" s="2">
        <f>+K30*C30</f>
        <v>674.1423284318813</v>
      </c>
      <c r="M30" s="25">
        <f>+'2002PILRecoveryAmt'!M30</f>
        <v>1646.6516666666666</v>
      </c>
      <c r="N30" s="25">
        <f>+L30+M30</f>
        <v>2320.793995098548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2848.47</v>
      </c>
      <c r="F34" s="2">
        <f>+'[1]PILRecoveryAmt'!J32</f>
        <v>3274.5</v>
      </c>
      <c r="H34" s="2">
        <f>+C34-F34</f>
        <v>-426.0300000000002</v>
      </c>
      <c r="J34" s="29"/>
      <c r="K34" s="3">
        <f>+'2002PILRecoveryAmt'!H34</f>
        <v>0.49355499567363975</v>
      </c>
      <c r="L34" s="2">
        <f>+K34*C34</f>
        <v>1405.8765985264924</v>
      </c>
      <c r="M34" s="25">
        <f>+'2002PILRecoveryAmt'!M34</f>
        <v>692.6341666666667</v>
      </c>
      <c r="N34" s="25">
        <f>+L34+M34</f>
        <v>2098.5107651931594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422.4</v>
      </c>
      <c r="F37" s="2">
        <f>+'[1]PILRecoveryAmt'!J35</f>
        <v>1905.8333333333333</v>
      </c>
      <c r="H37" s="2">
        <f>+C37-F37</f>
        <v>-1483.4333333333334</v>
      </c>
      <c r="J37" s="29"/>
      <c r="K37" s="3">
        <f>+'2002PILRecoveryAmt'!H37</f>
        <v>0.7029287275907302</v>
      </c>
      <c r="L37" s="2">
        <f>+K37*C37</f>
        <v>296.9170945343244</v>
      </c>
      <c r="M37" s="25">
        <f>+'2002PILRecoveryAmt'!M37</f>
        <v>574.1416666666668</v>
      </c>
      <c r="N37" s="25">
        <f>+L37+M37</f>
        <v>871.0587612009912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876.7</v>
      </c>
      <c r="F41" s="2">
        <f>+'[1]PILRecoveryAmt'!J39</f>
        <v>883.3333333333334</v>
      </c>
      <c r="H41" s="2">
        <f>+C41-F41</f>
        <v>-6.633333333333326</v>
      </c>
      <c r="J41" s="29"/>
      <c r="K41" s="3">
        <f>+'2002PILRecoveryAmt'!H41</f>
        <v>0.1926320754716981</v>
      </c>
      <c r="L41" s="2">
        <f>+K41*C41</f>
        <v>168.88054056603775</v>
      </c>
      <c r="M41" s="25">
        <f>+'2002PILRecoveryAmt'!M41</f>
        <v>397.0366666666667</v>
      </c>
      <c r="N41" s="25">
        <f>+L41+M41</f>
        <v>565.9172072327044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13996.55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81703.13999999998</v>
      </c>
      <c r="D45" s="14">
        <f>SUM(D9:D44)</f>
        <v>22234975.55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-2255.026666666673</v>
      </c>
      <c r="I45" s="14">
        <f>SUM(I9:I43)</f>
        <v>4897110.916666668</v>
      </c>
      <c r="J45" s="29"/>
      <c r="K45" s="15"/>
      <c r="L45" s="14">
        <f>SUM(L9:L43)</f>
        <v>66125.35085722235</v>
      </c>
      <c r="M45" s="14">
        <f>SUM(M9:M43)</f>
        <v>44980.35666666667</v>
      </c>
      <c r="N45" s="14">
        <f>SUM(N9:N43)</f>
        <v>111105.70752388902</v>
      </c>
      <c r="O45" s="25"/>
    </row>
    <row r="46" spans="7:15" ht="12.75">
      <c r="G46" s="2" t="s">
        <v>143</v>
      </c>
      <c r="H46" s="2">
        <f>+C45-F45</f>
        <v>-2255.0266666666867</v>
      </c>
      <c r="I46" s="2">
        <f>+D45-G45</f>
        <v>4911107.466666669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13996.550000000745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6">
      <selection activeCell="F32" sqref="F32:J3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238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13312917</v>
      </c>
      <c r="G9" s="2">
        <f>+'[1]PILRecoveryAmt'!K9</f>
        <v>10449948.666666666</v>
      </c>
      <c r="I9" s="2">
        <f>+D9-G9</f>
        <v>2862968.333333334</v>
      </c>
      <c r="J9" s="29"/>
      <c r="K9" s="3">
        <f>+'2002PILRecoveryAmt'!I9</f>
        <v>0.0023162344242456567</v>
      </c>
      <c r="L9" s="2">
        <f>+K9*D9</f>
        <v>30835.836642525217</v>
      </c>
      <c r="M9" s="25">
        <f>+'2002PILRecoveryAmt'!M9</f>
        <v>24204.53</v>
      </c>
      <c r="N9" s="25">
        <f>+L9+M9</f>
        <v>55040.366642525216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692713</v>
      </c>
      <c r="G10" s="2">
        <f>+'[1]PILRecoveryAmt'!K10</f>
        <v>640442.5</v>
      </c>
      <c r="I10" s="2">
        <f>+D10-G10</f>
        <v>52270.5</v>
      </c>
      <c r="J10" s="29"/>
      <c r="K10" s="3">
        <f>+'2002PILRecoveryAmt'!I10</f>
        <v>0.002909445422500849</v>
      </c>
      <c r="L10" s="2">
        <f>+K10*D10</f>
        <v>2015.4106669568307</v>
      </c>
      <c r="M10" s="25">
        <f>+'2002PILRecoveryAmt'!M10</f>
        <v>140.2508333333332</v>
      </c>
      <c r="N10" s="25">
        <f>+L10+M10</f>
        <v>2155.661500290164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374334</v>
      </c>
      <c r="G11" s="2">
        <f>+'[1]PILRecoveryAmt'!K11</f>
        <v>341661.4166666667</v>
      </c>
      <c r="I11" s="2">
        <f>+D11-G11</f>
        <v>32672.583333333314</v>
      </c>
      <c r="J11" s="29"/>
      <c r="K11" s="3">
        <f>+'2002PILRecoveryAmt'!I11</f>
        <v>6.004970320275653E-05</v>
      </c>
      <c r="L11" s="2">
        <f>+K11*D11</f>
        <v>22.478645598700663</v>
      </c>
      <c r="M11" s="25">
        <f>+'2002PILRecoveryAmt'!M11</f>
        <v>492.40000000000003</v>
      </c>
      <c r="N11" s="25">
        <f>+L11+M11</f>
        <v>514.8786455987007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6347294</v>
      </c>
      <c r="G15" s="2">
        <f>+'[1]PILRecoveryAmt'!K13</f>
        <v>5891815.5</v>
      </c>
      <c r="I15" s="2">
        <f>+D15-G15</f>
        <v>455478.5</v>
      </c>
      <c r="J15" s="29"/>
      <c r="K15" s="3">
        <f>+'2002PILRecoveryAmt'!I15</f>
        <v>0.0015111027039684684</v>
      </c>
      <c r="L15" s="2">
        <f>+K15*D15</f>
        <v>9591.413126282836</v>
      </c>
      <c r="M15" s="25">
        <f>+'2002PILRecoveryAmt'!M15</f>
        <v>8903.139166666666</v>
      </c>
      <c r="N15" s="25">
        <f>+L15+M15</f>
        <v>18494.552292949502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+'[1]PILRecoveryAmt'!K16</f>
        <v>0</v>
      </c>
      <c r="I16" s="2">
        <f>+D16-G16</f>
        <v>76616</v>
      </c>
      <c r="J16" s="29"/>
      <c r="K16" s="3">
        <f>+'2002PILRecoveryAmt'!I15</f>
        <v>0.0015111027039684684</v>
      </c>
      <c r="L16" s="2">
        <f>+K16*D16</f>
        <v>115.77464476724818</v>
      </c>
      <c r="M16" s="25">
        <f>+'2002PILRecoveryAmt'!M16</f>
        <v>0</v>
      </c>
      <c r="N16" s="25">
        <f>+L16+M16</f>
        <v>115.77464476724818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51487</v>
      </c>
      <c r="G17" s="2">
        <f>+'[1]PILRecoveryAmt'!K17</f>
        <v>0</v>
      </c>
      <c r="I17" s="2">
        <f>+D17-G17</f>
        <v>51487</v>
      </c>
      <c r="J17" s="29"/>
      <c r="K17" s="3">
        <v>0.00151</v>
      </c>
      <c r="L17" s="2">
        <f>+K17*D17</f>
        <v>77.74537000000001</v>
      </c>
      <c r="M17" s="25">
        <f>+'2002PILRecoveryAmt'!M17</f>
        <v>0</v>
      </c>
      <c r="N17" s="25">
        <f>+L17+M17</f>
        <v>77.74537000000001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13343.28</v>
      </c>
      <c r="F22" s="2">
        <f>+'[1]PILRecoveryAmt'!J20</f>
        <v>70786.41666666667</v>
      </c>
      <c r="H22" s="2">
        <f>+C22-F22</f>
        <v>-57443.13666666667</v>
      </c>
      <c r="J22" s="29"/>
      <c r="K22" s="3">
        <f>+'2002PILRecoveryAmt'!H22</f>
        <v>0.259738155978607</v>
      </c>
      <c r="L22" s="2">
        <f>+K22*C22</f>
        <v>3465.7589419062274</v>
      </c>
      <c r="M22" s="25">
        <f>+'2002PILRecoveryAmt'!M22</f>
        <v>7879.684999999998</v>
      </c>
      <c r="N22" s="25">
        <f>+L22+M22</f>
        <v>11345.443941906226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16779.99</v>
      </c>
      <c r="H23" s="2">
        <f>+C23-F23</f>
        <v>16779.99</v>
      </c>
      <c r="J23" s="29"/>
      <c r="K23" s="3">
        <f>+'2002PILRecoveryAmt'!H22</f>
        <v>0.259738155978607</v>
      </c>
      <c r="L23" s="2">
        <f>+K23*C23</f>
        <v>4358.403659939466</v>
      </c>
      <c r="M23" s="25">
        <f>+'2002PILRecoveryAmt'!M23</f>
        <v>0</v>
      </c>
      <c r="N23" s="25">
        <f>+L23+M23</f>
        <v>4358.403659939466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38600.52</v>
      </c>
      <c r="H24" s="2">
        <f>+C24-F24</f>
        <v>38600.52</v>
      </c>
      <c r="J24" s="29"/>
      <c r="K24" s="3">
        <f>+'2002PILRecoveryAmt'!H22</f>
        <v>0.259738155978607</v>
      </c>
      <c r="L24" s="2">
        <f>+K24*C24</f>
        <v>10026.027884615338</v>
      </c>
      <c r="M24" s="25">
        <f>+'2002PILRecoveryAmt'!M24</f>
        <v>0</v>
      </c>
      <c r="N24" s="25">
        <f>+L24+M24</f>
        <v>10026.027884615338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375.3+1844.9</f>
        <v>2220.2000000000003</v>
      </c>
      <c r="H25" s="2">
        <f>+C25-F25</f>
        <v>2220.2000000000003</v>
      </c>
      <c r="J25" s="29"/>
      <c r="K25" s="3">
        <f>+'2002PILRecoveryAmt'!H22</f>
        <v>0.259738155978607</v>
      </c>
      <c r="L25" s="2">
        <f>+K25*C25</f>
        <v>576.6706539037033</v>
      </c>
      <c r="M25" s="25">
        <f>+'2002PILRecoveryAmt'!M25</f>
        <v>0</v>
      </c>
      <c r="N25" s="25">
        <f>+L25+M25</f>
        <v>576.6706539037033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6674.27</v>
      </c>
      <c r="F30" s="2">
        <f>+'[1]PILRecoveryAmt'!J28</f>
        <v>7063.666666666667</v>
      </c>
      <c r="H30" s="2">
        <f>+C30-F30</f>
        <v>-389.39666666666653</v>
      </c>
      <c r="J30" s="29"/>
      <c r="K30" s="3">
        <f>+'2002PILRecoveryAmt'!H30</f>
        <v>0.10038318153933272</v>
      </c>
      <c r="L30" s="2">
        <f>+K30*C30</f>
        <v>669.9844570525222</v>
      </c>
      <c r="M30" s="25">
        <f>+'2002PILRecoveryAmt'!M30</f>
        <v>1646.6516666666666</v>
      </c>
      <c r="N30" s="25">
        <f>+L30+M30</f>
        <v>2316.6361237191886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2932.16</v>
      </c>
      <c r="F34" s="2">
        <f>+'[1]PILRecoveryAmt'!J32</f>
        <v>3274.5</v>
      </c>
      <c r="H34" s="2">
        <f>+C34-F34</f>
        <v>-342.34000000000015</v>
      </c>
      <c r="J34" s="29"/>
      <c r="K34" s="3">
        <f>+'2002PILRecoveryAmt'!H34</f>
        <v>0.49355499567363975</v>
      </c>
      <c r="L34" s="2">
        <f>+K34*C34</f>
        <v>1447.1822161144194</v>
      </c>
      <c r="M34" s="25">
        <f>+'2002PILRecoveryAmt'!M34</f>
        <v>692.6341666666667</v>
      </c>
      <c r="N34" s="25">
        <f>+L34+M34</f>
        <v>2139.816382781086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432</v>
      </c>
      <c r="F37" s="2">
        <f>+'[1]PILRecoveryAmt'!J35</f>
        <v>1905.8333333333333</v>
      </c>
      <c r="H37" s="2">
        <f>+C37-F37</f>
        <v>-1473.8333333333333</v>
      </c>
      <c r="J37" s="29"/>
      <c r="K37" s="3">
        <f>+'2002PILRecoveryAmt'!H37</f>
        <v>0.7029287275907302</v>
      </c>
      <c r="L37" s="2">
        <f>+K37*C37</f>
        <v>303.66521031919547</v>
      </c>
      <c r="M37" s="25">
        <f>+'2002PILRecoveryAmt'!M37</f>
        <v>574.1416666666668</v>
      </c>
      <c r="N37" s="25">
        <f>+L37+M37</f>
        <v>877.8068769858622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+'[1]PILRecoveryAmt'!J39</f>
        <v>883.3333333333334</v>
      </c>
      <c r="H41" s="2">
        <f>+C41-F41</f>
        <v>-6.763333333333321</v>
      </c>
      <c r="J41" s="29"/>
      <c r="K41" s="3">
        <f>+'2002PILRecoveryAmt'!H41</f>
        <v>0.1926320754716981</v>
      </c>
      <c r="L41" s="2">
        <f>+K41*C41</f>
        <v>168.8554983962264</v>
      </c>
      <c r="M41" s="25">
        <f>+'2002PILRecoveryAmt'!M41</f>
        <v>397.0366666666667</v>
      </c>
      <c r="N41" s="25">
        <f>+L41+M41</f>
        <v>565.8921650628931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13996.55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81858.99000000002</v>
      </c>
      <c r="D45" s="14">
        <f>SUM(D9:D44)</f>
        <v>20869357.55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-2099.1766666666704</v>
      </c>
      <c r="I45" s="14">
        <f>SUM(I9:I43)</f>
        <v>3531492.9166666674</v>
      </c>
      <c r="J45" s="29"/>
      <c r="K45" s="15"/>
      <c r="L45" s="14">
        <f>SUM(L9:L43)</f>
        <v>63675.20761837793</v>
      </c>
      <c r="M45" s="14">
        <f>SUM(M9:M43)</f>
        <v>44980.35666666667</v>
      </c>
      <c r="N45" s="14">
        <f>SUM(N9:N43)</f>
        <v>108655.56428504459</v>
      </c>
      <c r="O45" s="25"/>
    </row>
    <row r="46" spans="7:15" ht="12.75">
      <c r="G46" s="2" t="s">
        <v>143</v>
      </c>
      <c r="H46" s="2">
        <f>+C45-F45</f>
        <v>-2099.1766666666517</v>
      </c>
      <c r="I46" s="2">
        <f>+D45-G45</f>
        <v>3545489.4666666687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13996.55000000121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bestFit="1" customWidth="1"/>
    <col min="7" max="7" width="15.57421875" style="19" customWidth="1"/>
    <col min="8" max="8" width="12.28125" style="2" bestFit="1" customWidth="1"/>
    <col min="9" max="9" width="14.28125" style="2" bestFit="1" customWidth="1"/>
    <col min="10" max="10" width="4.00390625" style="3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+'Festival Dec 03'!D9+'Festival Nov 03 '!D9+'Festival Oct 03 '!D9+'Festival Sep 03'!D9+'Festival Aug 03'!D9+'Festival Jul-03'!D9+'Festival Jun 03'!D9+'Festival May 03'!D9+'Festival Apr 03 '!D9+'Festival Mar 03'!D9+'Festival Feb 03 '!D9+'Festival Jan 03'!D9</f>
        <v>129016496.00999999</v>
      </c>
      <c r="G9" s="2">
        <f>+'[1]PILRecoveryAmt'!K9</f>
        <v>10449948.666666666</v>
      </c>
      <c r="I9" s="2">
        <f>+D9-G9</f>
        <v>118566547.34333332</v>
      </c>
      <c r="J9" s="29"/>
      <c r="K9" s="3">
        <f>+'2002PILRecoveryAmt'!I9</f>
        <v>0.0023162344242456567</v>
      </c>
      <c r="L9" s="2">
        <f>+K9*D9</f>
        <v>298832.4493539144</v>
      </c>
      <c r="M9" s="25">
        <f>+'2002PILRecoveryAmt'!M9</f>
        <v>24204.53</v>
      </c>
      <c r="N9" s="25">
        <f>+L9+M9</f>
        <v>323036.9793539144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+'Festival Dec 03'!D10+'Festival Nov 03 '!D10+'Festival Oct 03 '!D10+'Festival Sep 03'!D10+'Festival Aug 03'!D10+'Festival Jul-03'!D10+'Festival Jun 03'!D10+'Festival May 03'!D10+'Festival Apr 03 '!D10+'Festival Mar 03'!D10+'Festival Feb 03 '!D10+'Festival Jan 03'!D10</f>
        <v>8081980</v>
      </c>
      <c r="G10" s="2">
        <f>+'[1]PILRecoveryAmt'!K10</f>
        <v>640442.5</v>
      </c>
      <c r="I10" s="2">
        <f>+D10-G10</f>
        <v>7441537.5</v>
      </c>
      <c r="J10" s="29"/>
      <c r="K10" s="3">
        <f>+'2002PILRecoveryAmt'!I10</f>
        <v>0.002909445422500849</v>
      </c>
      <c r="L10" s="2">
        <f>+K10*D10</f>
        <v>23514.079715743414</v>
      </c>
      <c r="M10" s="25">
        <f>+'2002PILRecoveryAmt'!M10</f>
        <v>140.2508333333332</v>
      </c>
      <c r="N10" s="25">
        <f>+L10+M10</f>
        <v>23654.330549076745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+'Festival Dec 03'!D11+'Festival Nov 03 '!D11+'Festival Oct 03 '!D11+'Festival Sep 03'!D11+'Festival Aug 03'!D11+'Festival Jul-03'!D11+'Festival Jun 03'!D11+'Festival May 03'!D11+'Festival Apr 03 '!D11+'Festival Mar 03'!D11+'Festival Feb 03 '!D11+'Festival Jan 03'!D11</f>
        <v>4148735</v>
      </c>
      <c r="G11" s="2">
        <f>+'[1]PILRecoveryAmt'!K11</f>
        <v>341661.4166666667</v>
      </c>
      <c r="I11" s="2">
        <f>+D11-G11</f>
        <v>3807073.5833333335</v>
      </c>
      <c r="J11" s="29"/>
      <c r="K11" s="3">
        <f>+'2002PILRecoveryAmt'!I11</f>
        <v>6.004970320275653E-05</v>
      </c>
      <c r="L11" s="2">
        <f>+K11*D11</f>
        <v>249.13030541688812</v>
      </c>
      <c r="M11" s="25">
        <f>+'2002PILRecoveryAmt'!M11</f>
        <v>492.40000000000003</v>
      </c>
      <c r="N11" s="25">
        <f>+L11+M11</f>
        <v>741.5303054168882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+'Festival Dec 03'!D15+'Festival Nov 03 '!D15+'Festival Oct 03 '!D15+'Festival Sep 03'!D15+'Festival Aug 03'!D15+'Festival Jul-03'!D15+'Festival Jun 03'!D15+'Festival May 03'!D15+'Festival Apr 03 '!D15+'Festival Mar 03'!D15+'Festival Feb 03 '!D15+'Festival Jan 03'!D15</f>
        <v>70922127</v>
      </c>
      <c r="G15" s="2">
        <f>+'[1]PILRecoveryAmt'!K13</f>
        <v>5891815.5</v>
      </c>
      <c r="I15" s="2">
        <f>+D15-G15</f>
        <v>65030311.5</v>
      </c>
      <c r="J15" s="29"/>
      <c r="K15" s="3">
        <f>+'2002PILRecoveryAmt'!I15</f>
        <v>0.0015111027039684684</v>
      </c>
      <c r="L15" s="2">
        <f>+K15*D15</f>
        <v>107170.61788089512</v>
      </c>
      <c r="M15" s="25">
        <f>+'2002PILRecoveryAmt'!M15</f>
        <v>8903.139166666666</v>
      </c>
      <c r="N15" s="25">
        <f>+L15+M15</f>
        <v>116073.75704756178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+'Festival Dec 03'!D16+'Festival Nov 03 '!D16+'Festival Oct 03 '!D16+'Festival Sep 03'!D16+'Festival Aug 03'!D16+'Festival Jul-03'!D16+'Festival Jun 03'!D16+'Festival May 03'!D16+'Festival Apr 03 '!D16+'Festival Mar 03'!D16+'Festival Feb 03 '!D16+'Festival Jan 03'!D16</f>
        <v>1267647</v>
      </c>
      <c r="G16" s="2">
        <f>+'[1]PILRecoveryAmt'!K16</f>
        <v>0</v>
      </c>
      <c r="I16" s="2">
        <f>+D16-G16</f>
        <v>1267647</v>
      </c>
      <c r="J16" s="29"/>
      <c r="K16" s="3">
        <f>+'2002PILRecoveryAmt'!I15</f>
        <v>0.0015111027039684684</v>
      </c>
      <c r="L16" s="2">
        <f>+K16*D16</f>
        <v>1915.5448093775171</v>
      </c>
      <c r="M16" s="25">
        <f>+'2002PILRecoveryAmt'!M16</f>
        <v>0</v>
      </c>
      <c r="N16" s="25">
        <f>+L16+M16</f>
        <v>1915.5448093775171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+'Festival Dec 03'!D17+'Festival Nov 03 '!D17+'Festival Oct 03 '!D17+'Festival Sep 03'!D17+'Festival Aug 03'!D17+'Festival Jul-03'!D17+'Festival Jun 03'!D17+'Festival May 03'!D17+'Festival Apr 03 '!D17+'Festival Mar 03'!D17+'Festival Feb 03 '!D17+'Festival Jan 03'!D17</f>
        <v>376701</v>
      </c>
      <c r="G17" s="2">
        <f>+'[1]PILRecoveryAmt'!K17</f>
        <v>0</v>
      </c>
      <c r="I17" s="2">
        <f>+D17-G17</f>
        <v>376701</v>
      </c>
      <c r="J17" s="29"/>
      <c r="K17" s="3">
        <v>0.00151</v>
      </c>
      <c r="L17" s="2">
        <f>+K17*D17</f>
        <v>568.8185100000001</v>
      </c>
      <c r="M17" s="25">
        <f>+'2002PILRecoveryAmt'!M17</f>
        <v>0</v>
      </c>
      <c r="N17" s="25">
        <f>+L17+M17</f>
        <v>568.8185100000001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+'Festival Dec 03'!C22+'Festival Nov 03 '!C22+'Festival Oct 03 '!C22+'Festival Sep 03'!C22+'Festival Aug 03'!C22+'Festival Jul-03'!C22+'Festival Jun 03'!C22+'Festival May 03'!C22+'Festival Apr 03 '!C22+'Festival Mar 03'!C22+'Festival Feb 03 '!C22+'Festival Jan 03'!C22</f>
        <v>165388.18000000002</v>
      </c>
      <c r="F22" s="2">
        <f>+'[1]PILRecoveryAmt'!J20</f>
        <v>70786.41666666667</v>
      </c>
      <c r="H22" s="2">
        <f>+C22-F22</f>
        <v>94601.76333333335</v>
      </c>
      <c r="J22" s="29"/>
      <c r="K22" s="3">
        <f>+'2002PILRecoveryAmt'!H22</f>
        <v>0.259738155978607</v>
      </c>
      <c r="L22" s="2">
        <f>+K22*C22</f>
        <v>42957.62089385794</v>
      </c>
      <c r="M22" s="25">
        <f>+'2002PILRecoveryAmt'!M22</f>
        <v>7879.684999999998</v>
      </c>
      <c r="N22" s="25">
        <f>+L22+M22</f>
        <v>50837.305893857934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+'Festival Dec 03'!C23+'Festival Nov 03 '!C23+'Festival Oct 03 '!C23+'Festival Sep 03'!C23+'Festival Aug 03'!C23+'Festival Jul-03'!C23+'Festival Jun 03'!C23+'Festival May 03'!C23+'Festival Apr 03 '!C23+'Festival Mar 03'!C23+'Festival Feb 03 '!C23+'Festival Jan 03'!C23</f>
        <v>202542.20099999997</v>
      </c>
      <c r="H23" s="2">
        <f>+C23-F23</f>
        <v>202542.20099999997</v>
      </c>
      <c r="J23" s="29"/>
      <c r="K23" s="3">
        <f>+'2002PILRecoveryAmt'!H22</f>
        <v>0.259738155978607</v>
      </c>
      <c r="L23" s="2">
        <f>+K23*C23</f>
        <v>52607.93779558836</v>
      </c>
      <c r="M23" s="25">
        <f>+'2002PILRecoveryAmt'!M23</f>
        <v>0</v>
      </c>
      <c r="N23" s="25">
        <f>+L23+M23</f>
        <v>52607.93779558836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+'Festival Dec 03'!C24+'Festival Nov 03 '!C24+'Festival Oct 03 '!C24+'Festival Sep 03'!C24+'Festival Aug 03'!C24+'Festival Jul-03'!C24+'Festival Jun 03'!C24+'Festival May 03'!C24+'Festival Apr 03 '!C24+'Festival Mar 03'!C24+'Festival Feb 03 '!C24+'Festival Jan 03'!C24</f>
        <v>456842.84</v>
      </c>
      <c r="H24" s="2">
        <f>+C24-F24</f>
        <v>456842.84</v>
      </c>
      <c r="J24" s="29"/>
      <c r="K24" s="3">
        <f>+'2002PILRecoveryAmt'!H22</f>
        <v>0.259738155978607</v>
      </c>
      <c r="L24" s="2">
        <f>+K24*C24</f>
        <v>118659.51683362981</v>
      </c>
      <c r="M24" s="25">
        <f>+'2002PILRecoveryAmt'!M24</f>
        <v>0</v>
      </c>
      <c r="N24" s="25">
        <f>+L24+M24</f>
        <v>118659.51683362981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+'Festival Dec 03'!C25+'Festival Nov 03 '!C25+'Festival Oct 03 '!C25+'Festival Sep 03'!C25+'Festival Aug 03'!C25+'Festival Jul-03'!C25+'Festival Jun 03'!C25+'Festival May 03'!C25+'Festival Apr 03 '!C25+'Festival Mar 03'!C25+'Festival Feb 03 '!C25+'Festival Jan 03'!C25</f>
        <v>25921.280000000002</v>
      </c>
      <c r="H25" s="2">
        <f>+C25-F25</f>
        <v>25921.280000000002</v>
      </c>
      <c r="J25" s="29"/>
      <c r="K25" s="3">
        <f>+'2002PILRecoveryAmt'!H22</f>
        <v>0.259738155978607</v>
      </c>
      <c r="L25" s="2">
        <f>+K25*C25</f>
        <v>6732.745467805146</v>
      </c>
      <c r="M25" s="25">
        <f>+'2002PILRecoveryAmt'!M25</f>
        <v>0</v>
      </c>
      <c r="N25" s="25">
        <f>+L25+M25</f>
        <v>6732.745467805146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+'Festival Dec 03'!C30+'Festival Nov 03 '!C30+'Festival Oct 03 '!C30+'Festival Sep 03'!C30+'Festival Aug 03'!C30+'Festival Jul-03'!C30+'Festival Jun 03'!C30+'Festival May 03'!C30+'Festival Apr 03 '!C30+'Festival Mar 03'!C30+'Festival Feb 03 '!C30+'Festival Jan 03'!C30</f>
        <v>84524.73</v>
      </c>
      <c r="F30" s="2">
        <f>+'[1]PILRecoveryAmt'!J28</f>
        <v>7063.666666666667</v>
      </c>
      <c r="H30" s="2">
        <f>+C30-F30</f>
        <v>77461.06333333332</v>
      </c>
      <c r="J30" s="29"/>
      <c r="K30" s="3">
        <f>+'2002PILRecoveryAmt'!H30</f>
        <v>0.10038318153933272</v>
      </c>
      <c r="L30" s="2">
        <f>+K30*C30</f>
        <v>8484.861316153083</v>
      </c>
      <c r="M30" s="25">
        <f>+'2002PILRecoveryAmt'!M30</f>
        <v>1646.6516666666666</v>
      </c>
      <c r="N30" s="25">
        <f>+L30+M30</f>
        <v>10131.51298281975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+'Festival Dec 03'!C34+'Festival Nov 03 '!C34+'Festival Oct 03 '!C34+'Festival Sep 03'!C34+'Festival Aug 03'!C34+'Festival Jul-03'!C34+'Festival Jun 03'!C34+'Festival May 03'!C34+'Festival Apr 03 '!C34+'Festival Mar 03'!C34+'Festival Feb 03 '!C34+'Festival Jan 03'!C34</f>
        <v>38536.130000000005</v>
      </c>
      <c r="F34" s="2">
        <f>+'[1]PILRecoveryAmt'!J32</f>
        <v>3274.5</v>
      </c>
      <c r="H34" s="2">
        <f>+C34-F34</f>
        <v>35261.630000000005</v>
      </c>
      <c r="J34" s="29"/>
      <c r="K34" s="3">
        <f>+'2002PILRecoveryAmt'!H34</f>
        <v>0.49355499567363975</v>
      </c>
      <c r="L34" s="2">
        <f>+K34*C34</f>
        <v>19019.69947542882</v>
      </c>
      <c r="M34" s="25">
        <f>+'2002PILRecoveryAmt'!M34</f>
        <v>692.6341666666667</v>
      </c>
      <c r="N34" s="25">
        <f>+L34+M34</f>
        <v>19712.333642095487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C36" s="2">
        <f>+'Festival Dec 03'!C36+'Festival Nov 03 '!C36+'Festival Oct 03 '!C36+'Festival Sep 03'!C36+'Festival Aug 03'!C36+'Festival Jul-03'!C36+'Festival Jun 03'!C36+'Festival May 03'!C36+'Festival Apr 03 '!C36+'Festival Mar 03'!C36+'Festival Feb 03 '!C36+'Festival Jan 03'!C36</f>
        <v>0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+'Festival Dec 03'!C37+'Festival Nov 03 '!C37+'Festival Oct 03 '!C37+'Festival Sep 03'!C37+'Festival Aug 03'!C37+'Festival Jul-03'!C37+'Festival Jun 03'!C37+'Festival May 03'!C37+'Festival Apr 03 '!C37+'Festival Mar 03'!C37+'Festival Feb 03 '!C37+'Festival Jan 03'!C37</f>
        <v>8524.26</v>
      </c>
      <c r="F37" s="2">
        <f>+'[1]PILRecoveryAmt'!J35</f>
        <v>1905.8333333333333</v>
      </c>
      <c r="H37" s="2">
        <f>+C37-F37</f>
        <v>6618.426666666667</v>
      </c>
      <c r="J37" s="29"/>
      <c r="K37" s="3">
        <f>+'2002PILRecoveryAmt'!H37</f>
        <v>0.7029287275907302</v>
      </c>
      <c r="L37" s="2">
        <f>+K37*C37</f>
        <v>5991.947235452558</v>
      </c>
      <c r="M37" s="25">
        <f>+'2002PILRecoveryAmt'!M37</f>
        <v>574.1416666666668</v>
      </c>
      <c r="N37" s="25">
        <f>+L37+M37</f>
        <v>6566.088902119224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+'Festival Dec 03'!C41+'Festival Nov 03 '!C41+'Festival Oct 03 '!C41+'Festival Sep 03'!C41+'Festival Aug 03'!C41+'Festival Jul-03'!C41+'Festival Jun 03'!C41+'Festival May 03'!C41+'Festival Apr 03 '!C41+'Festival Mar 03'!C41+'Festival Feb 03 '!C41+'Festival Jan 03'!C41</f>
        <v>10514.82</v>
      </c>
      <c r="F41" s="2">
        <f>+'[1]PILRecoveryAmt'!J39</f>
        <v>883.3333333333334</v>
      </c>
      <c r="H41" s="2">
        <f>+C41-F41</f>
        <v>9631.486666666666</v>
      </c>
      <c r="J41" s="29"/>
      <c r="K41" s="3">
        <f>+'2002PILRecoveryAmt'!H41</f>
        <v>0.1926320754716981</v>
      </c>
      <c r="L41" s="2">
        <f>+K41*C41</f>
        <v>2025.4915998113206</v>
      </c>
      <c r="M41" s="25">
        <f>+'2002PILRecoveryAmt'!M41</f>
        <v>397.0366666666667</v>
      </c>
      <c r="N41" s="25">
        <f>+L41+M41</f>
        <v>2422.5282664779875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+'Festival Dec 03'!D43+'Festival Nov 03 '!D43+'Festival Oct 03 '!D43+'Festival Sep 03'!D43+'Festival Aug 03'!D43+'Festival Jul-03'!D43+'Festival Jun 03'!D43+'Festival May 03'!D43+'Festival Apr 03 '!D43+'Festival Mar 03'!D43+'Festival Feb 03 '!D43+'Festival Jan 03'!D43</f>
        <v>266443.02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992794.441</v>
      </c>
      <c r="D45" s="14">
        <f>SUM(D9:D44)</f>
        <v>214080129.03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908836.2743333335</v>
      </c>
      <c r="I45" s="14">
        <f>SUM(I9:I43)</f>
        <v>196489817.92666665</v>
      </c>
      <c r="J45" s="29"/>
      <c r="K45" s="15"/>
      <c r="L45" s="14">
        <f>SUM(L9:L43)</f>
        <v>688730.4611930745</v>
      </c>
      <c r="M45" s="14">
        <f>SUM(M9:M43)</f>
        <v>44980.35666666667</v>
      </c>
      <c r="N45" s="14">
        <f>SUM(N9:N43)</f>
        <v>733710.8178597409</v>
      </c>
      <c r="O45" s="25"/>
    </row>
    <row r="46" spans="7:15" ht="12.75">
      <c r="G46" s="2" t="s">
        <v>143</v>
      </c>
      <c r="H46" s="2">
        <f>+C45-F45</f>
        <v>908836.2743333334</v>
      </c>
      <c r="I46" s="2">
        <f>+D45-G45</f>
        <v>196756260.94666666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266443.0200000107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D27">
      <selection activeCell="F48" sqref="F48:J4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10365397-1777-98810.99</f>
        <v>10264809.01</v>
      </c>
      <c r="G9" s="2">
        <f>+'[1]PILRecoveryAmt'!K9</f>
        <v>10449948.666666666</v>
      </c>
      <c r="I9" s="2">
        <f>+D9-G9</f>
        <v>-185139.65666666627</v>
      </c>
      <c r="J9" s="29"/>
      <c r="K9" s="3">
        <f>+'2002PILRecoveryAmt'!I9</f>
        <v>0.0023162344242456567</v>
      </c>
      <c r="L9" s="2">
        <f>+K9*D9</f>
        <v>23775.70398726898</v>
      </c>
      <c r="M9" s="25">
        <f>+'2002PILRecoveryAmt'!M9</f>
        <v>24204.53</v>
      </c>
      <c r="N9" s="25">
        <f>+L9+M9</f>
        <v>47980.23398726898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713895</v>
      </c>
      <c r="G10" s="2">
        <f>+'[1]PILRecoveryAmt'!K10</f>
        <v>640442.5</v>
      </c>
      <c r="I10" s="2">
        <f>+D10-G10</f>
        <v>73452.5</v>
      </c>
      <c r="J10" s="29"/>
      <c r="K10" s="3">
        <f>+'2002PILRecoveryAmt'!I10</f>
        <v>0.002909445422500849</v>
      </c>
      <c r="L10" s="2">
        <f>+K10*D10</f>
        <v>2077.0385398962435</v>
      </c>
      <c r="M10" s="25">
        <f>+'2002PILRecoveryAmt'!M10</f>
        <v>140.2508333333332</v>
      </c>
      <c r="N10" s="25">
        <f>+L10+M10</f>
        <v>2217.2893732295765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348503</v>
      </c>
      <c r="G11" s="2">
        <f>+'[1]PILRecoveryAmt'!K11</f>
        <v>341661.4166666667</v>
      </c>
      <c r="I11" s="2">
        <f>+D11-G11</f>
        <v>6841.583333333314</v>
      </c>
      <c r="J11" s="29"/>
      <c r="K11" s="3">
        <f>+'2002PILRecoveryAmt'!I11</f>
        <v>6.004970320275653E-05</v>
      </c>
      <c r="L11" s="2">
        <f>+K11*D11</f>
        <v>20.92750171527026</v>
      </c>
      <c r="M11" s="25">
        <f>+'2002PILRecoveryAmt'!M11</f>
        <v>492.40000000000003</v>
      </c>
      <c r="N11" s="25">
        <f>+L11+M11</f>
        <v>513.3275017152703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5525007</v>
      </c>
      <c r="G15" s="2">
        <f>+'[1]PILRecoveryAmt'!K13</f>
        <v>5891815.5</v>
      </c>
      <c r="I15" s="2">
        <f>+D15-G15</f>
        <v>-366808.5</v>
      </c>
      <c r="J15" s="29"/>
      <c r="K15" s="3">
        <f>+'2002PILRecoveryAmt'!I15</f>
        <v>0.0015111027039684684</v>
      </c>
      <c r="L15" s="2">
        <f>+K15*D15</f>
        <v>8348.853017144716</v>
      </c>
      <c r="M15" s="25">
        <f>+'2002PILRecoveryAmt'!M15</f>
        <v>8903.139166666666</v>
      </c>
      <c r="N15" s="25">
        <f>+L15+M15</f>
        <v>17251.99218381138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76616-41765</f>
        <v>34851</v>
      </c>
      <c r="G16" s="2">
        <f>+'[1]PILRecoveryAmt'!K16</f>
        <v>0</v>
      </c>
      <c r="I16" s="2">
        <f>+D16-G16</f>
        <v>34851</v>
      </c>
      <c r="J16" s="29"/>
      <c r="K16" s="3">
        <f>+'2002PILRecoveryAmt'!I15</f>
        <v>0.0015111027039684684</v>
      </c>
      <c r="L16" s="2">
        <f>+K16*D16</f>
        <v>52.663440336005095</v>
      </c>
      <c r="M16" s="25">
        <f>+'2002PILRecoveryAmt'!M16</f>
        <v>0</v>
      </c>
      <c r="N16" s="25">
        <f>+L16+M16</f>
        <v>52.663440336005095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40452</f>
        <v>40452</v>
      </c>
      <c r="G17" s="2">
        <f>+'[1]PILRecoveryAmt'!K17</f>
        <v>0</v>
      </c>
      <c r="I17" s="2">
        <f>+D17-G17</f>
        <v>40452</v>
      </c>
      <c r="J17" s="29"/>
      <c r="K17" s="3">
        <v>0.00151</v>
      </c>
      <c r="L17" s="2">
        <f>+K17*D17</f>
        <v>61.08252</v>
      </c>
      <c r="M17" s="25">
        <f>+'2002PILRecoveryAmt'!M17</f>
        <v>0</v>
      </c>
      <c r="N17" s="25">
        <f>+L17+M17</f>
        <v>61.08252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13419.22+227.88</f>
        <v>13647.099999999999</v>
      </c>
      <c r="F22" s="2">
        <f>+'[1]PILRecoveryAmt'!J20</f>
        <v>70786.41666666667</v>
      </c>
      <c r="H22" s="2">
        <f>+C22-F22</f>
        <v>-57139.31666666667</v>
      </c>
      <c r="J22" s="29"/>
      <c r="K22" s="3">
        <f>+'2002PILRecoveryAmt'!H22</f>
        <v>0.259738155978607</v>
      </c>
      <c r="L22" s="2">
        <f>+K22*C22</f>
        <v>3544.672588455647</v>
      </c>
      <c r="M22" s="25">
        <f>+'2002PILRecoveryAmt'!M22</f>
        <v>7879.684999999998</v>
      </c>
      <c r="N22" s="25">
        <f>+L22+M22</f>
        <v>11424.357588455645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17278.11+36</f>
        <v>17314.11</v>
      </c>
      <c r="H23" s="2">
        <f>+C23-F23</f>
        <v>17314.11</v>
      </c>
      <c r="J23" s="29"/>
      <c r="K23" s="3">
        <f>+'2002PILRecoveryAmt'!H22</f>
        <v>0.259738155978607</v>
      </c>
      <c r="L23" s="2">
        <f>+K23*C23</f>
        <v>4497.135003810759</v>
      </c>
      <c r="M23" s="25">
        <f>+'2002PILRecoveryAmt'!M23</f>
        <v>0</v>
      </c>
      <c r="N23" s="25">
        <f>+L23+M23</f>
        <v>4497.135003810759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38594.88</v>
      </c>
      <c r="H24" s="2">
        <f>+C24-F24</f>
        <v>38594.88</v>
      </c>
      <c r="J24" s="29"/>
      <c r="K24" s="3">
        <f>+'2002PILRecoveryAmt'!H22</f>
        <v>0.259738155978607</v>
      </c>
      <c r="L24" s="2">
        <f>+K24*C24</f>
        <v>10024.562961415619</v>
      </c>
      <c r="M24" s="25">
        <f>+'2002PILRecoveryAmt'!M24</f>
        <v>0</v>
      </c>
      <c r="N24" s="25">
        <f>+L24+M24</f>
        <v>10024.562961415619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397.34+1849.6</f>
        <v>2246.94</v>
      </c>
      <c r="H25" s="2">
        <f>+C25-F25</f>
        <v>2246.94</v>
      </c>
      <c r="J25" s="29"/>
      <c r="K25" s="3">
        <f>+'2002PILRecoveryAmt'!H22</f>
        <v>0.259738155978607</v>
      </c>
      <c r="L25" s="2">
        <f>+K25*C25</f>
        <v>583.6160521945712</v>
      </c>
      <c r="M25" s="25">
        <f>+'2002PILRecoveryAmt'!M25</f>
        <v>0</v>
      </c>
      <c r="N25" s="25">
        <f>+L25+M25</f>
        <v>583.6160521945712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6731.28</v>
      </c>
      <c r="F30" s="2">
        <f>+'[1]PILRecoveryAmt'!J28</f>
        <v>7063.666666666667</v>
      </c>
      <c r="H30" s="2">
        <f>+C30-F30</f>
        <v>-332.3866666666672</v>
      </c>
      <c r="J30" s="29"/>
      <c r="K30" s="3">
        <f>+'2002PILRecoveryAmt'!H30</f>
        <v>0.10038318153933272</v>
      </c>
      <c r="L30" s="2">
        <f>+K30*C30</f>
        <v>675.7073022320795</v>
      </c>
      <c r="M30" s="25">
        <f>+'2002PILRecoveryAmt'!M30</f>
        <v>1646.6516666666666</v>
      </c>
      <c r="N30" s="25">
        <f>+L30+M30</f>
        <v>2322.3589688987463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2956.8</v>
      </c>
      <c r="F34" s="2">
        <f>+'[1]PILRecoveryAmt'!J32</f>
        <v>3274.5</v>
      </c>
      <c r="H34" s="2">
        <f>+C34-F34</f>
        <v>-317.6999999999998</v>
      </c>
      <c r="J34" s="29"/>
      <c r="K34" s="3">
        <f>+'2002PILRecoveryAmt'!H34</f>
        <v>0.49355499567363975</v>
      </c>
      <c r="L34" s="2">
        <f>+K34*C34</f>
        <v>1459.343411207818</v>
      </c>
      <c r="M34" s="25">
        <f>+'2002PILRecoveryAmt'!M34</f>
        <v>692.6341666666667</v>
      </c>
      <c r="N34" s="25">
        <f>+L34+M34</f>
        <v>2151.9775778744847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398.29</v>
      </c>
      <c r="F37" s="2">
        <f>+'[1]PILRecoveryAmt'!J35</f>
        <v>1905.8333333333333</v>
      </c>
      <c r="H37" s="2">
        <f>+C37-F37</f>
        <v>-1507.5433333333333</v>
      </c>
      <c r="J37" s="29"/>
      <c r="K37" s="3">
        <f>+'2002PILRecoveryAmt'!H37</f>
        <v>0.7029287275907302</v>
      </c>
      <c r="L37" s="2">
        <f>+K37*C37</f>
        <v>279.96948291211197</v>
      </c>
      <c r="M37" s="25">
        <f>+'2002PILRecoveryAmt'!M37</f>
        <v>574.1416666666668</v>
      </c>
      <c r="N37" s="25">
        <f>+L37+M37</f>
        <v>854.1111495787787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+'[1]PILRecoveryAmt'!J39</f>
        <v>883.3333333333334</v>
      </c>
      <c r="H41" s="2">
        <f>+C41-F41</f>
        <v>-6.763333333333321</v>
      </c>
      <c r="J41" s="29"/>
      <c r="K41" s="3">
        <f>+'2002PILRecoveryAmt'!H41</f>
        <v>0.1926320754716981</v>
      </c>
      <c r="L41" s="2">
        <f>+K41*C41</f>
        <v>168.8554983962264</v>
      </c>
      <c r="M41" s="25">
        <f>+'2002PILRecoveryAmt'!M41</f>
        <v>397.0366666666667</v>
      </c>
      <c r="N41" s="25">
        <f>+L41+M41</f>
        <v>565.8921650628931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257.93+264130.6-340</f>
        <v>264048.52999999997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82765.97</v>
      </c>
      <c r="D45" s="14">
        <f>SUM(D9:D44)</f>
        <v>17191565.54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-1192.1966666666754</v>
      </c>
      <c r="I45" s="14">
        <f>SUM(I9:I43)</f>
        <v>-396351.07333333296</v>
      </c>
      <c r="J45" s="29"/>
      <c r="K45" s="15"/>
      <c r="L45" s="14">
        <f>SUM(L9:L43)</f>
        <v>55570.13130698605</v>
      </c>
      <c r="M45" s="14">
        <f>SUM(M9:M43)</f>
        <v>44980.35666666667</v>
      </c>
      <c r="N45" s="14">
        <f>SUM(N9:N43)</f>
        <v>100550.4879736527</v>
      </c>
      <c r="O45" s="25"/>
    </row>
    <row r="46" spans="7:15" ht="12.75">
      <c r="G46" s="2" t="s">
        <v>143</v>
      </c>
      <c r="H46" s="2">
        <f>+C45-F45</f>
        <v>-1192.1966666666704</v>
      </c>
      <c r="I46" s="2">
        <f>+D45-G45</f>
        <v>-132302.543333333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264048.52999999997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9993817</v>
      </c>
      <c r="G9" s="2">
        <f>+'[1]PILRecoveryAmt'!K9</f>
        <v>10449948.666666666</v>
      </c>
      <c r="I9" s="2">
        <f>+D9-G9</f>
        <v>-456131.66666666605</v>
      </c>
      <c r="J9" s="29"/>
      <c r="K9" s="3">
        <f>+'2002PILRecoveryAmt'!I9</f>
        <v>0.0023162344242456567</v>
      </c>
      <c r="L9" s="2">
        <f>+K9*D9</f>
        <v>23148.022965011456</v>
      </c>
      <c r="M9" s="25">
        <f>+'2002PILRecoveryAmt'!M9</f>
        <v>24204.53</v>
      </c>
      <c r="N9" s="25">
        <f>+L9+M9</f>
        <v>47352.552965011455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565278</v>
      </c>
      <c r="G10" s="2">
        <f>+'[1]PILRecoveryAmt'!K10</f>
        <v>640442.5</v>
      </c>
      <c r="I10" s="2">
        <f>+D10-G10</f>
        <v>-75164.5</v>
      </c>
      <c r="J10" s="29"/>
      <c r="K10" s="3">
        <f>+'2002PILRecoveryAmt'!I10</f>
        <v>0.002909445422500849</v>
      </c>
      <c r="L10" s="2">
        <f>+K10*D10</f>
        <v>1644.645489540435</v>
      </c>
      <c r="M10" s="25">
        <f>+'2002PILRecoveryAmt'!M10</f>
        <v>140.2508333333332</v>
      </c>
      <c r="N10" s="25">
        <f>+L10+M10</f>
        <v>1784.8963228737682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293856</v>
      </c>
      <c r="G11" s="2">
        <f>+'[1]PILRecoveryAmt'!K11</f>
        <v>341661.4166666667</v>
      </c>
      <c r="I11" s="2">
        <f>+D11-G11</f>
        <v>-47805.416666666686</v>
      </c>
      <c r="J11" s="29"/>
      <c r="K11" s="3">
        <f>+'2002PILRecoveryAmt'!I11</f>
        <v>6.004970320275653E-05</v>
      </c>
      <c r="L11" s="2">
        <f>+K11*D11</f>
        <v>17.645965584349224</v>
      </c>
      <c r="M11" s="25">
        <f>+'2002PILRecoveryAmt'!M11</f>
        <v>492.40000000000003</v>
      </c>
      <c r="N11" s="25">
        <f>+L11+M11</f>
        <v>510.04596558434923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5326494</v>
      </c>
      <c r="G15" s="2">
        <f>+'[1]PILRecoveryAmt'!K13</f>
        <v>5891815.5</v>
      </c>
      <c r="I15" s="2">
        <f>+D15-G15</f>
        <v>-565321.5</v>
      </c>
      <c r="J15" s="29"/>
      <c r="K15" s="3">
        <f>+'2002PILRecoveryAmt'!I15</f>
        <v>0.0015111027039684684</v>
      </c>
      <c r="L15" s="2">
        <f>+K15*D15</f>
        <v>8048.8794860718235</v>
      </c>
      <c r="M15" s="25">
        <f>+'2002PILRecoveryAmt'!M15</f>
        <v>8903.139166666666</v>
      </c>
      <c r="N15" s="25">
        <f>+L15+M15</f>
        <v>16952.01865273849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78416</v>
      </c>
      <c r="G16" s="2">
        <f>+'[1]PILRecoveryAmt'!K16</f>
        <v>0</v>
      </c>
      <c r="I16" s="2">
        <f>+D16-G16</f>
        <v>78416</v>
      </c>
      <c r="J16" s="29"/>
      <c r="K16" s="3">
        <f>+'2002PILRecoveryAmt'!I15</f>
        <v>0.0015111027039684684</v>
      </c>
      <c r="L16" s="2">
        <f>+K16*D16</f>
        <v>118.49462963439142</v>
      </c>
      <c r="M16" s="25">
        <f>+'2002PILRecoveryAmt'!M16</f>
        <v>0</v>
      </c>
      <c r="N16" s="25">
        <f>+L16+M16</f>
        <v>118.49462963439142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40557+0</f>
        <v>40557</v>
      </c>
      <c r="G17" s="2">
        <f>+'[1]PILRecoveryAmt'!K17</f>
        <v>0</v>
      </c>
      <c r="I17" s="2">
        <f>+D17-G17</f>
        <v>40557</v>
      </c>
      <c r="J17" s="29"/>
      <c r="K17" s="3">
        <v>0.00151</v>
      </c>
      <c r="L17" s="2">
        <f>+K17*D17</f>
        <v>61.24107</v>
      </c>
      <c r="M17" s="25">
        <f>+'2002PILRecoveryAmt'!M17</f>
        <v>0</v>
      </c>
      <c r="N17" s="25">
        <f>+L17+M17</f>
        <v>61.24107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13582.8</v>
      </c>
      <c r="F22" s="2">
        <f>+'[1]PILRecoveryAmt'!J20</f>
        <v>70786.41666666667</v>
      </c>
      <c r="H22" s="2">
        <f>+C22-F22</f>
        <v>-57203.61666666667</v>
      </c>
      <c r="J22" s="29"/>
      <c r="K22" s="3">
        <f>+'2002PILRecoveryAmt'!H22</f>
        <v>0.259738155978607</v>
      </c>
      <c r="L22" s="2">
        <f>+K22*C22</f>
        <v>3527.971425026223</v>
      </c>
      <c r="M22" s="25">
        <f>+'2002PILRecoveryAmt'!M22</f>
        <v>7879.684999999998</v>
      </c>
      <c r="N22" s="25">
        <f>+L22+M22</f>
        <v>11407.65642502622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16526.37</v>
      </c>
      <c r="H23" s="2">
        <f>+C23-F23</f>
        <v>16526.37</v>
      </c>
      <c r="J23" s="29"/>
      <c r="K23" s="3">
        <f>+'2002PILRecoveryAmt'!H22</f>
        <v>0.259738155978607</v>
      </c>
      <c r="L23" s="2">
        <f>+K23*C23</f>
        <v>4292.528868820171</v>
      </c>
      <c r="M23" s="25">
        <f>+'2002PILRecoveryAmt'!M23</f>
        <v>0</v>
      </c>
      <c r="N23" s="25">
        <f>+L23+M23</f>
        <v>4292.528868820171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39236.34</v>
      </c>
      <c r="H24" s="2">
        <f>+C24-F24</f>
        <v>39236.34</v>
      </c>
      <c r="J24" s="29"/>
      <c r="K24" s="3">
        <f>+'2002PILRecoveryAmt'!H22</f>
        <v>0.259738155978607</v>
      </c>
      <c r="L24" s="2">
        <f>+K24*C24</f>
        <v>10191.174598949656</v>
      </c>
      <c r="M24" s="25">
        <f>+'2002PILRecoveryAmt'!M24</f>
        <v>0</v>
      </c>
      <c r="N24" s="25">
        <f>+L24+M24</f>
        <v>10191.174598949656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388.05+1925.9</f>
        <v>2313.9500000000003</v>
      </c>
      <c r="H25" s="2">
        <f>+C25-F25</f>
        <v>2313.9500000000003</v>
      </c>
      <c r="J25" s="29"/>
      <c r="K25" s="3">
        <f>+'2002PILRecoveryAmt'!H22</f>
        <v>0.259738155978607</v>
      </c>
      <c r="L25" s="2">
        <f>+K25*C25</f>
        <v>601.0211060266977</v>
      </c>
      <c r="M25" s="25">
        <f>+'2002PILRecoveryAmt'!M25</f>
        <v>0</v>
      </c>
      <c r="N25" s="25">
        <f>+L25+M25</f>
        <v>601.0211060266977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7154.86</v>
      </c>
      <c r="F30" s="2">
        <f>+'[1]PILRecoveryAmt'!J28</f>
        <v>7063.666666666667</v>
      </c>
      <c r="H30" s="2">
        <f>+C30-F30</f>
        <v>91.1933333333327</v>
      </c>
      <c r="J30" s="29"/>
      <c r="K30" s="3">
        <f>+'2002PILRecoveryAmt'!H30</f>
        <v>0.10038318153933272</v>
      </c>
      <c r="L30" s="2">
        <f>+K30*C30</f>
        <v>718.22761026851</v>
      </c>
      <c r="M30" s="25">
        <f>+'2002PILRecoveryAmt'!M30</f>
        <v>1646.6516666666666</v>
      </c>
      <c r="N30" s="25">
        <f>+L30+M30</f>
        <v>2364.8792769351767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2995.2</v>
      </c>
      <c r="F34" s="2">
        <f>+'[1]PILRecoveryAmt'!J32</f>
        <v>3274.5</v>
      </c>
      <c r="H34" s="2">
        <f>+C34-F34</f>
        <v>-279.3000000000002</v>
      </c>
      <c r="J34" s="29"/>
      <c r="K34" s="3">
        <f>+'2002PILRecoveryAmt'!H34</f>
        <v>0.49355499567363975</v>
      </c>
      <c r="L34" s="2">
        <f>+K34*C34</f>
        <v>1478.2959230416857</v>
      </c>
      <c r="M34" s="25">
        <f>+'2002PILRecoveryAmt'!M34</f>
        <v>692.6341666666667</v>
      </c>
      <c r="N34" s="25">
        <f>+L34+M34</f>
        <v>2170.930089708352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384</v>
      </c>
      <c r="F37" s="2">
        <f>+'[1]PILRecoveryAmt'!J35</f>
        <v>1905.8333333333333</v>
      </c>
      <c r="H37" s="2">
        <f>+C37-F37</f>
        <v>-1521.8333333333333</v>
      </c>
      <c r="J37" s="29"/>
      <c r="K37" s="3">
        <f>+'2002PILRecoveryAmt'!H37</f>
        <v>0.7029287275907302</v>
      </c>
      <c r="L37" s="2">
        <f>+K37*C37</f>
        <v>269.9246313948404</v>
      </c>
      <c r="M37" s="25">
        <f>+'2002PILRecoveryAmt'!M37</f>
        <v>574.1416666666668</v>
      </c>
      <c r="N37" s="25">
        <f>+L37+M37</f>
        <v>844.0662980615072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+'[1]PILRecoveryAmt'!J39</f>
        <v>883.3333333333334</v>
      </c>
      <c r="H41" s="2">
        <f>+C41-F41</f>
        <v>-7.543333333333408</v>
      </c>
      <c r="J41" s="29"/>
      <c r="K41" s="3">
        <f>+'2002PILRecoveryAmt'!H41</f>
        <v>0.1926320754716981</v>
      </c>
      <c r="L41" s="2">
        <f>+K41*C41</f>
        <v>168.7052453773585</v>
      </c>
      <c r="M41" s="25">
        <f>+'2002PILRecoveryAmt'!M41</f>
        <v>397.0366666666667</v>
      </c>
      <c r="N41" s="25">
        <f>+L41+M41</f>
        <v>565.7419120440252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83069.30999999998</v>
      </c>
      <c r="D45" s="14">
        <f>SUM(D9:D44)</f>
        <v>16298521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-888.8566666666773</v>
      </c>
      <c r="I45" s="14">
        <f>SUM(I9:I43)</f>
        <v>-1025450.0833333328</v>
      </c>
      <c r="J45" s="29"/>
      <c r="K45" s="15"/>
      <c r="L45" s="14">
        <f>SUM(L9:L43)</f>
        <v>54286.7790147476</v>
      </c>
      <c r="M45" s="14">
        <f>SUM(M9:M43)</f>
        <v>44980.35666666667</v>
      </c>
      <c r="N45" s="14">
        <f>SUM(N9:N43)</f>
        <v>99267.13568141425</v>
      </c>
      <c r="O45" s="25"/>
    </row>
    <row r="46" spans="7:15" ht="12.75">
      <c r="G46" s="2" t="s">
        <v>143</v>
      </c>
      <c r="H46" s="2">
        <f>+C45-F45</f>
        <v>-888.8566666666884</v>
      </c>
      <c r="I46" s="2">
        <f>+D45-G45</f>
        <v>-1025347.0833333321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103.00000000069849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8997275</v>
      </c>
      <c r="G9" s="2">
        <f>+'[1]PILRecoveryAmt'!K9</f>
        <v>10449948.666666666</v>
      </c>
      <c r="I9" s="2">
        <f>+D9-G9</f>
        <v>-1452673.666666666</v>
      </c>
      <c r="J9" s="29"/>
      <c r="K9" s="3">
        <f>+'2002PILRecoveryAmt'!I9</f>
        <v>0.0023162344242456567</v>
      </c>
      <c r="L9" s="2">
        <f>+K9*D9</f>
        <v>20839.79807940484</v>
      </c>
      <c r="M9" s="25">
        <f>+'2002PILRecoveryAmt'!M9</f>
        <v>24204.53</v>
      </c>
      <c r="N9" s="25">
        <f>+L9+M9</f>
        <v>45044.32807940484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585422</v>
      </c>
      <c r="G10" s="2">
        <f>+'[1]PILRecoveryAmt'!K10</f>
        <v>640442.5</v>
      </c>
      <c r="I10" s="2">
        <f>+D10-G10</f>
        <v>-55020.5</v>
      </c>
      <c r="J10" s="29"/>
      <c r="K10" s="3">
        <f>+'2002PILRecoveryAmt'!I10</f>
        <v>0.002909445422500849</v>
      </c>
      <c r="L10" s="2">
        <f>+K10*D10</f>
        <v>1703.253358131292</v>
      </c>
      <c r="M10" s="25">
        <f>+'2002PILRecoveryAmt'!M10</f>
        <v>140.2508333333332</v>
      </c>
      <c r="N10" s="25">
        <f>+L10+M10</f>
        <v>1843.5041914646254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264519</v>
      </c>
      <c r="G11" s="2">
        <f>+'[1]PILRecoveryAmt'!K11</f>
        <v>341661.4166666667</v>
      </c>
      <c r="I11" s="2">
        <f>+D11-G11</f>
        <v>-77142.41666666669</v>
      </c>
      <c r="J11" s="29"/>
      <c r="K11" s="3">
        <f>+'2002PILRecoveryAmt'!I11</f>
        <v>6.004970320275653E-05</v>
      </c>
      <c r="L11" s="2">
        <f>+K11*D11</f>
        <v>15.884287441489954</v>
      </c>
      <c r="M11" s="25">
        <f>+'2002PILRecoveryAmt'!M11</f>
        <v>492.40000000000003</v>
      </c>
      <c r="N11" s="25">
        <f>+L11+M11</f>
        <v>508.28428744149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5326009</v>
      </c>
      <c r="G15" s="2">
        <f>+'[1]PILRecoveryAmt'!K13</f>
        <v>5891815.5</v>
      </c>
      <c r="I15" s="2">
        <f>+D15-G15</f>
        <v>-565806.5</v>
      </c>
      <c r="J15" s="29"/>
      <c r="K15" s="3">
        <f>+'2002PILRecoveryAmt'!I15</f>
        <v>0.0015111027039684684</v>
      </c>
      <c r="L15" s="2">
        <f>+K15*D15</f>
        <v>8048.146601260399</v>
      </c>
      <c r="M15" s="25">
        <f>+'2002PILRecoveryAmt'!M15</f>
        <v>8903.139166666666</v>
      </c>
      <c r="N15" s="25">
        <f>+L15+M15</f>
        <v>16951.285767927064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78650</v>
      </c>
      <c r="G16" s="2">
        <f>+'[1]PILRecoveryAmt'!K16</f>
        <v>0</v>
      </c>
      <c r="I16" s="2">
        <f>+D16-G16</f>
        <v>78650</v>
      </c>
      <c r="J16" s="29"/>
      <c r="K16" s="3">
        <f>+'2002PILRecoveryAmt'!I15</f>
        <v>0.0015111027039684684</v>
      </c>
      <c r="L16" s="2">
        <f>+K16*D16</f>
        <v>118.84822766712004</v>
      </c>
      <c r="M16" s="25">
        <f>+'2002PILRecoveryAmt'!M16</f>
        <v>0</v>
      </c>
      <c r="N16" s="25">
        <f>+L16+M16</f>
        <v>118.84822766712004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37446+2776</f>
        <v>40222</v>
      </c>
      <c r="G17" s="2">
        <f>+'[1]PILRecoveryAmt'!K17</f>
        <v>0</v>
      </c>
      <c r="I17" s="2">
        <f>+D17-G17</f>
        <v>40222</v>
      </c>
      <c r="J17" s="29"/>
      <c r="K17" s="3">
        <v>0.00151</v>
      </c>
      <c r="L17" s="2">
        <f>+K17*D17</f>
        <v>60.735220000000005</v>
      </c>
      <c r="M17" s="25">
        <f>+'2002PILRecoveryAmt'!M17</f>
        <v>0</v>
      </c>
      <c r="N17" s="25">
        <f>+L17+M17</f>
        <v>60.735220000000005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13715.97</v>
      </c>
      <c r="F22" s="2">
        <f>+'[1]PILRecoveryAmt'!J20</f>
        <v>70786.41666666667</v>
      </c>
      <c r="H22" s="2">
        <f>+C22-F22</f>
        <v>-57070.44666666667</v>
      </c>
      <c r="J22" s="29"/>
      <c r="K22" s="3">
        <f>+'2002PILRecoveryAmt'!H22</f>
        <v>0.259738155978607</v>
      </c>
      <c r="L22" s="2">
        <f>+K22*C22</f>
        <v>3562.560755257894</v>
      </c>
      <c r="M22" s="25">
        <f>+'2002PILRecoveryAmt'!M22</f>
        <v>7879.684999999998</v>
      </c>
      <c r="N22" s="25">
        <f>+L22+M22</f>
        <v>11442.245755257893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16513.7</v>
      </c>
      <c r="H23" s="2">
        <f>+C23-F23</f>
        <v>16513.7</v>
      </c>
      <c r="J23" s="29"/>
      <c r="K23" s="3">
        <f>+'2002PILRecoveryAmt'!H22</f>
        <v>0.259738155978607</v>
      </c>
      <c r="L23" s="2">
        <f>+K23*C23</f>
        <v>4289.237986383922</v>
      </c>
      <c r="M23" s="25">
        <f>+'2002PILRecoveryAmt'!M23</f>
        <v>0</v>
      </c>
      <c r="N23" s="25">
        <f>+L23+M23</f>
        <v>4289.237986383922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39556.03</v>
      </c>
      <c r="H24" s="2">
        <f>+C24-F24</f>
        <v>39556.03</v>
      </c>
      <c r="J24" s="29"/>
      <c r="K24" s="3">
        <f>+'2002PILRecoveryAmt'!H22</f>
        <v>0.259738155978607</v>
      </c>
      <c r="L24" s="2">
        <f>+K24*C24</f>
        <v>10274.210290034458</v>
      </c>
      <c r="M24" s="25">
        <f>+'2002PILRecoveryAmt'!M24</f>
        <v>0</v>
      </c>
      <c r="N24" s="25">
        <f>+L24+M24</f>
        <v>10274.210290034458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416.38+2093.44</f>
        <v>2509.82</v>
      </c>
      <c r="H25" s="2">
        <f>+C25-F25</f>
        <v>2509.82</v>
      </c>
      <c r="J25" s="29"/>
      <c r="K25" s="3">
        <f>+'2002PILRecoveryAmt'!H22</f>
        <v>0.259738155978607</v>
      </c>
      <c r="L25" s="2">
        <f>+K25*C25</f>
        <v>651.8960186382275</v>
      </c>
      <c r="M25" s="25">
        <f>+'2002PILRecoveryAmt'!M25</f>
        <v>0</v>
      </c>
      <c r="N25" s="25">
        <f>+L25+M25</f>
        <v>651.8960186382275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7277.45</v>
      </c>
      <c r="F30" s="2">
        <f>+'[1]PILRecoveryAmt'!J28</f>
        <v>7063.666666666667</v>
      </c>
      <c r="H30" s="2">
        <f>+C30-F30</f>
        <v>213.78333333333285</v>
      </c>
      <c r="J30" s="29"/>
      <c r="K30" s="3">
        <f>+'2002PILRecoveryAmt'!H30</f>
        <v>0.10038318153933272</v>
      </c>
      <c r="L30" s="2">
        <f>+K30*C30</f>
        <v>730.5335844934169</v>
      </c>
      <c r="M30" s="25">
        <f>+'2002PILRecoveryAmt'!M30</f>
        <v>1646.6516666666666</v>
      </c>
      <c r="N30" s="25">
        <f>+L30+M30</f>
        <v>2377.1852511600837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+'[1]PILRecoveryAmt'!J32</f>
        <v>3274.5</v>
      </c>
      <c r="H34" s="2">
        <f>+C34-F34</f>
        <v>-298.5</v>
      </c>
      <c r="J34" s="29"/>
      <c r="K34" s="3">
        <f>+'2002PILRecoveryAmt'!H34</f>
        <v>0.49355499567363975</v>
      </c>
      <c r="L34" s="2">
        <f>+K34*C34</f>
        <v>1468.819667124752</v>
      </c>
      <c r="M34" s="25">
        <f>+'2002PILRecoveryAmt'!M34</f>
        <v>692.6341666666667</v>
      </c>
      <c r="N34" s="25">
        <f>+L34+M34</f>
        <v>2161.4538337914187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364.8</v>
      </c>
      <c r="F37" s="2">
        <f>+'[1]PILRecoveryAmt'!J35</f>
        <v>1905.8333333333333</v>
      </c>
      <c r="H37" s="2">
        <f>+C37-F37</f>
        <v>-1541.0333333333333</v>
      </c>
      <c r="J37" s="29"/>
      <c r="K37" s="3">
        <f>+'2002PILRecoveryAmt'!H37</f>
        <v>0.7029287275907302</v>
      </c>
      <c r="L37" s="2">
        <f>+K37*C37</f>
        <v>256.4283998250984</v>
      </c>
      <c r="M37" s="25">
        <f>+'2002PILRecoveryAmt'!M37</f>
        <v>574.1416666666668</v>
      </c>
      <c r="N37" s="25">
        <f>+L37+M37</f>
        <v>830.5700664917651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+'[1]PILRecoveryAmt'!J39</f>
        <v>883.3333333333334</v>
      </c>
      <c r="H41" s="2">
        <f>+C41-F41</f>
        <v>-7.543333333333408</v>
      </c>
      <c r="J41" s="29"/>
      <c r="K41" s="3">
        <f>+'2002PILRecoveryAmt'!H41</f>
        <v>0.1926320754716981</v>
      </c>
      <c r="L41" s="2">
        <f>+K41*C41</f>
        <v>168.7052453773585</v>
      </c>
      <c r="M41" s="25">
        <f>+'2002PILRecoveryAmt'!M41</f>
        <v>397.0366666666667</v>
      </c>
      <c r="N41" s="25">
        <f>+L41+M41</f>
        <v>565.7419120440252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83789.56</v>
      </c>
      <c r="D45" s="14">
        <f>SUM(D9:D44)</f>
        <v>15292200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-168.60666666667478</v>
      </c>
      <c r="I45" s="14">
        <f>SUM(I9:I43)</f>
        <v>-2031771.083333333</v>
      </c>
      <c r="J45" s="29"/>
      <c r="K45" s="15"/>
      <c r="L45" s="14">
        <f>SUM(L9:L43)</f>
        <v>52189.05772104027</v>
      </c>
      <c r="M45" s="14">
        <f>SUM(M9:M43)</f>
        <v>44980.35666666667</v>
      </c>
      <c r="N45" s="14">
        <f>SUM(N9:N43)</f>
        <v>97169.41438770694</v>
      </c>
      <c r="O45" s="25"/>
    </row>
    <row r="46" spans="7:15" ht="12.75">
      <c r="G46" s="2" t="s">
        <v>143</v>
      </c>
      <c r="H46" s="2">
        <f>+C45-F45</f>
        <v>-168.60666666667385</v>
      </c>
      <c r="I46" s="2">
        <f>+D45-G45</f>
        <v>-2031668.083333332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">
      <selection activeCell="F17" sqref="F17:J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10351631</v>
      </c>
      <c r="G9" s="2">
        <f>+'[1]PILRecoveryAmt'!K9</f>
        <v>10449948.666666666</v>
      </c>
      <c r="I9" s="2">
        <f>+D9-G9</f>
        <v>-98317.66666666605</v>
      </c>
      <c r="J9" s="29"/>
      <c r="K9" s="3">
        <f>+'2002PILRecoveryAmt'!I9</f>
        <v>0.0023162344242456567</v>
      </c>
      <c r="L9" s="2">
        <f>+K9*D9</f>
        <v>23976.804069288493</v>
      </c>
      <c r="M9" s="25">
        <f>+'2002PILRecoveryAmt'!M9</f>
        <v>24204.53</v>
      </c>
      <c r="N9" s="25">
        <f>+L9+M9</f>
        <v>48181.334069288496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598747</v>
      </c>
      <c r="G10" s="2">
        <f>+'[1]PILRecoveryAmt'!K10</f>
        <v>640442.5</v>
      </c>
      <c r="I10" s="2">
        <f>+D10-G10</f>
        <v>-41695.5</v>
      </c>
      <c r="J10" s="29"/>
      <c r="K10" s="3">
        <f>+'2002PILRecoveryAmt'!I10</f>
        <v>0.002909445422500849</v>
      </c>
      <c r="L10" s="2">
        <f>+K10*D10</f>
        <v>1742.021718386116</v>
      </c>
      <c r="M10" s="25">
        <f>+'2002PILRecoveryAmt'!M10</f>
        <v>140.2508333333332</v>
      </c>
      <c r="N10" s="25">
        <f>+L10+M10</f>
        <v>1882.2725517194492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343656</v>
      </c>
      <c r="G11" s="2">
        <f>+'[1]PILRecoveryAmt'!K11</f>
        <v>341661.4166666667</v>
      </c>
      <c r="I11" s="2">
        <f>+D11-G11</f>
        <v>1994.583333333314</v>
      </c>
      <c r="J11" s="29"/>
      <c r="K11" s="3">
        <f>+'2002PILRecoveryAmt'!I11</f>
        <v>6.004970320275653E-05</v>
      </c>
      <c r="L11" s="2">
        <f>+K11*D11</f>
        <v>20.636440803846497</v>
      </c>
      <c r="M11" s="25">
        <f>+'2002PILRecoveryAmt'!M11</f>
        <v>492.40000000000003</v>
      </c>
      <c r="N11" s="25">
        <f>+L11+M11</f>
        <v>513.0364408038465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5895765</v>
      </c>
      <c r="G15" s="2">
        <f>+'[1]PILRecoveryAmt'!K13</f>
        <v>5891815.5</v>
      </c>
      <c r="I15" s="2">
        <f>+D15-G15</f>
        <v>3949.5</v>
      </c>
      <c r="J15" s="29"/>
      <c r="K15" s="3">
        <f>+'2002PILRecoveryAmt'!I15</f>
        <v>0.0015111027039684684</v>
      </c>
      <c r="L15" s="2">
        <f>+K15*D15</f>
        <v>8909.106433462657</v>
      </c>
      <c r="M15" s="25">
        <f>+'2002PILRecoveryAmt'!M15</f>
        <v>8903.139166666666</v>
      </c>
      <c r="N15" s="25">
        <f>+L15+M15</f>
        <v>17812.245600129325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+'[1]PILRecoveryAmt'!K16</f>
        <v>0</v>
      </c>
      <c r="I16" s="2">
        <f>+D16-G16</f>
        <v>120415</v>
      </c>
      <c r="J16" s="29"/>
      <c r="K16" s="3">
        <f>+'2002PILRecoveryAmt'!I15</f>
        <v>0.0015111027039684684</v>
      </c>
      <c r="L16" s="2">
        <f>+K16*D16</f>
        <v>181.95943209836312</v>
      </c>
      <c r="M16" s="25">
        <f>+'2002PILRecoveryAmt'!M16</f>
        <v>0</v>
      </c>
      <c r="N16" s="25">
        <f>+L16+M16</f>
        <v>181.95943209836312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40202</v>
      </c>
      <c r="G17" s="2">
        <f>+'[1]PILRecoveryAmt'!K17</f>
        <v>0</v>
      </c>
      <c r="I17" s="2">
        <f>+D17-G17</f>
        <v>40202</v>
      </c>
      <c r="J17" s="29"/>
      <c r="K17" s="3">
        <v>0.00151</v>
      </c>
      <c r="L17" s="2">
        <f>+K17*D17</f>
        <v>60.705020000000005</v>
      </c>
      <c r="M17" s="25">
        <f>+'2002PILRecoveryAmt'!M17</f>
        <v>0</v>
      </c>
      <c r="N17" s="25">
        <f>+L17+M17</f>
        <v>60.705020000000005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13937.85</v>
      </c>
      <c r="F22" s="2">
        <f>+'[1]PILRecoveryAmt'!J20</f>
        <v>70786.41666666667</v>
      </c>
      <c r="H22" s="2">
        <f>+C22-F22</f>
        <v>-56848.56666666667</v>
      </c>
      <c r="J22" s="29"/>
      <c r="K22" s="3">
        <f>+'2002PILRecoveryAmt'!H22</f>
        <v>0.259738155978607</v>
      </c>
      <c r="L22" s="2">
        <f>+K22*C22</f>
        <v>3620.1914573064278</v>
      </c>
      <c r="M22" s="25">
        <f>+'2002PILRecoveryAmt'!M22</f>
        <v>7879.684999999998</v>
      </c>
      <c r="N22" s="25">
        <f>+L22+M22</f>
        <v>11499.876457306425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16596.82</v>
      </c>
      <c r="H23" s="2">
        <f>+C23-F23</f>
        <v>16596.82</v>
      </c>
      <c r="J23" s="29"/>
      <c r="K23" s="3">
        <f>+'2002PILRecoveryAmt'!H22</f>
        <v>0.259738155978607</v>
      </c>
      <c r="L23" s="2">
        <f>+K23*C23</f>
        <v>4310.827421908864</v>
      </c>
      <c r="M23" s="25">
        <f>+'2002PILRecoveryAmt'!M23</f>
        <v>0</v>
      </c>
      <c r="N23" s="25">
        <f>+L23+M23</f>
        <v>4310.827421908864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39115.71</v>
      </c>
      <c r="H24" s="2">
        <f>+C24-F24</f>
        <v>39115.71</v>
      </c>
      <c r="J24" s="29"/>
      <c r="K24" s="3">
        <f>+'2002PILRecoveryAmt'!H22</f>
        <v>0.259738155978607</v>
      </c>
      <c r="L24" s="2">
        <f>+K24*C24</f>
        <v>10159.842385193957</v>
      </c>
      <c r="M24" s="25">
        <f>+'2002PILRecoveryAmt'!M24</f>
        <v>0</v>
      </c>
      <c r="N24" s="25">
        <f>+L24+M24</f>
        <v>10159.842385193957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429.87+2098.89</f>
        <v>2528.7599999999998</v>
      </c>
      <c r="H25" s="2">
        <f>+C25-F25</f>
        <v>2528.7599999999998</v>
      </c>
      <c r="J25" s="29"/>
      <c r="K25" s="3">
        <f>+'2002PILRecoveryAmt'!H22</f>
        <v>0.259738155978607</v>
      </c>
      <c r="L25" s="2">
        <f>+K25*C25</f>
        <v>656.8154593124622</v>
      </c>
      <c r="M25" s="25">
        <f>+'2002PILRecoveryAmt'!M25</f>
        <v>0</v>
      </c>
      <c r="N25" s="25">
        <f>+L25+M25</f>
        <v>656.8154593124622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7465.46</v>
      </c>
      <c r="F30" s="2">
        <f>+'[1]PILRecoveryAmt'!J28</f>
        <v>7063.666666666667</v>
      </c>
      <c r="H30" s="2">
        <f>+C30-F30</f>
        <v>401.79333333333307</v>
      </c>
      <c r="J30" s="29"/>
      <c r="K30" s="3">
        <f>+'2002PILRecoveryAmt'!H30</f>
        <v>0.10038318153933272</v>
      </c>
      <c r="L30" s="2">
        <f>+K30*C30</f>
        <v>749.4066264546268</v>
      </c>
      <c r="M30" s="25">
        <f>+'2002PILRecoveryAmt'!M30</f>
        <v>1646.6516666666666</v>
      </c>
      <c r="N30" s="25">
        <f>+L30+M30</f>
        <v>2396.0582931212934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+'[1]PILRecoveryAmt'!J32</f>
        <v>3274.5</v>
      </c>
      <c r="H34" s="2">
        <f>+C34-F34</f>
        <v>-298.5</v>
      </c>
      <c r="J34" s="29"/>
      <c r="K34" s="3">
        <f>+'2002PILRecoveryAmt'!H34</f>
        <v>0.49355499567363975</v>
      </c>
      <c r="L34" s="2">
        <f>+K34*C34</f>
        <v>1468.819667124752</v>
      </c>
      <c r="M34" s="25">
        <f>+'2002PILRecoveryAmt'!M34</f>
        <v>692.6341666666667</v>
      </c>
      <c r="N34" s="25">
        <f>+L34+M34</f>
        <v>2161.4538337914187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1090.32</v>
      </c>
      <c r="F37" s="2">
        <f>+'[1]PILRecoveryAmt'!J35</f>
        <v>1905.8333333333333</v>
      </c>
      <c r="H37" s="2">
        <f>+C37-F37</f>
        <v>-815.5133333333333</v>
      </c>
      <c r="J37" s="29"/>
      <c r="K37" s="3">
        <f>+'2002PILRecoveryAmt'!H37</f>
        <v>0.7029287275907302</v>
      </c>
      <c r="L37" s="2">
        <f>+K37*C37</f>
        <v>766.417250266725</v>
      </c>
      <c r="M37" s="25">
        <f>+'2002PILRecoveryAmt'!M37</f>
        <v>574.1416666666668</v>
      </c>
      <c r="N37" s="25">
        <f>+L37+M37</f>
        <v>1340.5589169333916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84585.83000000002</v>
      </c>
      <c r="D45" s="14">
        <f>SUM(D9:D44)</f>
        <v>17350519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627.6633333333253</v>
      </c>
      <c r="I45" s="14">
        <f>SUM(I9:I43)</f>
        <v>26547.916666667268</v>
      </c>
      <c r="J45" s="29"/>
      <c r="K45" s="15"/>
      <c r="L45" s="14">
        <f>SUM(L9:L43)</f>
        <v>56792.089110758236</v>
      </c>
      <c r="M45" s="14">
        <f>SUM(M9:M43)</f>
        <v>44980.35666666667</v>
      </c>
      <c r="N45" s="14">
        <f>SUM(N9:N43)</f>
        <v>101772.44577742489</v>
      </c>
      <c r="O45" s="25"/>
    </row>
    <row r="46" spans="7:15" ht="12.75">
      <c r="G46" s="2" t="s">
        <v>143</v>
      </c>
      <c r="H46" s="2">
        <f>+C45-F45</f>
        <v>627.6633333333448</v>
      </c>
      <c r="I46" s="2">
        <f>+D45-G45</f>
        <v>26650.91666666791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103.00000000064028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Kelly Mccann</cp:lastModifiedBy>
  <cp:lastPrinted>2011-12-02T21:17:03Z</cp:lastPrinted>
  <dcterms:created xsi:type="dcterms:W3CDTF">2002-02-08T04:44:26Z</dcterms:created>
  <dcterms:modified xsi:type="dcterms:W3CDTF">2011-12-02T21:17:24Z</dcterms:modified>
  <cp:category/>
  <cp:version/>
  <cp:contentType/>
  <cp:contentStatus/>
</cp:coreProperties>
</file>