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7290" tabRatio="1000" activeTab="0"/>
  </bookViews>
  <sheets>
    <sheet name="Rec &amp; JEs" sheetId="1" r:id="rId1"/>
    <sheet name="Festival Mar 05" sheetId="2" r:id="rId2"/>
    <sheet name="Festival Feb 05 " sheetId="3" r:id="rId3"/>
    <sheet name="Festival Jan 05" sheetId="4" r:id="rId4"/>
    <sheet name="Festival Dec 04" sheetId="5" r:id="rId5"/>
    <sheet name="Festival Nov 04" sheetId="6" r:id="rId6"/>
    <sheet name="Festival Oct 04" sheetId="7" r:id="rId7"/>
    <sheet name="Festival Sep 04" sheetId="8" r:id="rId8"/>
    <sheet name="Festival Aug 04 " sheetId="9" r:id="rId9"/>
    <sheet name="Festival Jul 04" sheetId="10" r:id="rId10"/>
    <sheet name="Festival Jun 04" sheetId="11" r:id="rId11"/>
    <sheet name="Festival May 04" sheetId="12" r:id="rId12"/>
    <sheet name="Festival Apr 04 " sheetId="13" r:id="rId13"/>
    <sheet name="2002PILRecoveryAmt" sheetId="14" r:id="rId14"/>
  </sheets>
  <externalReferences>
    <externalReference r:id="rId17"/>
    <externalReference r:id="rId18"/>
    <externalReference r:id="rId19"/>
  </externalReferences>
  <definedNames>
    <definedName name="_xlnm.Print_Area" localSheetId="0">'Rec &amp; JEs'!$A$1:$G$249</definedName>
  </definedNames>
  <calcPr fullCalcOnLoad="1"/>
</workbook>
</file>

<file path=xl/sharedStrings.xml><?xml version="1.0" encoding="utf-8"?>
<sst xmlns="http://schemas.openxmlformats.org/spreadsheetml/2006/main" count="1215" uniqueCount="183">
  <si>
    <t>Festival Hydro Inc.</t>
  </si>
  <si>
    <t>Festival</t>
  </si>
  <si>
    <t>Code</t>
  </si>
  <si>
    <t>Category</t>
  </si>
  <si>
    <t>kW's</t>
  </si>
  <si>
    <t>kWh's</t>
  </si>
  <si>
    <t>Rate</t>
  </si>
  <si>
    <t>AA1</t>
  </si>
  <si>
    <t>Residential</t>
  </si>
  <si>
    <t>AA2</t>
  </si>
  <si>
    <t>Residential Seaforth</t>
  </si>
  <si>
    <t>AA3</t>
  </si>
  <si>
    <t>Residential Hensall</t>
  </si>
  <si>
    <t>AA4</t>
  </si>
  <si>
    <t>AA5</t>
  </si>
  <si>
    <t>Residential St. Marys</t>
  </si>
  <si>
    <t>CCC</t>
  </si>
  <si>
    <t>General Service &lt; 50 kWh</t>
  </si>
  <si>
    <t>FFF</t>
  </si>
  <si>
    <t>General Service &gt; 50 kWh</t>
  </si>
  <si>
    <t>Standby Service</t>
  </si>
  <si>
    <t>Street Lighting - Winter</t>
  </si>
  <si>
    <t>Street Lighting Summer</t>
  </si>
  <si>
    <t>Sentinel Lighting</t>
  </si>
  <si>
    <t>Totals</t>
  </si>
  <si>
    <t>GEN</t>
  </si>
  <si>
    <t>TOU</t>
  </si>
  <si>
    <t>Amount</t>
  </si>
  <si>
    <t>FAG</t>
  </si>
  <si>
    <t>FF1</t>
  </si>
  <si>
    <t>FF2</t>
  </si>
  <si>
    <t>HEN</t>
  </si>
  <si>
    <t>REL</t>
  </si>
  <si>
    <t>TOU - On</t>
  </si>
  <si>
    <t>TOU - Off</t>
  </si>
  <si>
    <t>Street Lighting TOU</t>
  </si>
  <si>
    <t>FA1</t>
  </si>
  <si>
    <t>HR1</t>
  </si>
  <si>
    <t>LGH</t>
  </si>
  <si>
    <t>Balance per report</t>
  </si>
  <si>
    <t xml:space="preserve">Determination of amount to be recovered </t>
  </si>
  <si>
    <t>AA1/AA5</t>
  </si>
  <si>
    <t>AA2/AA4</t>
  </si>
  <si>
    <t>From Form 6 of the PIL calculation</t>
  </si>
  <si>
    <t xml:space="preserve">Amount to be </t>
  </si>
  <si>
    <t>recovered via</t>
  </si>
  <si>
    <t xml:space="preserve">Amount to be recovered </t>
  </si>
  <si>
    <t>per</t>
  </si>
  <si>
    <t xml:space="preserve">Monthly budgeted amount </t>
  </si>
  <si>
    <t>to be recovered</t>
  </si>
  <si>
    <t>x 12 mths</t>
  </si>
  <si>
    <t>Actuals per the billing registers</t>
  </si>
  <si>
    <t>Budgeted Recoveries</t>
  </si>
  <si>
    <t>.</t>
  </si>
  <si>
    <t>Difference over (under) absorbed</t>
  </si>
  <si>
    <t>Recovered</t>
  </si>
  <si>
    <t>Recovery</t>
  </si>
  <si>
    <t>Interest Calculation</t>
  </si>
  <si>
    <t>Opening Balance</t>
  </si>
  <si>
    <t>March Closing balance</t>
  </si>
  <si>
    <t>Interest Income</t>
  </si>
  <si>
    <t xml:space="preserve">Outstanding </t>
  </si>
  <si>
    <t>Balance</t>
  </si>
  <si>
    <t>March Revised balance</t>
  </si>
  <si>
    <t>April Opening balance</t>
  </si>
  <si>
    <t>Recovered in April</t>
  </si>
  <si>
    <t>April Closing balance</t>
  </si>
  <si>
    <t>Recovered in May</t>
  </si>
  <si>
    <t>May Revised balance</t>
  </si>
  <si>
    <t>May Opening balance</t>
  </si>
  <si>
    <t>Principal</t>
  </si>
  <si>
    <t>May Closing balance</t>
  </si>
  <si>
    <t>From Form 6</t>
  </si>
  <si>
    <t>2002 PIL Recovery</t>
  </si>
  <si>
    <t>ZFG</t>
  </si>
  <si>
    <t>Retailer billed</t>
  </si>
  <si>
    <t>Jun Opening balance</t>
  </si>
  <si>
    <t>Recovered in Jun</t>
  </si>
  <si>
    <t>Jun Revised balance</t>
  </si>
  <si>
    <t>Jun Closing balance</t>
  </si>
  <si>
    <t>12 months</t>
  </si>
  <si>
    <t>Monthly amount to set up</t>
  </si>
  <si>
    <t>Jan Closing Balance</t>
  </si>
  <si>
    <t>A/c 4405</t>
  </si>
  <si>
    <t>1562-00-BT</t>
  </si>
  <si>
    <t>Deferred PILs</t>
  </si>
  <si>
    <t>Accrual for PILs</t>
  </si>
  <si>
    <t>4405-00-BT</t>
  </si>
  <si>
    <t>Accrued Interest &amp; Dividends</t>
  </si>
  <si>
    <t>Recovered in Aug</t>
  </si>
  <si>
    <t>Recovered in Jul</t>
  </si>
  <si>
    <t>rates-Total</t>
  </si>
  <si>
    <t xml:space="preserve">       Variable charge</t>
  </si>
  <si>
    <t>rates - Variable</t>
  </si>
  <si>
    <t>Fixed amount</t>
  </si>
  <si>
    <t>being recovered</t>
  </si>
  <si>
    <t>rates - Fixed</t>
  </si>
  <si>
    <t xml:space="preserve">monthly </t>
  </si>
  <si>
    <t>Fixed monthly</t>
  </si>
  <si>
    <t>Total</t>
  </si>
  <si>
    <t>recovery</t>
  </si>
  <si>
    <t>Variable</t>
  </si>
  <si>
    <t>Recovered in Sep</t>
  </si>
  <si>
    <t>Recovered in Oct</t>
  </si>
  <si>
    <t>ZFF/ZFF1</t>
  </si>
  <si>
    <t>Recovered in Nov</t>
  </si>
  <si>
    <t xml:space="preserve">Total </t>
  </si>
  <si>
    <t>Interest</t>
  </si>
  <si>
    <t>********* - Dec includes a 2,602.11 adjustment for streelighting</t>
  </si>
  <si>
    <t>billed at KwH in the earlier months and converted to kW consumption</t>
  </si>
  <si>
    <t xml:space="preserve">in month of Dec </t>
  </si>
  <si>
    <t>****** Dec includes unbilled sent light kwh converted to kW consumption</t>
  </si>
  <si>
    <t xml:space="preserve">   of 42.66 kW</t>
  </si>
  <si>
    <t>Jan Opening balance</t>
  </si>
  <si>
    <t>Feb Opening balance</t>
  </si>
  <si>
    <t>YTD Int</t>
  </si>
  <si>
    <t>Interest @ 7.25</t>
  </si>
  <si>
    <t xml:space="preserve">Interst on PILS </t>
  </si>
  <si>
    <t>1138-00-VR</t>
  </si>
  <si>
    <t>Allow for interest on variance accts</t>
  </si>
  <si>
    <t>Int @ 7.25</t>
  </si>
  <si>
    <t>Int @ 2.65</t>
  </si>
  <si>
    <t>Sentinel Lighting  *****</t>
  </si>
  <si>
    <t>1563-00-BT</t>
  </si>
  <si>
    <t>Closing balance</t>
  </si>
  <si>
    <t>Period:  Apr 2004</t>
  </si>
  <si>
    <t>2004 PILs Recovery</t>
  </si>
  <si>
    <t xml:space="preserve">2004 PIL recovery - at 7.25% </t>
  </si>
  <si>
    <t>Total 2004 PILs</t>
  </si>
  <si>
    <t>Period:  May 2004</t>
  </si>
  <si>
    <t>CCC/ZCC</t>
  </si>
  <si>
    <t>ZFF/ZFF!</t>
  </si>
  <si>
    <t>Period:  Aug 2004</t>
  </si>
  <si>
    <t>Period:  Jul 2004</t>
  </si>
  <si>
    <t xml:space="preserve"> Revised balance</t>
  </si>
  <si>
    <t>1 month new PILS</t>
  </si>
  <si>
    <t>New PILS</t>
  </si>
  <si>
    <t>Period:  Sep 2004</t>
  </si>
  <si>
    <t>SLR</t>
  </si>
  <si>
    <t xml:space="preserve">Journal Entries at Oct/04 </t>
  </si>
  <si>
    <t>To record allow on interest for PILS for Oct 04</t>
  </si>
  <si>
    <t>2004 PIL Recovery</t>
  </si>
  <si>
    <t>Period:  Nov 2004</t>
  </si>
  <si>
    <t>Period:  Dec 2004</t>
  </si>
  <si>
    <t>Period:  Jun 2004</t>
  </si>
  <si>
    <t>Period:  Oct 2004</t>
  </si>
  <si>
    <t>Dec/04</t>
  </si>
  <si>
    <t>To record new PIL less recivery for Nov &amp; Dec 04</t>
  </si>
  <si>
    <t>To record interest income for Nov &amp; Dec 04</t>
  </si>
  <si>
    <t>ZCC</t>
  </si>
  <si>
    <t>SLR on report</t>
  </si>
  <si>
    <t>Period:  Jan 2005</t>
  </si>
  <si>
    <t xml:space="preserve">Recovered in </t>
  </si>
  <si>
    <t>Period:  Feb 2005</t>
  </si>
  <si>
    <t>Period:  Mar 2005</t>
  </si>
  <si>
    <t>2001, 2002,2004 PILs Recovery</t>
  </si>
  <si>
    <t xml:space="preserve">Journal Entries for Jan &amp; Feb 05 </t>
  </si>
  <si>
    <t>Feb/05</t>
  </si>
  <si>
    <t>Add Interest</t>
  </si>
  <si>
    <t xml:space="preserve">Less Recovery </t>
  </si>
  <si>
    <t xml:space="preserve">Adjustment </t>
  </si>
  <si>
    <t>Total - 2004</t>
  </si>
  <si>
    <t>Recoveries</t>
  </si>
  <si>
    <t>True Up</t>
  </si>
  <si>
    <t>Int YTD</t>
  </si>
  <si>
    <t>Beginning</t>
  </si>
  <si>
    <t>(Mar 05 last mth on 2004 PIL recovery- Mar 05 includeds unbilled reveneue)</t>
  </si>
  <si>
    <t>To Apr 30/06</t>
  </si>
  <si>
    <t>2004 True up</t>
  </si>
  <si>
    <t>Original Filed</t>
  </si>
  <si>
    <t>Year</t>
  </si>
  <si>
    <t xml:space="preserve">New PILS </t>
  </si>
  <si>
    <t>Interst</t>
  </si>
  <si>
    <t>True UP</t>
  </si>
  <si>
    <t>Ending</t>
  </si>
  <si>
    <t>New PILs</t>
  </si>
  <si>
    <t xml:space="preserve">2004 PILs true up </t>
  </si>
  <si>
    <t>PILS Proxy to Apr 1, 2004</t>
  </si>
  <si>
    <t>beginning April 1, 2004</t>
  </si>
  <si>
    <t>Monthly proxy to to Mar 31, 2004</t>
  </si>
  <si>
    <t>Total 2004 PIL Proxy</t>
  </si>
  <si>
    <t>2001 Proxy for 3 mths in 2004</t>
  </si>
  <si>
    <t>2002 Proxy all year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</si>
</sst>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#,##0.00_ ;\-#,##0.00\ 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left"/>
    </xf>
    <xf numFmtId="184" fontId="0" fillId="0" borderId="0" xfId="0" applyNumberFormat="1" applyAlignment="1">
      <alignment/>
    </xf>
    <xf numFmtId="184" fontId="3" fillId="0" borderId="0" xfId="0" applyNumberFormat="1" applyFont="1" applyBorder="1" applyAlignment="1">
      <alignment horizontal="center"/>
    </xf>
    <xf numFmtId="184" fontId="0" fillId="0" borderId="11" xfId="0" applyNumberFormat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9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 horizontal="center"/>
    </xf>
    <xf numFmtId="185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39" fontId="6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left"/>
    </xf>
    <xf numFmtId="189" fontId="0" fillId="0" borderId="0" xfId="0" applyNumberFormat="1" applyAlignment="1">
      <alignment/>
    </xf>
    <xf numFmtId="189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9" fontId="5" fillId="0" borderId="0" xfId="0" applyNumberFormat="1" applyFont="1" applyAlignment="1">
      <alignment horizontal="right"/>
    </xf>
    <xf numFmtId="39" fontId="5" fillId="0" borderId="12" xfId="0" applyNumberFormat="1" applyFont="1" applyBorder="1" applyAlignment="1">
      <alignment horizontal="right"/>
    </xf>
    <xf numFmtId="39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9" fontId="0" fillId="0" borderId="14" xfId="0" applyNumberFormat="1" applyBorder="1" applyAlignment="1">
      <alignment/>
    </xf>
    <xf numFmtId="39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4%20PILs%20Recovery\2001PILrecove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4%20PILs%20Recovery\2001%20PIL%20recovery%20Sep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4%20PILs%20Recovery\2002%20PILrecovery%20Sep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Charge"/>
      <sheetName val="PILSummary"/>
      <sheetName val="PILRecoveryAmt"/>
      <sheetName val="Festival August 30"/>
      <sheetName val="Festival July 31"/>
      <sheetName val="Festival June 30"/>
      <sheetName val="Festival May 31"/>
      <sheetName val="Festival Apr 30"/>
      <sheetName val="Festival Mar 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tival Mar 04"/>
      <sheetName val="Rec &amp; JEs"/>
      <sheetName val="Festival Feb 04 "/>
      <sheetName val="Festival Jan 04"/>
      <sheetName val="Dec 03 YTD Dist Qties"/>
      <sheetName val="Festival Dec 03"/>
      <sheetName val="Festival Nov 03"/>
      <sheetName val="Festival Oct 03"/>
      <sheetName val="Festival Sep 03"/>
      <sheetName val="Festival Aug 03 "/>
      <sheetName val="Festival Jul 03"/>
      <sheetName val="Festival Jun 03"/>
      <sheetName val="Festival May 03"/>
      <sheetName val="Festival Apr 03"/>
      <sheetName val="Festival Mar 03 "/>
      <sheetName val="Festival Feb 03"/>
      <sheetName val="Festival Jan 03"/>
      <sheetName val="2001PILSummary"/>
      <sheetName val="2001PILRecoveryAmt"/>
      <sheetName val="Festival Dec 30"/>
      <sheetName val="Festival Nov 30 "/>
      <sheetName val="Festival Oct  30"/>
      <sheetName val="Festival Sept 30 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1">
        <row r="205">
          <cell r="E205">
            <v>-3210.5486146720204</v>
          </cell>
        </row>
        <row r="220">
          <cell r="E220">
            <v>-3676.1006415892302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tival Apr 04 "/>
      <sheetName val="Festival Mar 04"/>
      <sheetName val="Rec &amp; JEs"/>
      <sheetName val="Festival Feb 04"/>
      <sheetName val="Festival JAN 04"/>
      <sheetName val="Dec 03 YTD Dist Qties"/>
      <sheetName val="Festival Dec 03"/>
      <sheetName val="Festival Nov 03 "/>
      <sheetName val="Festival Oct 03 "/>
      <sheetName val="Festival Sep 03"/>
      <sheetName val="Festival Aug 03"/>
      <sheetName val="Festival Jul-03"/>
      <sheetName val="Festival Jun 03"/>
      <sheetName val="Festival May 03"/>
      <sheetName val="Festival Apr 03 "/>
      <sheetName val="Festival Mar 03"/>
      <sheetName val="Festival Feb 03 "/>
      <sheetName val="Festival Jan 03"/>
      <sheetName val="2002PIL Summary"/>
      <sheetName val="2002PILRecoveryAmt"/>
      <sheetName val="Festival Dec 31"/>
      <sheetName val="Festival Nov 30 "/>
      <sheetName val="Festival Oct 30 "/>
      <sheetName val="Festival Sept 30"/>
      <sheetName val="Festival August 30"/>
      <sheetName val="Festival July 31"/>
      <sheetName val="Festival Jun 30"/>
      <sheetName val="Festival May 31"/>
      <sheetName val="Festival Apr 30"/>
      <sheetName val="Festival Mar 31"/>
    </sheetNames>
    <sheetDataSet>
      <sheetData sheetId="2">
        <row r="224">
          <cell r="C224">
            <v>-98929.3784398951</v>
          </cell>
        </row>
        <row r="241">
          <cell r="C241">
            <v>-96325.77089962644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0.421875" style="0" customWidth="1"/>
    <col min="2" max="2" width="22.00390625" style="0" customWidth="1"/>
    <col min="3" max="3" width="17.140625" style="2" customWidth="1"/>
    <col min="4" max="4" width="14.8515625" style="2" customWidth="1"/>
    <col min="5" max="5" width="15.00390625" style="2" customWidth="1"/>
    <col min="6" max="6" width="13.8515625" style="18" customWidth="1"/>
    <col min="7" max="7" width="12.8515625" style="2" bestFit="1" customWidth="1"/>
    <col min="8" max="8" width="14.28125" style="2" bestFit="1" customWidth="1"/>
    <col min="9" max="9" width="14.28125" style="2" customWidth="1"/>
    <col min="10" max="10" width="13.57421875" style="2" bestFit="1" customWidth="1"/>
    <col min="11" max="12" width="14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  <col min="16" max="16" width="9.7109375" style="0" bestFit="1" customWidth="1"/>
    <col min="17" max="17" width="12.8515625" style="0" customWidth="1"/>
    <col min="19" max="19" width="10.140625" style="0" bestFit="1" customWidth="1"/>
    <col min="20" max="20" width="12.7109375" style="0" customWidth="1"/>
    <col min="23" max="23" width="9.8515625" style="0" customWidth="1"/>
    <col min="24" max="24" width="11.7109375" style="0" bestFit="1" customWidth="1"/>
    <col min="25" max="25" width="10.00390625" style="0" customWidth="1"/>
    <col min="26" max="26" width="9.8515625" style="0" customWidth="1"/>
    <col min="27" max="27" width="11.7109375" style="0" bestFit="1" customWidth="1"/>
    <col min="28" max="28" width="10.57421875" style="0" customWidth="1"/>
    <col min="29" max="29" width="9.7109375" style="0" bestFit="1" customWidth="1"/>
    <col min="30" max="30" width="12.28125" style="0" bestFit="1" customWidth="1"/>
  </cols>
  <sheetData>
    <row r="1" spans="1:33" ht="12.75">
      <c r="A1" s="1" t="s">
        <v>0</v>
      </c>
      <c r="K1" s="29"/>
      <c r="L1" s="29"/>
      <c r="M1" s="24"/>
      <c r="N1" s="24"/>
      <c r="O1" s="24"/>
      <c r="P1" s="36"/>
      <c r="Q1" s="36"/>
      <c r="R1" s="36"/>
      <c r="S1" s="36"/>
      <c r="T1" s="36"/>
      <c r="U1" s="36"/>
      <c r="V1" s="38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2.75">
      <c r="A2" s="37" t="s">
        <v>127</v>
      </c>
      <c r="E2" s="63" t="s">
        <v>177</v>
      </c>
      <c r="K2" s="29"/>
      <c r="L2" s="29"/>
      <c r="M2" s="24"/>
      <c r="N2" s="24"/>
      <c r="O2" s="24"/>
      <c r="P2" s="36"/>
      <c r="Q2" s="36"/>
      <c r="R2" s="36"/>
      <c r="S2" s="36"/>
      <c r="T2" s="36"/>
      <c r="U2" s="36"/>
      <c r="V2" s="39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5:33" ht="12.75">
      <c r="E3" s="33" t="s">
        <v>181</v>
      </c>
      <c r="G3" s="2">
        <f>370962/12</f>
        <v>30913.5</v>
      </c>
      <c r="K3" s="24"/>
      <c r="L3" s="29"/>
      <c r="M3" s="30"/>
      <c r="N3" s="24"/>
      <c r="O3" s="24"/>
      <c r="P3" s="30"/>
      <c r="Q3" s="24"/>
      <c r="R3" s="24"/>
      <c r="S3" s="30"/>
      <c r="T3" s="24"/>
      <c r="U3" s="24"/>
      <c r="V3" s="36"/>
      <c r="W3" s="30"/>
      <c r="X3" s="24"/>
      <c r="Y3" s="24"/>
      <c r="Z3" s="30"/>
      <c r="AA3" s="24"/>
      <c r="AB3" s="24"/>
      <c r="AC3" s="30"/>
      <c r="AD3" s="24"/>
      <c r="AE3" s="24"/>
      <c r="AF3" s="36"/>
      <c r="AG3" s="36"/>
    </row>
    <row r="4" spans="2:33" ht="12.75">
      <c r="B4" t="s">
        <v>128</v>
      </c>
      <c r="C4" s="2">
        <v>1226571</v>
      </c>
      <c r="E4" s="33" t="s">
        <v>182</v>
      </c>
      <c r="F4" s="2"/>
      <c r="G4" s="2">
        <f>1226571/12</f>
        <v>102214.25</v>
      </c>
      <c r="K4" s="24"/>
      <c r="L4" s="30"/>
      <c r="M4" s="30"/>
      <c r="N4" s="24"/>
      <c r="O4" s="30"/>
      <c r="P4" s="30"/>
      <c r="Q4" s="24"/>
      <c r="R4" s="30"/>
      <c r="S4" s="30"/>
      <c r="T4" s="24"/>
      <c r="U4" s="30"/>
      <c r="V4" s="36"/>
      <c r="W4" s="30"/>
      <c r="X4" s="24"/>
      <c r="Y4" s="30"/>
      <c r="Z4" s="30"/>
      <c r="AA4" s="24"/>
      <c r="AB4" s="30"/>
      <c r="AC4" s="30"/>
      <c r="AD4" s="24"/>
      <c r="AE4" s="30"/>
      <c r="AF4" s="36"/>
      <c r="AG4" s="36"/>
    </row>
    <row r="5" spans="3:33" ht="13.5" thickBot="1">
      <c r="C5" s="2" t="s">
        <v>80</v>
      </c>
      <c r="E5" s="61" t="s">
        <v>179</v>
      </c>
      <c r="F5" s="2"/>
      <c r="G5" s="25">
        <f>+G4+G3</f>
        <v>133127.75</v>
      </c>
      <c r="K5" s="6"/>
      <c r="L5" s="30"/>
      <c r="M5" s="6"/>
      <c r="N5" s="6"/>
      <c r="O5" s="30"/>
      <c r="P5" s="6"/>
      <c r="Q5" s="6"/>
      <c r="R5" s="30"/>
      <c r="S5" s="6"/>
      <c r="T5" s="6"/>
      <c r="U5" s="30"/>
      <c r="V5" s="36"/>
      <c r="W5" s="6"/>
      <c r="X5" s="6"/>
      <c r="Y5" s="30"/>
      <c r="Z5" s="6"/>
      <c r="AA5" s="6"/>
      <c r="AB5" s="30"/>
      <c r="AC5" s="6"/>
      <c r="AD5" s="6"/>
      <c r="AE5" s="30"/>
      <c r="AF5" s="36"/>
      <c r="AG5" s="36"/>
    </row>
    <row r="6" spans="2:33" ht="14.25" thickBot="1" thickTop="1">
      <c r="B6" s="61" t="s">
        <v>81</v>
      </c>
      <c r="C6" s="25">
        <f>+C4/12</f>
        <v>102214.25</v>
      </c>
      <c r="D6" s="15"/>
      <c r="E6" s="61" t="s">
        <v>180</v>
      </c>
      <c r="F6" s="2"/>
      <c r="G6" s="62">
        <f>(+G5*3)+(C6*9)</f>
        <v>1319311.5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6"/>
      <c r="X6" s="6"/>
      <c r="Y6" s="6"/>
      <c r="Z6" s="6"/>
      <c r="AA6" s="6"/>
      <c r="AB6" s="6"/>
      <c r="AC6" s="6"/>
      <c r="AD6" s="6"/>
      <c r="AE6" s="6"/>
      <c r="AF6" s="36"/>
      <c r="AG6" s="36"/>
    </row>
    <row r="7" spans="2:33" ht="13.5" thickTop="1">
      <c r="B7" s="61" t="s">
        <v>178</v>
      </c>
      <c r="F7" s="2"/>
      <c r="K7" s="24"/>
      <c r="L7" s="24"/>
      <c r="M7" s="24"/>
      <c r="N7" s="24"/>
      <c r="O7" s="24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3:33" ht="12.75">
      <c r="C8" s="6" t="s">
        <v>61</v>
      </c>
      <c r="D8" s="8"/>
      <c r="E8" s="6" t="s">
        <v>61</v>
      </c>
      <c r="F8" s="4"/>
      <c r="G8" s="40" t="s">
        <v>106</v>
      </c>
      <c r="K8" s="24"/>
      <c r="L8" s="24"/>
      <c r="M8" s="24"/>
      <c r="N8" s="24"/>
      <c r="O8" s="24"/>
      <c r="P8" s="36"/>
      <c r="Q8" s="24"/>
      <c r="R8" s="24"/>
      <c r="S8" s="36"/>
      <c r="T8" s="24"/>
      <c r="U8" s="24"/>
      <c r="V8" s="36"/>
      <c r="W8" s="36"/>
      <c r="X8" s="24"/>
      <c r="Y8" s="24"/>
      <c r="Z8" s="36"/>
      <c r="AA8" s="24"/>
      <c r="AB8" s="24"/>
      <c r="AC8" s="36"/>
      <c r="AD8" s="24"/>
      <c r="AE8" s="24"/>
      <c r="AF8" s="36"/>
      <c r="AG8" s="36"/>
    </row>
    <row r="9" spans="2:33" ht="12.75">
      <c r="B9" s="1" t="s">
        <v>57</v>
      </c>
      <c r="C9" s="11" t="s">
        <v>62</v>
      </c>
      <c r="D9" s="11" t="s">
        <v>60</v>
      </c>
      <c r="E9" s="11" t="s">
        <v>70</v>
      </c>
      <c r="F9" s="4"/>
      <c r="G9" s="40" t="s">
        <v>55</v>
      </c>
      <c r="K9" s="24"/>
      <c r="L9" s="24"/>
      <c r="M9" s="24"/>
      <c r="N9" s="24"/>
      <c r="O9" s="24"/>
      <c r="P9" s="36"/>
      <c r="Q9" s="24"/>
      <c r="R9" s="24"/>
      <c r="S9" s="36"/>
      <c r="T9" s="24"/>
      <c r="U9" s="24"/>
      <c r="V9" s="36"/>
      <c r="W9" s="36"/>
      <c r="X9" s="24"/>
      <c r="Y9" s="24"/>
      <c r="Z9" s="36"/>
      <c r="AA9" s="24"/>
      <c r="AB9" s="24"/>
      <c r="AC9" s="36"/>
      <c r="AD9" s="24"/>
      <c r="AE9" s="24"/>
      <c r="AF9" s="36"/>
      <c r="AG9" s="36"/>
    </row>
    <row r="10" spans="4:33" ht="12.75">
      <c r="D10" s="15" t="s">
        <v>83</v>
      </c>
      <c r="F10" s="4"/>
      <c r="K10" s="24"/>
      <c r="L10" s="24"/>
      <c r="M10" s="24"/>
      <c r="N10" s="24"/>
      <c r="O10" s="24"/>
      <c r="P10" s="36"/>
      <c r="Q10" s="24"/>
      <c r="R10" s="24"/>
      <c r="S10" s="36"/>
      <c r="T10" s="24"/>
      <c r="U10" s="24"/>
      <c r="V10" s="36"/>
      <c r="W10" s="36"/>
      <c r="X10" s="24"/>
      <c r="Y10" s="24"/>
      <c r="Z10" s="36"/>
      <c r="AA10" s="24"/>
      <c r="AB10" s="24"/>
      <c r="AC10" s="36"/>
      <c r="AD10" s="24"/>
      <c r="AE10" s="24"/>
      <c r="AF10" s="36"/>
      <c r="AG10" s="36"/>
    </row>
    <row r="11" spans="1:33" ht="12.75">
      <c r="A11" s="31">
        <v>37987</v>
      </c>
      <c r="B11" t="s">
        <v>58</v>
      </c>
      <c r="C11" s="2">
        <v>0</v>
      </c>
      <c r="D11" s="15"/>
      <c r="E11" s="2">
        <v>0</v>
      </c>
      <c r="F11" s="4"/>
      <c r="K11" s="24"/>
      <c r="L11" s="24"/>
      <c r="M11" s="24"/>
      <c r="N11" s="24"/>
      <c r="O11" s="24"/>
      <c r="P11" s="36"/>
      <c r="Q11" s="24"/>
      <c r="R11" s="24"/>
      <c r="S11" s="36"/>
      <c r="T11" s="24"/>
      <c r="U11" s="24"/>
      <c r="V11" s="36"/>
      <c r="W11" s="36"/>
      <c r="X11" s="24"/>
      <c r="Y11" s="24"/>
      <c r="Z11" s="36"/>
      <c r="AA11" s="24"/>
      <c r="AB11" s="24"/>
      <c r="AC11" s="36"/>
      <c r="AD11" s="24"/>
      <c r="AE11" s="24"/>
      <c r="AF11" s="36"/>
      <c r="AG11" s="36"/>
    </row>
    <row r="12" spans="1:33" ht="12.75">
      <c r="A12" s="31"/>
      <c r="B12" t="s">
        <v>135</v>
      </c>
      <c r="C12" s="2">
        <v>133127.75</v>
      </c>
      <c r="D12" s="15"/>
      <c r="E12" s="2">
        <f>+C12</f>
        <v>133127.75</v>
      </c>
      <c r="F12" s="4"/>
      <c r="K12" s="24"/>
      <c r="L12" s="24"/>
      <c r="M12" s="24"/>
      <c r="N12" s="24"/>
      <c r="O12" s="24"/>
      <c r="P12" s="36"/>
      <c r="Q12" s="24"/>
      <c r="R12" s="24"/>
      <c r="S12" s="36"/>
      <c r="T12" s="24"/>
      <c r="U12" s="24"/>
      <c r="V12" s="36"/>
      <c r="W12" s="36"/>
      <c r="X12" s="24"/>
      <c r="Y12" s="24"/>
      <c r="Z12" s="36"/>
      <c r="AA12" s="24"/>
      <c r="AB12" s="24"/>
      <c r="AC12" s="36"/>
      <c r="AD12" s="24"/>
      <c r="AE12" s="24"/>
      <c r="AF12" s="36"/>
      <c r="AG12" s="36"/>
    </row>
    <row r="13" spans="2:33" ht="12.75">
      <c r="B13" t="s">
        <v>116</v>
      </c>
      <c r="C13" s="2">
        <f>+E11*0.0725/365*31</f>
        <v>0</v>
      </c>
      <c r="D13" s="33">
        <f>+C13</f>
        <v>0</v>
      </c>
      <c r="E13" s="2">
        <v>0</v>
      </c>
      <c r="F13" s="4"/>
      <c r="K13" s="24"/>
      <c r="L13" s="24"/>
      <c r="M13" s="24"/>
      <c r="N13" s="24"/>
      <c r="O13" s="24"/>
      <c r="P13" s="36"/>
      <c r="Q13" s="24"/>
      <c r="R13" s="24"/>
      <c r="S13" s="36"/>
      <c r="T13" s="24"/>
      <c r="U13" s="24"/>
      <c r="V13" s="36"/>
      <c r="W13" s="36"/>
      <c r="X13" s="24"/>
      <c r="Y13" s="24"/>
      <c r="Z13" s="36"/>
      <c r="AA13" s="24"/>
      <c r="AB13" s="24"/>
      <c r="AC13" s="36"/>
      <c r="AD13" s="24"/>
      <c r="AE13" s="24"/>
      <c r="AF13" s="36"/>
      <c r="AG13" s="36"/>
    </row>
    <row r="14" spans="2:33" ht="13.5" thickBot="1">
      <c r="B14" s="32" t="s">
        <v>82</v>
      </c>
      <c r="C14" s="34">
        <f>SUM(C11:C13)</f>
        <v>133127.75</v>
      </c>
      <c r="D14" s="34">
        <f>SUM(D11:D13)</f>
        <v>0</v>
      </c>
      <c r="E14" s="34">
        <f>SUM(E11:E13)</f>
        <v>133127.75</v>
      </c>
      <c r="F14" s="34">
        <f>SUM(F11:F13)</f>
        <v>0</v>
      </c>
      <c r="G14" s="34">
        <f>SUM(G11:G13)</f>
        <v>0</v>
      </c>
      <c r="K14" s="24"/>
      <c r="L14" s="24"/>
      <c r="M14" s="24"/>
      <c r="N14" s="24"/>
      <c r="O14" s="24"/>
      <c r="P14" s="36"/>
      <c r="Q14" s="24"/>
      <c r="R14" s="24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2:33" ht="13.5" thickTop="1">
      <c r="B15" s="1"/>
      <c r="C15" s="48"/>
      <c r="D15" s="49"/>
      <c r="F15" s="2"/>
      <c r="K15" s="24"/>
      <c r="L15" s="24"/>
      <c r="M15" s="24"/>
      <c r="N15" s="24"/>
      <c r="O15" s="24"/>
      <c r="P15" s="36"/>
      <c r="Q15" s="24"/>
      <c r="R15" s="24"/>
      <c r="S15" s="36"/>
      <c r="T15" s="24"/>
      <c r="U15" s="24"/>
      <c r="V15" s="36"/>
      <c r="W15" s="36"/>
      <c r="X15" s="24"/>
      <c r="Y15" s="24"/>
      <c r="Z15" s="36"/>
      <c r="AA15" s="24"/>
      <c r="AB15" s="24"/>
      <c r="AC15" s="36"/>
      <c r="AD15" s="24"/>
      <c r="AE15" s="24"/>
      <c r="AF15" s="36"/>
      <c r="AG15" s="36"/>
    </row>
    <row r="16" spans="1:33" ht="12.75">
      <c r="A16" s="31">
        <v>38018</v>
      </c>
      <c r="B16" t="s">
        <v>58</v>
      </c>
      <c r="C16" s="2">
        <f>+C14</f>
        <v>133127.75</v>
      </c>
      <c r="D16" s="33">
        <f>+D14</f>
        <v>0</v>
      </c>
      <c r="E16" s="33">
        <f>+E14</f>
        <v>133127.75</v>
      </c>
      <c r="F16" s="33">
        <f>+F14</f>
        <v>0</v>
      </c>
      <c r="G16" s="33">
        <f>+G14</f>
        <v>0</v>
      </c>
      <c r="K16" s="24"/>
      <c r="L16" s="24"/>
      <c r="M16" s="24"/>
      <c r="N16" s="24"/>
      <c r="O16" s="24"/>
      <c r="P16" s="36"/>
      <c r="Q16" s="24"/>
      <c r="R16" s="24"/>
      <c r="S16" s="36"/>
      <c r="T16" s="24"/>
      <c r="U16" s="24"/>
      <c r="V16" s="36"/>
      <c r="W16" s="36"/>
      <c r="X16" s="24"/>
      <c r="Y16" s="24"/>
      <c r="Z16" s="36"/>
      <c r="AA16" s="24"/>
      <c r="AB16" s="24"/>
      <c r="AC16" s="36"/>
      <c r="AD16" s="24"/>
      <c r="AE16" s="24"/>
      <c r="AF16" s="36"/>
      <c r="AG16" s="36"/>
    </row>
    <row r="17" spans="1:33" ht="12.75">
      <c r="A17" s="31"/>
      <c r="B17" t="s">
        <v>135</v>
      </c>
      <c r="C17" s="2">
        <v>133127.75</v>
      </c>
      <c r="D17" s="15"/>
      <c r="E17" s="33">
        <f>+C17</f>
        <v>133127.75</v>
      </c>
      <c r="F17" s="15"/>
      <c r="G17" s="15"/>
      <c r="K17" s="24"/>
      <c r="L17" s="24"/>
      <c r="M17" s="24"/>
      <c r="N17" s="24"/>
      <c r="O17" s="24"/>
      <c r="P17" s="36"/>
      <c r="Q17" s="24"/>
      <c r="R17" s="24"/>
      <c r="S17" s="36"/>
      <c r="T17" s="24"/>
      <c r="U17" s="24"/>
      <c r="V17" s="36"/>
      <c r="W17" s="36"/>
      <c r="X17" s="24"/>
      <c r="Y17" s="24"/>
      <c r="Z17" s="36"/>
      <c r="AA17" s="24"/>
      <c r="AB17" s="24"/>
      <c r="AC17" s="36"/>
      <c r="AD17" s="24"/>
      <c r="AE17" s="24"/>
      <c r="AF17" s="36"/>
      <c r="AG17" s="36"/>
    </row>
    <row r="18" spans="2:33" ht="12.75">
      <c r="B18" t="s">
        <v>116</v>
      </c>
      <c r="C18" s="2">
        <f>+E14*0.0725/365*28</f>
        <v>740.4091301369863</v>
      </c>
      <c r="D18" s="33">
        <f>+C18</f>
        <v>740.4091301369863</v>
      </c>
      <c r="E18" s="2">
        <v>0</v>
      </c>
      <c r="F18" s="2"/>
      <c r="K18" s="24"/>
      <c r="L18" s="24"/>
      <c r="M18" s="24"/>
      <c r="N18" s="24"/>
      <c r="O18" s="24"/>
      <c r="P18" s="36"/>
      <c r="Q18" s="24"/>
      <c r="R18" s="2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2:33" ht="13.5" thickBot="1">
      <c r="B19" s="32" t="s">
        <v>82</v>
      </c>
      <c r="C19" s="34">
        <f>SUM(C16:C18)</f>
        <v>266995.909130137</v>
      </c>
      <c r="D19" s="34">
        <f>+D18+D14</f>
        <v>740.4091301369863</v>
      </c>
      <c r="E19" s="34">
        <f>SUM(E16:E18)</f>
        <v>266255.5</v>
      </c>
      <c r="F19" s="25">
        <f>+E19+D19</f>
        <v>266995.909130137</v>
      </c>
      <c r="G19" s="34">
        <f>SUM(G16:G18)</f>
        <v>0</v>
      </c>
      <c r="K19" s="24"/>
      <c r="L19" s="24"/>
      <c r="M19" s="24"/>
      <c r="N19" s="24"/>
      <c r="O19" s="24"/>
      <c r="P19" s="36"/>
      <c r="Q19" s="24"/>
      <c r="R19" s="24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3:33" ht="13.5" thickTop="1">
      <c r="C20" s="48"/>
      <c r="D20" s="49"/>
      <c r="F20" s="2"/>
      <c r="K20" s="24"/>
      <c r="L20" s="24"/>
      <c r="M20" s="24"/>
      <c r="N20" s="24"/>
      <c r="O20" s="24"/>
      <c r="P20" s="36"/>
      <c r="Q20" s="24"/>
      <c r="R20" s="2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4:33" ht="12.75">
      <c r="D21" s="15"/>
      <c r="F21" s="2"/>
      <c r="K21" s="24"/>
      <c r="L21" s="24"/>
      <c r="M21" s="24"/>
      <c r="N21" s="24"/>
      <c r="O21" s="24"/>
      <c r="P21" s="36"/>
      <c r="Q21" s="24"/>
      <c r="R21" s="24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12.75">
      <c r="A22" s="31">
        <v>38047</v>
      </c>
      <c r="B22" t="s">
        <v>58</v>
      </c>
      <c r="C22" s="2">
        <f>+C19</f>
        <v>266995.909130137</v>
      </c>
      <c r="D22" s="2">
        <f>+D19</f>
        <v>740.4091301369863</v>
      </c>
      <c r="E22" s="2">
        <f>+E19</f>
        <v>266255.5</v>
      </c>
      <c r="F22" s="2">
        <f>+F19</f>
        <v>266995.909130137</v>
      </c>
      <c r="G22" s="2">
        <f>+G19</f>
        <v>0</v>
      </c>
      <c r="K22" s="24"/>
      <c r="L22" s="24"/>
      <c r="M22" s="24"/>
      <c r="N22" s="24"/>
      <c r="O22" s="24"/>
      <c r="P22" s="36"/>
      <c r="Q22" s="24"/>
      <c r="R22" s="2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2:33" ht="12.75">
      <c r="B23" t="s">
        <v>135</v>
      </c>
      <c r="C23" s="23">
        <v>133127.75</v>
      </c>
      <c r="E23" s="23">
        <f>+C23</f>
        <v>133127.75</v>
      </c>
      <c r="F23" s="2"/>
      <c r="G23" s="2"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24"/>
      <c r="V23" s="36"/>
      <c r="W23" s="24"/>
      <c r="X23" s="36"/>
      <c r="Y23" s="24"/>
      <c r="Z23" s="24"/>
      <c r="AA23" s="36"/>
      <c r="AB23" s="24"/>
      <c r="AC23" s="24"/>
      <c r="AD23" s="36"/>
      <c r="AE23" s="24"/>
      <c r="AF23" s="36"/>
      <c r="AG23" s="36"/>
    </row>
    <row r="24" spans="2:33" ht="12.75">
      <c r="B24" t="s">
        <v>63</v>
      </c>
      <c r="C24" s="2">
        <f>+C22+C23</f>
        <v>400123.659130137</v>
      </c>
      <c r="E24" s="2">
        <f>+E22+E23</f>
        <v>399383.25</v>
      </c>
      <c r="F24" s="2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24"/>
      <c r="V24" s="36"/>
      <c r="W24" s="24"/>
      <c r="X24" s="36"/>
      <c r="Y24" s="24"/>
      <c r="Z24" s="24"/>
      <c r="AA24" s="36"/>
      <c r="AB24" s="24"/>
      <c r="AC24" s="24"/>
      <c r="AD24" s="36"/>
      <c r="AE24" s="24"/>
      <c r="AF24" s="36"/>
      <c r="AG24" s="36"/>
    </row>
    <row r="25" spans="2:33" ht="12.75">
      <c r="B25" t="s">
        <v>116</v>
      </c>
      <c r="C25" s="2">
        <f>+E22*0.0725*31/365</f>
        <v>1639.477359589041</v>
      </c>
      <c r="D25" s="2">
        <f>+C25</f>
        <v>1639.477359589041</v>
      </c>
      <c r="E25" s="2">
        <v>0</v>
      </c>
      <c r="F25" s="2"/>
      <c r="K25" s="24"/>
      <c r="L25" s="24"/>
      <c r="M25" s="24"/>
      <c r="N25" s="24"/>
      <c r="O25" s="24"/>
      <c r="P25" s="24"/>
      <c r="Q25" s="24"/>
      <c r="R25" s="24"/>
      <c r="S25" s="24"/>
      <c r="T25" s="36"/>
      <c r="U25" s="24"/>
      <c r="V25" s="36"/>
      <c r="W25" s="24"/>
      <c r="X25" s="36"/>
      <c r="Y25" s="24"/>
      <c r="Z25" s="24"/>
      <c r="AA25" s="36"/>
      <c r="AB25" s="24"/>
      <c r="AC25" s="24"/>
      <c r="AD25" s="36"/>
      <c r="AE25" s="24"/>
      <c r="AF25" s="36"/>
      <c r="AG25" s="36"/>
    </row>
    <row r="26" spans="2:33" ht="13.5" thickBot="1">
      <c r="B26" t="s">
        <v>59</v>
      </c>
      <c r="C26" s="25">
        <f>+C24+C25</f>
        <v>401763.136489726</v>
      </c>
      <c r="D26" s="34">
        <f>+D25+D19</f>
        <v>2379.8864897260273</v>
      </c>
      <c r="E26" s="25">
        <f>+E24+E25</f>
        <v>399383.25</v>
      </c>
      <c r="F26" s="25">
        <f>+E26+D26</f>
        <v>401763.136489726</v>
      </c>
      <c r="G26" s="25">
        <f>+G23</f>
        <v>0</v>
      </c>
      <c r="K26" s="24"/>
      <c r="L26" s="24"/>
      <c r="M26" s="24"/>
      <c r="N26" s="24"/>
      <c r="O26" s="24"/>
      <c r="P26" s="36"/>
      <c r="Q26" s="24"/>
      <c r="R26" s="24"/>
      <c r="S26" s="24"/>
      <c r="T26" s="36"/>
      <c r="U26" s="24"/>
      <c r="V26" s="36"/>
      <c r="W26" s="24"/>
      <c r="X26" s="36"/>
      <c r="Y26" s="24"/>
      <c r="Z26" s="24"/>
      <c r="AA26" s="36"/>
      <c r="AB26" s="24"/>
      <c r="AC26" s="24"/>
      <c r="AD26" s="36"/>
      <c r="AE26" s="24"/>
      <c r="AF26" s="36"/>
      <c r="AG26" s="36"/>
    </row>
    <row r="27" spans="5:33" ht="13.5" thickTop="1">
      <c r="E27" s="4"/>
      <c r="F27" s="2"/>
      <c r="K27" s="24"/>
      <c r="L27" s="24"/>
      <c r="M27" s="24"/>
      <c r="N27" s="24"/>
      <c r="O27" s="24"/>
      <c r="P27" s="36"/>
      <c r="Q27" s="24"/>
      <c r="R27" s="24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2.75">
      <c r="A28" s="31">
        <v>38078</v>
      </c>
      <c r="B28" t="s">
        <v>64</v>
      </c>
      <c r="C28" s="2">
        <f>+C26</f>
        <v>401763.136489726</v>
      </c>
      <c r="D28" s="2">
        <f>+D26</f>
        <v>2379.8864897260273</v>
      </c>
      <c r="E28" s="2">
        <f>+E26</f>
        <v>399383.25</v>
      </c>
      <c r="F28" s="2">
        <f>+F26</f>
        <v>401763.136489726</v>
      </c>
      <c r="G28" s="2">
        <f>+G26</f>
        <v>0</v>
      </c>
      <c r="K28" s="24"/>
      <c r="L28" s="24"/>
      <c r="M28" s="24"/>
      <c r="N28" s="24"/>
      <c r="O28" s="24"/>
      <c r="P28" s="36"/>
      <c r="Q28" s="24"/>
      <c r="R28" s="2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2.75">
      <c r="A29" s="31"/>
      <c r="B29" t="s">
        <v>135</v>
      </c>
      <c r="C29" s="2">
        <f>+C6</f>
        <v>102214.25</v>
      </c>
      <c r="E29" s="23">
        <f>+C29</f>
        <v>102214.25</v>
      </c>
      <c r="F29" s="2"/>
      <c r="K29" s="24"/>
      <c r="L29" s="24"/>
      <c r="M29" s="24"/>
      <c r="N29" s="24"/>
      <c r="O29" s="24"/>
      <c r="P29" s="36"/>
      <c r="Q29" s="24"/>
      <c r="R29" s="2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2:33" ht="12.75">
      <c r="B30" t="s">
        <v>65</v>
      </c>
      <c r="C30" s="23">
        <f>-'Festival Apr 04 '!N45</f>
        <v>-26300.032816002495</v>
      </c>
      <c r="E30" s="23">
        <f>+C30</f>
        <v>-26300.032816002495</v>
      </c>
      <c r="F30" s="2"/>
      <c r="G30" s="2">
        <f>-E30</f>
        <v>26300.032816002495</v>
      </c>
      <c r="K30" s="24"/>
      <c r="L30" s="24"/>
      <c r="M30" s="24"/>
      <c r="N30" s="24"/>
      <c r="O30" s="24"/>
      <c r="P30" s="36"/>
      <c r="Q30" s="24"/>
      <c r="R30" s="2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2:33" ht="12.75">
      <c r="B31" t="s">
        <v>63</v>
      </c>
      <c r="C31" s="2">
        <f>SUM(C28:C30)</f>
        <v>477677.3536737235</v>
      </c>
      <c r="E31" s="2">
        <f>SUM(E28:E30)</f>
        <v>475297.4671839975</v>
      </c>
      <c r="F31" s="2"/>
      <c r="K31" s="24"/>
      <c r="L31" s="24"/>
      <c r="M31" s="24"/>
      <c r="N31" s="24"/>
      <c r="O31" s="24"/>
      <c r="P31" s="36"/>
      <c r="Q31" s="24"/>
      <c r="R31" s="2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2:33" ht="12.75">
      <c r="B32" t="s">
        <v>116</v>
      </c>
      <c r="C32" s="2">
        <f>+E28*0.0725/365*30</f>
        <v>2379.8864897260273</v>
      </c>
      <c r="D32" s="2">
        <f>+C32</f>
        <v>2379.8864897260273</v>
      </c>
      <c r="E32" s="2">
        <v>0</v>
      </c>
      <c r="F32" s="2"/>
      <c r="K32" s="24"/>
      <c r="L32" s="24"/>
      <c r="M32" s="24"/>
      <c r="N32" s="24"/>
      <c r="O32" s="24"/>
      <c r="P32" s="24"/>
      <c r="Q32" s="24"/>
      <c r="R32" s="24"/>
      <c r="S32" s="24"/>
      <c r="T32" s="36"/>
      <c r="U32" s="24"/>
      <c r="V32" s="36"/>
      <c r="W32" s="24"/>
      <c r="X32" s="36"/>
      <c r="Y32" s="24"/>
      <c r="Z32" s="24"/>
      <c r="AA32" s="36"/>
      <c r="AB32" s="24"/>
      <c r="AC32" s="24"/>
      <c r="AD32" s="36"/>
      <c r="AE32" s="24"/>
      <c r="AF32" s="36"/>
      <c r="AG32" s="36"/>
    </row>
    <row r="33" spans="2:33" ht="13.5" thickBot="1">
      <c r="B33" t="s">
        <v>66</v>
      </c>
      <c r="C33" s="25">
        <f>+C31+C32</f>
        <v>480057.24016344955</v>
      </c>
      <c r="D33" s="25">
        <f>+D26+D32</f>
        <v>4759.772979452055</v>
      </c>
      <c r="E33" s="25">
        <f>+E31+E32</f>
        <v>475297.4671839975</v>
      </c>
      <c r="F33" s="25">
        <f>+E33+D33</f>
        <v>480057.24016344955</v>
      </c>
      <c r="G33" s="25">
        <f>+G26+G30</f>
        <v>26300.032816002495</v>
      </c>
      <c r="K33" s="24"/>
      <c r="L33" s="24"/>
      <c r="M33" s="24"/>
      <c r="N33" s="24"/>
      <c r="O33" s="24"/>
      <c r="P33" s="36"/>
      <c r="Q33" s="24"/>
      <c r="R33" s="2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5:33" ht="13.5" thickTop="1">
      <c r="E34" s="4"/>
      <c r="F34" s="2"/>
      <c r="K34" s="24"/>
      <c r="L34" s="24"/>
      <c r="M34" s="24"/>
      <c r="N34" s="24"/>
      <c r="O34" s="24"/>
      <c r="P34" s="36"/>
      <c r="Q34" s="24"/>
      <c r="R34" s="2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2.75">
      <c r="A35" s="31">
        <v>38108</v>
      </c>
      <c r="B35" t="s">
        <v>69</v>
      </c>
      <c r="C35" s="2">
        <f>+C33</f>
        <v>480057.24016344955</v>
      </c>
      <c r="D35" s="2">
        <f>+D33</f>
        <v>4759.772979452055</v>
      </c>
      <c r="E35" s="2">
        <f>+E33</f>
        <v>475297.4671839975</v>
      </c>
      <c r="F35" s="2">
        <f>+F33</f>
        <v>480057.24016344955</v>
      </c>
      <c r="G35" s="2">
        <f>+G33</f>
        <v>26300.032816002495</v>
      </c>
      <c r="K35" s="24"/>
      <c r="L35" s="24"/>
      <c r="M35" s="24"/>
      <c r="N35" s="24"/>
      <c r="O35" s="24"/>
      <c r="P35" s="36"/>
      <c r="Q35" s="24"/>
      <c r="R35" s="2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2.75">
      <c r="A36" s="31"/>
      <c r="B36" t="s">
        <v>135</v>
      </c>
      <c r="C36" s="2">
        <f>+C6</f>
        <v>102214.25</v>
      </c>
      <c r="E36" s="2">
        <f>+C36</f>
        <v>102214.25</v>
      </c>
      <c r="F36" s="2"/>
      <c r="K36" s="24"/>
      <c r="L36" s="24"/>
      <c r="M36" s="24"/>
      <c r="N36" s="24"/>
      <c r="O36" s="24"/>
      <c r="P36" s="36"/>
      <c r="Q36" s="24"/>
      <c r="R36" s="2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2:33" ht="12.75">
      <c r="B37" t="s">
        <v>67</v>
      </c>
      <c r="C37" s="23">
        <f>-'Festival May 04'!N45</f>
        <v>-93477.19980073998</v>
      </c>
      <c r="E37" s="23">
        <f>+C37</f>
        <v>-93477.19980073998</v>
      </c>
      <c r="F37" s="2"/>
      <c r="G37" s="2">
        <f>-E37</f>
        <v>93477.19980073998</v>
      </c>
      <c r="K37" s="24"/>
      <c r="L37" s="24"/>
      <c r="M37" s="24"/>
      <c r="N37" s="24"/>
      <c r="O37" s="24"/>
      <c r="P37" s="24"/>
      <c r="Q37" s="24"/>
      <c r="R37" s="24"/>
      <c r="S37" s="24"/>
      <c r="T37" s="36"/>
      <c r="U37" s="24"/>
      <c r="V37" s="36"/>
      <c r="W37" s="24"/>
      <c r="X37" s="36"/>
      <c r="Y37" s="24"/>
      <c r="Z37" s="24"/>
      <c r="AA37" s="36"/>
      <c r="AB37" s="24"/>
      <c r="AC37" s="24"/>
      <c r="AD37" s="36"/>
      <c r="AE37" s="24"/>
      <c r="AF37" s="36"/>
      <c r="AG37" s="36"/>
    </row>
    <row r="38" spans="2:33" ht="12.75">
      <c r="B38" t="s">
        <v>68</v>
      </c>
      <c r="C38" s="2">
        <f>SUM(C35:C37)</f>
        <v>488794.29036270955</v>
      </c>
      <c r="E38" s="2">
        <f>SUM(E35:E37)</f>
        <v>484034.5173832575</v>
      </c>
      <c r="F38" s="2"/>
      <c r="K38" s="24"/>
      <c r="L38" s="24"/>
      <c r="M38" s="24"/>
      <c r="N38" s="24"/>
      <c r="O38" s="24"/>
      <c r="P38" s="36"/>
      <c r="Q38" s="24"/>
      <c r="R38" s="2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2:33" ht="12.75">
      <c r="B39" t="s">
        <v>116</v>
      </c>
      <c r="C39" s="2">
        <f>+E35*0.0725/365*31</f>
        <v>2926.660431495984</v>
      </c>
      <c r="D39" s="2">
        <f>+C39</f>
        <v>2926.660431495984</v>
      </c>
      <c r="E39" s="2">
        <v>0</v>
      </c>
      <c r="F39" s="2"/>
      <c r="K39" s="24"/>
      <c r="L39" s="24"/>
      <c r="M39" s="24"/>
      <c r="N39" s="24"/>
      <c r="O39" s="24"/>
      <c r="P39" s="36"/>
      <c r="Q39" s="24"/>
      <c r="R39" s="2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2:33" ht="13.5" thickBot="1">
      <c r="B40" t="s">
        <v>71</v>
      </c>
      <c r="C40" s="25">
        <f>+C38+C39</f>
        <v>491720.95079420554</v>
      </c>
      <c r="D40" s="25">
        <f>+D33+D39</f>
        <v>7686.433410948039</v>
      </c>
      <c r="E40" s="25">
        <f>+E38+E39</f>
        <v>484034.5173832575</v>
      </c>
      <c r="F40" s="25">
        <f>+E40+D40</f>
        <v>491720.95079420554</v>
      </c>
      <c r="G40" s="25">
        <f>+G33+G37</f>
        <v>119777.23261674248</v>
      </c>
      <c r="K40" s="24"/>
      <c r="L40" s="24"/>
      <c r="M40" s="24"/>
      <c r="N40" s="24"/>
      <c r="O40" s="24"/>
      <c r="P40" s="24"/>
      <c r="Q40" s="24"/>
      <c r="R40" s="24"/>
      <c r="S40" s="24"/>
      <c r="T40" s="36"/>
      <c r="U40" s="24"/>
      <c r="V40" s="36"/>
      <c r="W40" s="24"/>
      <c r="X40" s="36"/>
      <c r="Y40" s="24"/>
      <c r="Z40" s="24"/>
      <c r="AA40" s="36"/>
      <c r="AB40" s="24"/>
      <c r="AC40" s="24"/>
      <c r="AD40" s="36"/>
      <c r="AE40" s="24"/>
      <c r="AF40" s="36"/>
      <c r="AG40" s="36"/>
    </row>
    <row r="41" spans="5:33" ht="13.5" thickTop="1">
      <c r="E41" s="4"/>
      <c r="F41" s="2"/>
      <c r="K41" s="24"/>
      <c r="L41" s="24"/>
      <c r="M41" s="24"/>
      <c r="N41" s="24"/>
      <c r="O41" s="24"/>
      <c r="P41" s="36"/>
      <c r="Q41" s="24"/>
      <c r="R41" s="24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:33" ht="12.75">
      <c r="A42" s="31">
        <v>38139</v>
      </c>
      <c r="B42" t="s">
        <v>76</v>
      </c>
      <c r="C42" s="2">
        <f>+C40</f>
        <v>491720.95079420554</v>
      </c>
      <c r="D42" s="2">
        <f>+D40</f>
        <v>7686.433410948039</v>
      </c>
      <c r="E42" s="2">
        <f>+E40</f>
        <v>484034.5173832575</v>
      </c>
      <c r="F42" s="2">
        <f>+F40</f>
        <v>491720.95079420554</v>
      </c>
      <c r="G42" s="2">
        <f>+G40</f>
        <v>119777.23261674248</v>
      </c>
      <c r="K42" s="24"/>
      <c r="L42" s="24"/>
      <c r="M42" s="24"/>
      <c r="N42" s="24"/>
      <c r="O42" s="24"/>
      <c r="P42" s="36"/>
      <c r="Q42" s="24"/>
      <c r="R42" s="24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1:33" ht="12.75">
      <c r="A43" s="31"/>
      <c r="B43" t="s">
        <v>135</v>
      </c>
      <c r="C43" s="2">
        <f>+C6</f>
        <v>102214.25</v>
      </c>
      <c r="E43" s="2">
        <f>+C43</f>
        <v>102214.25</v>
      </c>
      <c r="F43" s="2"/>
      <c r="K43" s="24"/>
      <c r="L43" s="24"/>
      <c r="M43" s="24"/>
      <c r="N43" s="24"/>
      <c r="O43" s="24"/>
      <c r="P43" s="36"/>
      <c r="Q43" s="24"/>
      <c r="R43" s="24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2:33" ht="12.75">
      <c r="B44" t="s">
        <v>77</v>
      </c>
      <c r="C44" s="23">
        <f>-'Festival Jun 04'!N45</f>
        <v>-84038.95749538418</v>
      </c>
      <c r="E44" s="23">
        <f>+C44</f>
        <v>-84038.95749538418</v>
      </c>
      <c r="F44" s="2"/>
      <c r="G44" s="2">
        <f>-E44</f>
        <v>84038.95749538418</v>
      </c>
      <c r="K44" s="24"/>
      <c r="L44" s="24"/>
      <c r="M44" s="24"/>
      <c r="N44" s="24"/>
      <c r="O44" s="24"/>
      <c r="P44" s="36"/>
      <c r="Q44" s="24"/>
      <c r="R44" s="2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2:33" ht="12.75">
      <c r="B45" t="s">
        <v>78</v>
      </c>
      <c r="C45" s="2">
        <f>SUM(C42:C44)</f>
        <v>509896.2432988214</v>
      </c>
      <c r="E45" s="2">
        <f>SUM(E42:E44)</f>
        <v>502209.80988787336</v>
      </c>
      <c r="F45" s="2"/>
      <c r="K45" s="24"/>
      <c r="L45" s="24"/>
      <c r="M45" s="24"/>
      <c r="N45" s="24"/>
      <c r="O45" s="24"/>
      <c r="P45" s="24"/>
      <c r="Q45" s="24"/>
      <c r="R45" s="24"/>
      <c r="S45" s="24"/>
      <c r="T45" s="36"/>
      <c r="U45" s="24"/>
      <c r="V45" s="36"/>
      <c r="W45" s="24"/>
      <c r="X45" s="36"/>
      <c r="Y45" s="24"/>
      <c r="Z45" s="24"/>
      <c r="AA45" s="36"/>
      <c r="AB45" s="24"/>
      <c r="AC45" s="24"/>
      <c r="AD45" s="36"/>
      <c r="AE45" s="24"/>
      <c r="AF45" s="36"/>
      <c r="AG45" s="36"/>
    </row>
    <row r="46" spans="2:33" ht="12.75">
      <c r="B46" t="s">
        <v>116</v>
      </c>
      <c r="C46" s="2">
        <f>((+E42)*0.0725/365*30)</f>
        <v>2884.3152748180414</v>
      </c>
      <c r="D46" s="2">
        <f>+C46</f>
        <v>2884.3152748180414</v>
      </c>
      <c r="E46" s="2">
        <v>0</v>
      </c>
      <c r="F46" s="2"/>
      <c r="K46" s="24"/>
      <c r="L46" s="24"/>
      <c r="M46" s="24"/>
      <c r="N46" s="24"/>
      <c r="O46" s="24"/>
      <c r="P46" s="36"/>
      <c r="Q46" s="24"/>
      <c r="R46" s="2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2:33" ht="13.5" thickBot="1">
      <c r="B47" t="s">
        <v>79</v>
      </c>
      <c r="C47" s="25">
        <f>+C45+C46</f>
        <v>512780.5585736394</v>
      </c>
      <c r="D47" s="25">
        <f>+D40+D46</f>
        <v>10570.74868576608</v>
      </c>
      <c r="E47" s="25">
        <f>+E45+E46</f>
        <v>502209.80988787336</v>
      </c>
      <c r="F47" s="25">
        <f>+E47+D47</f>
        <v>512780.5585736394</v>
      </c>
      <c r="G47" s="25">
        <f>+G40+G44</f>
        <v>203816.19011212664</v>
      </c>
      <c r="K47" s="24"/>
      <c r="L47" s="24"/>
      <c r="M47" s="24"/>
      <c r="N47" s="24"/>
      <c r="O47" s="24"/>
      <c r="P47" s="24"/>
      <c r="Q47" s="24"/>
      <c r="R47" s="24"/>
      <c r="S47" s="24"/>
      <c r="T47" s="36"/>
      <c r="U47" s="24"/>
      <c r="V47" s="36"/>
      <c r="W47" s="24"/>
      <c r="X47" s="36"/>
      <c r="Y47" s="24"/>
      <c r="Z47" s="24"/>
      <c r="AA47" s="36"/>
      <c r="AB47" s="24"/>
      <c r="AC47" s="24"/>
      <c r="AD47" s="36"/>
      <c r="AE47" s="24"/>
      <c r="AF47" s="36"/>
      <c r="AG47" s="36"/>
    </row>
    <row r="48" spans="9:15" ht="13.5" thickTop="1">
      <c r="I48"/>
      <c r="J48" s="24"/>
      <c r="K48" s="29"/>
      <c r="M48" s="3"/>
      <c r="N48"/>
      <c r="O48"/>
    </row>
    <row r="49" spans="9:15" ht="12.75">
      <c r="I49"/>
      <c r="J49" s="24"/>
      <c r="K49" s="29"/>
      <c r="M49" s="3"/>
      <c r="N49"/>
      <c r="O49"/>
    </row>
    <row r="50" spans="1:15" ht="12.75">
      <c r="A50" s="31">
        <v>38169</v>
      </c>
      <c r="B50" t="s">
        <v>76</v>
      </c>
      <c r="C50" s="2">
        <f>+C47</f>
        <v>512780.5585736394</v>
      </c>
      <c r="D50" s="2">
        <f>+D47</f>
        <v>10570.74868576608</v>
      </c>
      <c r="E50" s="2">
        <f>+E47</f>
        <v>502209.80988787336</v>
      </c>
      <c r="F50" s="2">
        <f>+F47</f>
        <v>512780.5585736394</v>
      </c>
      <c r="G50" s="2">
        <f>+G47</f>
        <v>203816.19011212664</v>
      </c>
      <c r="I50"/>
      <c r="J50" s="24"/>
      <c r="K50" s="29"/>
      <c r="M50" s="3"/>
      <c r="N50"/>
      <c r="O50"/>
    </row>
    <row r="51" spans="1:15" ht="12.75">
      <c r="A51" s="31"/>
      <c r="B51" t="s">
        <v>135</v>
      </c>
      <c r="C51" s="2">
        <f>+$C$6</f>
        <v>102214.25</v>
      </c>
      <c r="E51" s="2">
        <f>+C51</f>
        <v>102214.25</v>
      </c>
      <c r="F51" s="2"/>
      <c r="I51"/>
      <c r="J51" s="24"/>
      <c r="K51" s="29"/>
      <c r="M51" s="3"/>
      <c r="N51"/>
      <c r="O51"/>
    </row>
    <row r="52" spans="2:15" ht="12.75">
      <c r="B52" t="s">
        <v>90</v>
      </c>
      <c r="C52" s="23">
        <f>-'Festival Jul 04'!N45</f>
        <v>-91818.52144935416</v>
      </c>
      <c r="E52" s="23">
        <f>+C52</f>
        <v>-91818.52144935416</v>
      </c>
      <c r="F52" s="2"/>
      <c r="G52" s="2">
        <f>-E52</f>
        <v>91818.52144935416</v>
      </c>
      <c r="I52"/>
      <c r="J52" s="24"/>
      <c r="K52" s="29"/>
      <c r="M52" s="3"/>
      <c r="N52"/>
      <c r="O52"/>
    </row>
    <row r="53" spans="2:15" ht="12.75">
      <c r="B53" t="s">
        <v>134</v>
      </c>
      <c r="C53" s="2">
        <f>SUM(C50:C52)</f>
        <v>523176.28712428536</v>
      </c>
      <c r="E53" s="2">
        <f>SUM(E50:E52)</f>
        <v>512605.53843851923</v>
      </c>
      <c r="F53" s="2"/>
      <c r="I53"/>
      <c r="J53" s="24"/>
      <c r="K53" s="29"/>
      <c r="M53" s="3"/>
      <c r="N53"/>
      <c r="O53"/>
    </row>
    <row r="54" spans="2:15" ht="12.75">
      <c r="B54" t="s">
        <v>116</v>
      </c>
      <c r="C54" s="2">
        <f>+E50*0.0725/365*31</f>
        <v>3092.374103350672</v>
      </c>
      <c r="D54" s="2">
        <f>+C54</f>
        <v>3092.374103350672</v>
      </c>
      <c r="E54" s="2">
        <v>0</v>
      </c>
      <c r="F54" s="2"/>
      <c r="I54"/>
      <c r="J54" s="24"/>
      <c r="K54" s="29"/>
      <c r="M54" s="3"/>
      <c r="N54"/>
      <c r="O54"/>
    </row>
    <row r="55" spans="2:15" ht="13.5" thickBot="1">
      <c r="B55" t="s">
        <v>124</v>
      </c>
      <c r="C55" s="25">
        <f>+C53+C54</f>
        <v>526268.661227636</v>
      </c>
      <c r="D55" s="25">
        <f>+D50+D54</f>
        <v>13663.122789116753</v>
      </c>
      <c r="E55" s="25">
        <f>+E53+E54</f>
        <v>512605.53843851923</v>
      </c>
      <c r="F55" s="25">
        <f>+E55+D55</f>
        <v>526268.661227636</v>
      </c>
      <c r="G55" s="25">
        <f>SUM(G50:G54)</f>
        <v>295634.71156148077</v>
      </c>
      <c r="I55"/>
      <c r="J55" s="24"/>
      <c r="K55" s="29"/>
      <c r="M55" s="3"/>
      <c r="N55"/>
      <c r="O55"/>
    </row>
    <row r="56" spans="9:15" ht="13.5" thickTop="1">
      <c r="I56"/>
      <c r="J56" s="24"/>
      <c r="K56" s="29"/>
      <c r="M56" s="3"/>
      <c r="N56"/>
      <c r="O56"/>
    </row>
    <row r="57" spans="1:15" ht="12.75">
      <c r="A57" s="31">
        <v>38200</v>
      </c>
      <c r="B57" t="s">
        <v>76</v>
      </c>
      <c r="C57" s="2">
        <f>+C55</f>
        <v>526268.661227636</v>
      </c>
      <c r="D57" s="2">
        <f>+D55</f>
        <v>13663.122789116753</v>
      </c>
      <c r="E57" s="2">
        <f>+E55</f>
        <v>512605.53843851923</v>
      </c>
      <c r="F57" s="2">
        <f>+F55</f>
        <v>526268.661227636</v>
      </c>
      <c r="G57" s="2">
        <f>+G55</f>
        <v>295634.71156148077</v>
      </c>
      <c r="I57"/>
      <c r="J57" s="24"/>
      <c r="K57" s="29"/>
      <c r="M57" s="3"/>
      <c r="N57"/>
      <c r="O57"/>
    </row>
    <row r="58" spans="1:15" ht="12.75">
      <c r="A58" s="31"/>
      <c r="B58" t="s">
        <v>135</v>
      </c>
      <c r="C58" s="2">
        <f>+$C$6</f>
        <v>102214.25</v>
      </c>
      <c r="E58" s="2">
        <f>+C58</f>
        <v>102214.25</v>
      </c>
      <c r="F58" s="2"/>
      <c r="I58"/>
      <c r="J58" s="24"/>
      <c r="K58" s="29"/>
      <c r="M58" s="3"/>
      <c r="N58"/>
      <c r="O58"/>
    </row>
    <row r="59" spans="2:15" ht="12.75">
      <c r="B59" t="s">
        <v>89</v>
      </c>
      <c r="C59" s="23">
        <f>-'Festival Aug 04 '!N45</f>
        <v>-95211.54372484416</v>
      </c>
      <c r="E59" s="23">
        <f>+C59</f>
        <v>-95211.54372484416</v>
      </c>
      <c r="F59" s="2"/>
      <c r="G59" s="2">
        <f>-E59</f>
        <v>95211.54372484416</v>
      </c>
      <c r="I59"/>
      <c r="J59" s="24"/>
      <c r="K59" s="29"/>
      <c r="M59" s="3"/>
      <c r="N59"/>
      <c r="O59"/>
    </row>
    <row r="60" spans="2:15" ht="12.75">
      <c r="B60" t="s">
        <v>134</v>
      </c>
      <c r="C60" s="2">
        <f>SUM(C57:C59)</f>
        <v>533271.3675027919</v>
      </c>
      <c r="E60" s="2">
        <f>SUM(E57:E59)</f>
        <v>519608.24471367506</v>
      </c>
      <c r="F60" s="2"/>
      <c r="I60"/>
      <c r="J60" s="24"/>
      <c r="K60" s="29"/>
      <c r="M60" s="3"/>
      <c r="N60"/>
      <c r="O60"/>
    </row>
    <row r="61" spans="2:15" ht="12.75">
      <c r="B61" t="s">
        <v>116</v>
      </c>
      <c r="C61" s="2">
        <f>+E57*0.0725/365*31</f>
        <v>3156.386157919375</v>
      </c>
      <c r="D61" s="2">
        <f>+C61</f>
        <v>3156.386157919375</v>
      </c>
      <c r="E61" s="2">
        <v>0</v>
      </c>
      <c r="F61" s="2"/>
      <c r="I61"/>
      <c r="J61" s="24"/>
      <c r="K61" s="29"/>
      <c r="M61" s="3"/>
      <c r="N61"/>
      <c r="O61"/>
    </row>
    <row r="62" spans="2:15" ht="13.5" thickBot="1">
      <c r="B62" t="s">
        <v>124</v>
      </c>
      <c r="C62" s="25">
        <f>+C60+C61</f>
        <v>536427.7536607113</v>
      </c>
      <c r="D62" s="25">
        <f>+D57+D61</f>
        <v>16819.508947036127</v>
      </c>
      <c r="E62" s="25">
        <f>+E60+E61</f>
        <v>519608.24471367506</v>
      </c>
      <c r="F62" s="25">
        <f>+E62+D62</f>
        <v>536427.7536607112</v>
      </c>
      <c r="G62" s="25">
        <f>SUM(G57:G61)</f>
        <v>390846.25528632494</v>
      </c>
      <c r="I62"/>
      <c r="J62" s="24"/>
      <c r="K62" s="29"/>
      <c r="M62" s="3"/>
      <c r="N62"/>
      <c r="O62"/>
    </row>
    <row r="63" spans="9:15" ht="13.5" thickTop="1">
      <c r="I63"/>
      <c r="J63" s="24"/>
      <c r="K63" s="29"/>
      <c r="M63" s="3"/>
      <c r="N63"/>
      <c r="O63"/>
    </row>
    <row r="64" spans="1:15" ht="12.75">
      <c r="A64" s="31">
        <v>38231</v>
      </c>
      <c r="B64" t="s">
        <v>76</v>
      </c>
      <c r="C64" s="2">
        <f>+C62</f>
        <v>536427.7536607113</v>
      </c>
      <c r="D64" s="2">
        <f>+D62</f>
        <v>16819.508947036127</v>
      </c>
      <c r="E64" s="2">
        <f>+E62</f>
        <v>519608.24471367506</v>
      </c>
      <c r="F64" s="2">
        <f>+F62</f>
        <v>536427.7536607112</v>
      </c>
      <c r="G64" s="2">
        <f>+G62</f>
        <v>390846.25528632494</v>
      </c>
      <c r="I64"/>
      <c r="J64" s="24"/>
      <c r="K64" s="29"/>
      <c r="M64" s="3"/>
      <c r="N64"/>
      <c r="O64"/>
    </row>
    <row r="65" spans="1:15" ht="12.75">
      <c r="A65" s="31"/>
      <c r="B65" t="s">
        <v>135</v>
      </c>
      <c r="C65" s="2">
        <f>+$C$6</f>
        <v>102214.25</v>
      </c>
      <c r="E65" s="2">
        <f>+C65</f>
        <v>102214.25</v>
      </c>
      <c r="F65" s="2"/>
      <c r="I65"/>
      <c r="J65" s="24"/>
      <c r="K65" s="29"/>
      <c r="M65" s="3"/>
      <c r="N65"/>
      <c r="O65"/>
    </row>
    <row r="66" spans="2:15" ht="12.75">
      <c r="B66" t="s">
        <v>102</v>
      </c>
      <c r="C66" s="23">
        <f>-'Festival Sep 04'!N45</f>
        <v>-93071.60419201499</v>
      </c>
      <c r="E66" s="23">
        <f>+C66</f>
        <v>-93071.60419201499</v>
      </c>
      <c r="F66" s="2"/>
      <c r="G66" s="2">
        <f>-E66</f>
        <v>93071.60419201499</v>
      </c>
      <c r="I66"/>
      <c r="J66" s="24"/>
      <c r="K66" s="29"/>
      <c r="M66" s="3"/>
      <c r="N66"/>
      <c r="O66"/>
    </row>
    <row r="67" spans="2:15" ht="12.75">
      <c r="B67" t="s">
        <v>134</v>
      </c>
      <c r="C67" s="2">
        <f>SUM(C64:C66)</f>
        <v>545570.3994686963</v>
      </c>
      <c r="E67" s="2">
        <f>SUM(E64:E66)</f>
        <v>528750.89052166</v>
      </c>
      <c r="F67" s="2"/>
      <c r="I67"/>
      <c r="J67" s="24"/>
      <c r="K67" s="29"/>
      <c r="M67" s="3"/>
      <c r="N67"/>
      <c r="O67"/>
    </row>
    <row r="68" spans="2:15" ht="12.75">
      <c r="B68" t="s">
        <v>116</v>
      </c>
      <c r="C68" s="2">
        <f>+E64*0.0725/365*30</f>
        <v>3096.2957048006665</v>
      </c>
      <c r="D68" s="2">
        <f>+C68</f>
        <v>3096.2957048006665</v>
      </c>
      <c r="E68" s="2">
        <v>0</v>
      </c>
      <c r="F68" s="2"/>
      <c r="I68"/>
      <c r="J68" s="24"/>
      <c r="K68" s="29"/>
      <c r="M68" s="3"/>
      <c r="N68"/>
      <c r="O68"/>
    </row>
    <row r="69" spans="2:15" ht="13.5" thickBot="1">
      <c r="B69" t="s">
        <v>124</v>
      </c>
      <c r="C69" s="25">
        <f>+C67+C68</f>
        <v>548666.695173497</v>
      </c>
      <c r="D69" s="25">
        <f>+D64+D68</f>
        <v>19915.804651836792</v>
      </c>
      <c r="E69" s="25">
        <f>+E67+E68</f>
        <v>528750.89052166</v>
      </c>
      <c r="F69" s="25">
        <f>+E69+D69</f>
        <v>548666.6951734967</v>
      </c>
      <c r="G69" s="25">
        <f>SUM(G64:G68)</f>
        <v>483917.8594783399</v>
      </c>
      <c r="I69"/>
      <c r="J69" s="24"/>
      <c r="K69" s="29"/>
      <c r="M69" s="3"/>
      <c r="N69"/>
      <c r="O69"/>
    </row>
    <row r="70" spans="9:15" ht="13.5" thickTop="1">
      <c r="I70"/>
      <c r="J70" s="24"/>
      <c r="K70" s="29"/>
      <c r="M70" s="3"/>
      <c r="N70"/>
      <c r="O70"/>
    </row>
    <row r="71" spans="1:15" ht="12.75">
      <c r="A71" s="31">
        <v>38261</v>
      </c>
      <c r="B71" t="s">
        <v>76</v>
      </c>
      <c r="C71" s="2">
        <f>+C69</f>
        <v>548666.695173497</v>
      </c>
      <c r="D71" s="2">
        <f>+D69</f>
        <v>19915.804651836792</v>
      </c>
      <c r="E71" s="2">
        <f>+E69</f>
        <v>528750.89052166</v>
      </c>
      <c r="F71" s="2">
        <f>+F69</f>
        <v>548666.6951734967</v>
      </c>
      <c r="G71" s="2">
        <f>+G69</f>
        <v>483917.8594783399</v>
      </c>
      <c r="I71"/>
      <c r="J71" s="24"/>
      <c r="K71" s="29"/>
      <c r="M71" s="3"/>
      <c r="N71"/>
      <c r="O71"/>
    </row>
    <row r="72" spans="1:15" ht="12.75">
      <c r="A72" s="31"/>
      <c r="B72" t="s">
        <v>135</v>
      </c>
      <c r="C72" s="2">
        <f>+$C$6</f>
        <v>102214.25</v>
      </c>
      <c r="E72" s="2">
        <f>+C72</f>
        <v>102214.25</v>
      </c>
      <c r="F72" s="2"/>
      <c r="I72"/>
      <c r="J72" s="24"/>
      <c r="K72" s="29"/>
      <c r="M72" s="3"/>
      <c r="N72"/>
      <c r="O72"/>
    </row>
    <row r="73" spans="2:15" ht="12.75">
      <c r="B73" t="s">
        <v>103</v>
      </c>
      <c r="C73" s="23">
        <f>-'Festival Oct 04'!N45</f>
        <v>-90418.72777036749</v>
      </c>
      <c r="E73" s="23">
        <f>+C73</f>
        <v>-90418.72777036749</v>
      </c>
      <c r="F73" s="2"/>
      <c r="G73" s="2">
        <f>-E73</f>
        <v>90418.72777036749</v>
      </c>
      <c r="I73"/>
      <c r="J73" s="24"/>
      <c r="K73" s="29"/>
      <c r="M73" s="3"/>
      <c r="N73"/>
      <c r="O73"/>
    </row>
    <row r="74" spans="2:15" ht="12.75">
      <c r="B74" t="s">
        <v>134</v>
      </c>
      <c r="C74" s="2">
        <f>SUM(C71:C73)</f>
        <v>560462.2174031294</v>
      </c>
      <c r="E74" s="2">
        <f>SUM(E71:E73)</f>
        <v>540546.4127512925</v>
      </c>
      <c r="F74" s="2"/>
      <c r="I74"/>
      <c r="J74" s="24"/>
      <c r="K74" s="29"/>
      <c r="M74" s="3"/>
      <c r="N74"/>
      <c r="O74"/>
    </row>
    <row r="75" spans="2:15" ht="12.75">
      <c r="B75" t="s">
        <v>116</v>
      </c>
      <c r="C75" s="2">
        <f>+E71*0.0725/365*31</f>
        <v>3255.801716294331</v>
      </c>
      <c r="D75" s="2">
        <f>+C75</f>
        <v>3255.801716294331</v>
      </c>
      <c r="E75" s="2">
        <v>0</v>
      </c>
      <c r="F75" s="2"/>
      <c r="I75"/>
      <c r="J75" s="24"/>
      <c r="K75" s="29"/>
      <c r="M75" s="3"/>
      <c r="N75"/>
      <c r="O75"/>
    </row>
    <row r="76" spans="2:15" ht="13.5" thickBot="1">
      <c r="B76" t="s">
        <v>124</v>
      </c>
      <c r="C76" s="25">
        <f>+C74+C75</f>
        <v>563718.0191194238</v>
      </c>
      <c r="D76" s="25">
        <f>+D71+D75</f>
        <v>23171.606368131124</v>
      </c>
      <c r="E76" s="25">
        <f>+E74+E75</f>
        <v>540546.4127512925</v>
      </c>
      <c r="F76" s="25">
        <f>+E76+D76</f>
        <v>563718.0191194236</v>
      </c>
      <c r="G76" s="25">
        <f>SUM(G71:G75)</f>
        <v>574336.5872487074</v>
      </c>
      <c r="I76"/>
      <c r="J76" s="24"/>
      <c r="K76" s="29"/>
      <c r="M76" s="3"/>
      <c r="N76"/>
      <c r="O76"/>
    </row>
    <row r="77" spans="9:15" ht="13.5" thickTop="1">
      <c r="I77"/>
      <c r="J77" s="24"/>
      <c r="K77" s="29"/>
      <c r="M77" s="3"/>
      <c r="N77"/>
      <c r="O77"/>
    </row>
    <row r="78" spans="1:15" ht="12.75">
      <c r="A78" s="31">
        <v>38292</v>
      </c>
      <c r="B78" t="s">
        <v>76</v>
      </c>
      <c r="C78" s="2">
        <f>+C76</f>
        <v>563718.0191194238</v>
      </c>
      <c r="D78" s="2">
        <f>+D76</f>
        <v>23171.606368131124</v>
      </c>
      <c r="E78" s="2">
        <f>+E76</f>
        <v>540546.4127512925</v>
      </c>
      <c r="F78" s="2">
        <f>+F76</f>
        <v>563718.0191194236</v>
      </c>
      <c r="G78" s="2">
        <f>+G76</f>
        <v>574336.5872487074</v>
      </c>
      <c r="I78"/>
      <c r="J78" s="24"/>
      <c r="K78" s="29"/>
      <c r="M78" s="3"/>
      <c r="N78"/>
      <c r="O78"/>
    </row>
    <row r="79" spans="1:15" ht="12.75">
      <c r="A79" s="31"/>
      <c r="B79" t="s">
        <v>135</v>
      </c>
      <c r="C79" s="2">
        <f>+$C$6</f>
        <v>102214.25</v>
      </c>
      <c r="E79" s="2">
        <f>+C79</f>
        <v>102214.25</v>
      </c>
      <c r="F79" s="2"/>
      <c r="I79"/>
      <c r="J79" s="24"/>
      <c r="K79" s="29"/>
      <c r="M79" s="3"/>
      <c r="N79"/>
      <c r="O79"/>
    </row>
    <row r="80" spans="2:15" ht="12.75">
      <c r="B80" t="s">
        <v>105</v>
      </c>
      <c r="C80" s="23">
        <f>-'Festival Nov 04'!N45</f>
        <v>-87683.0570819775</v>
      </c>
      <c r="E80" s="23">
        <f>+C80</f>
        <v>-87683.0570819775</v>
      </c>
      <c r="F80" s="2"/>
      <c r="G80" s="2">
        <f>-E80</f>
        <v>87683.0570819775</v>
      </c>
      <c r="I80"/>
      <c r="J80" s="24"/>
      <c r="K80" s="29"/>
      <c r="M80" s="3"/>
      <c r="N80"/>
      <c r="O80"/>
    </row>
    <row r="81" spans="2:15" ht="12.75">
      <c r="B81" t="s">
        <v>134</v>
      </c>
      <c r="C81" s="2">
        <f>SUM(C78:C80)</f>
        <v>578249.2120374463</v>
      </c>
      <c r="E81" s="2">
        <f>SUM(E78:E80)</f>
        <v>555077.605669315</v>
      </c>
      <c r="F81" s="2"/>
      <c r="I81"/>
      <c r="J81" s="24"/>
      <c r="K81" s="29"/>
      <c r="M81" s="3"/>
      <c r="N81"/>
      <c r="O81"/>
    </row>
    <row r="82" spans="2:15" ht="12.75">
      <c r="B82" t="s">
        <v>116</v>
      </c>
      <c r="C82" s="2">
        <f>+E78*0.0725/365*30</f>
        <v>3221.0642403672905</v>
      </c>
      <c r="D82" s="2">
        <f>+C82</f>
        <v>3221.0642403672905</v>
      </c>
      <c r="E82" s="2">
        <v>0</v>
      </c>
      <c r="F82" s="2"/>
      <c r="I82"/>
      <c r="J82" s="24"/>
      <c r="K82" s="29"/>
      <c r="M82" s="3"/>
      <c r="N82"/>
      <c r="O82"/>
    </row>
    <row r="83" spans="2:15" ht="13.5" thickBot="1">
      <c r="B83" t="s">
        <v>124</v>
      </c>
      <c r="C83" s="25">
        <f>+C81+C82</f>
        <v>581470.2762778136</v>
      </c>
      <c r="D83" s="25">
        <f>+D78+D82</f>
        <v>26392.670608498414</v>
      </c>
      <c r="E83" s="25">
        <f>+E81+E82</f>
        <v>555077.605669315</v>
      </c>
      <c r="F83" s="25">
        <f>+E83+D83</f>
        <v>581470.2762778134</v>
      </c>
      <c r="G83" s="25">
        <f>SUM(G78:G82)</f>
        <v>662019.6443306849</v>
      </c>
      <c r="I83"/>
      <c r="J83" s="24"/>
      <c r="K83" s="29"/>
      <c r="M83" s="3"/>
      <c r="N83"/>
      <c r="O83"/>
    </row>
    <row r="84" spans="9:15" ht="13.5" thickTop="1">
      <c r="I84"/>
      <c r="J84" s="24"/>
      <c r="K84" s="29"/>
      <c r="M84" s="3"/>
      <c r="N84"/>
      <c r="O84"/>
    </row>
    <row r="85" spans="1:15" ht="12.75">
      <c r="A85" s="31">
        <v>38322</v>
      </c>
      <c r="B85" t="s">
        <v>76</v>
      </c>
      <c r="C85" s="2">
        <f>+C83</f>
        <v>581470.2762778136</v>
      </c>
      <c r="D85" s="2">
        <f>+D83</f>
        <v>26392.670608498414</v>
      </c>
      <c r="E85" s="2">
        <f>+E83</f>
        <v>555077.605669315</v>
      </c>
      <c r="F85" s="2">
        <f>+F83</f>
        <v>581470.2762778134</v>
      </c>
      <c r="G85" s="2">
        <f>+G83</f>
        <v>662019.6443306849</v>
      </c>
      <c r="I85"/>
      <c r="J85" s="24"/>
      <c r="K85" s="29"/>
      <c r="M85" s="3"/>
      <c r="N85"/>
      <c r="O85"/>
    </row>
    <row r="86" spans="1:15" ht="12.75">
      <c r="A86" s="31"/>
      <c r="B86" t="s">
        <v>135</v>
      </c>
      <c r="C86" s="2">
        <f>+$C$6</f>
        <v>102214.25</v>
      </c>
      <c r="E86" s="2">
        <f>+C86</f>
        <v>102214.25</v>
      </c>
      <c r="F86" s="2"/>
      <c r="I86"/>
      <c r="J86" s="24"/>
      <c r="K86" s="29"/>
      <c r="M86" s="3"/>
      <c r="N86"/>
      <c r="O86"/>
    </row>
    <row r="87" spans="2:15" ht="12.75">
      <c r="B87" t="s">
        <v>105</v>
      </c>
      <c r="C87" s="23">
        <f>-'Festival Dec 04'!N45</f>
        <v>-97082.8940516375</v>
      </c>
      <c r="E87" s="23">
        <f>+C87</f>
        <v>-97082.8940516375</v>
      </c>
      <c r="F87" s="2"/>
      <c r="G87" s="2">
        <f>-E87</f>
        <v>97082.8940516375</v>
      </c>
      <c r="I87"/>
      <c r="J87" s="24"/>
      <c r="K87" s="29"/>
      <c r="M87" s="3"/>
      <c r="N87"/>
      <c r="O87"/>
    </row>
    <row r="88" spans="2:15" ht="12.75">
      <c r="B88" t="s">
        <v>134</v>
      </c>
      <c r="C88" s="2">
        <f>SUM(C85:C87)</f>
        <v>586601.6322261761</v>
      </c>
      <c r="E88" s="2">
        <f>SUM(E85:E87)</f>
        <v>560208.9616176775</v>
      </c>
      <c r="F88" s="2"/>
      <c r="I88"/>
      <c r="J88" s="24"/>
      <c r="K88" s="29"/>
      <c r="M88" s="3"/>
      <c r="N88"/>
      <c r="O88"/>
    </row>
    <row r="89" spans="2:15" ht="12.75">
      <c r="B89" t="s">
        <v>116</v>
      </c>
      <c r="C89" s="2">
        <f>+E85*0.0725/365*31</f>
        <v>3417.9093664158504</v>
      </c>
      <c r="D89" s="2">
        <f>+C89</f>
        <v>3417.9093664158504</v>
      </c>
      <c r="E89" s="2">
        <v>0</v>
      </c>
      <c r="F89" s="2"/>
      <c r="I89"/>
      <c r="J89" s="24"/>
      <c r="K89" s="29"/>
      <c r="M89" s="3"/>
      <c r="N89"/>
      <c r="O89"/>
    </row>
    <row r="90" spans="2:15" ht="13.5" thickBot="1">
      <c r="B90" t="s">
        <v>124</v>
      </c>
      <c r="C90" s="25">
        <f>+C88+C89</f>
        <v>590019.5415925919</v>
      </c>
      <c r="D90" s="25">
        <f>+D85+D89</f>
        <v>29810.579974914264</v>
      </c>
      <c r="E90" s="25">
        <f>+E88+E89</f>
        <v>560208.9616176775</v>
      </c>
      <c r="F90" s="25">
        <f>+E90+D90</f>
        <v>590019.5415925918</v>
      </c>
      <c r="G90" s="25">
        <f>SUM(G85:G89)</f>
        <v>759102.5383823224</v>
      </c>
      <c r="I90"/>
      <c r="J90" s="24"/>
      <c r="K90" s="29"/>
      <c r="M90" s="3"/>
      <c r="N90"/>
      <c r="O90"/>
    </row>
    <row r="91" spans="3:15" ht="13.5" thickTop="1">
      <c r="C91" s="24"/>
      <c r="D91" s="24"/>
      <c r="E91" s="24"/>
      <c r="F91" s="24"/>
      <c r="G91" s="24"/>
      <c r="I91"/>
      <c r="J91" s="24"/>
      <c r="K91" s="29"/>
      <c r="M91" s="3"/>
      <c r="N91"/>
      <c r="O91"/>
    </row>
    <row r="92" spans="1:15" ht="12.75">
      <c r="A92">
        <v>2004</v>
      </c>
      <c r="B92" t="s">
        <v>136</v>
      </c>
      <c r="C92" s="24">
        <f>102214.25*12</f>
        <v>1226571</v>
      </c>
      <c r="D92" s="24"/>
      <c r="E92" s="24"/>
      <c r="F92" s="24"/>
      <c r="G92" s="24"/>
      <c r="I92"/>
      <c r="J92" s="24"/>
      <c r="K92" s="29"/>
      <c r="M92" s="3"/>
      <c r="N92"/>
      <c r="O92"/>
    </row>
    <row r="93" spans="2:15" ht="12.75">
      <c r="B93" t="s">
        <v>162</v>
      </c>
      <c r="C93" s="24">
        <f>+C87+C80+C73+C66+C59+C52+C44+C37+C30</f>
        <v>-759102.5383823225</v>
      </c>
      <c r="D93" s="24"/>
      <c r="E93" s="24"/>
      <c r="F93" s="24"/>
      <c r="G93" s="24"/>
      <c r="I93"/>
      <c r="J93" s="24"/>
      <c r="K93" s="29"/>
      <c r="M93" s="3"/>
      <c r="N93"/>
      <c r="O93"/>
    </row>
    <row r="94" spans="2:15" ht="12.75">
      <c r="B94" t="s">
        <v>107</v>
      </c>
      <c r="C94" s="24">
        <f>+D90</f>
        <v>29810.579974914264</v>
      </c>
      <c r="D94" s="24"/>
      <c r="E94" s="24"/>
      <c r="F94" s="24"/>
      <c r="G94" s="24"/>
      <c r="I94"/>
      <c r="J94" s="24"/>
      <c r="K94" s="29"/>
      <c r="M94" s="3"/>
      <c r="N94"/>
      <c r="O94"/>
    </row>
    <row r="95" spans="2:15" ht="12.75">
      <c r="B95" t="s">
        <v>163</v>
      </c>
      <c r="C95" s="24">
        <v>0</v>
      </c>
      <c r="D95" s="24"/>
      <c r="E95" s="24"/>
      <c r="F95" s="24"/>
      <c r="G95" s="24"/>
      <c r="I95"/>
      <c r="J95" s="24"/>
      <c r="K95" s="29"/>
      <c r="M95" s="3"/>
      <c r="N95"/>
      <c r="O95"/>
    </row>
    <row r="96" spans="3:15" ht="13.5" thickBot="1">
      <c r="C96" s="25">
        <f>SUM(C92:C95)</f>
        <v>497279.04159259173</v>
      </c>
      <c r="D96" s="24"/>
      <c r="E96" s="24"/>
      <c r="F96" s="24"/>
      <c r="G96" s="24"/>
      <c r="I96"/>
      <c r="J96" s="24"/>
      <c r="K96" s="29"/>
      <c r="M96" s="3"/>
      <c r="N96"/>
      <c r="O96"/>
    </row>
    <row r="97" spans="3:15" ht="13.5" thickTop="1">
      <c r="C97" s="24"/>
      <c r="D97" s="24"/>
      <c r="E97" s="24"/>
      <c r="F97" s="24"/>
      <c r="G97" s="24"/>
      <c r="I97"/>
      <c r="J97" s="24"/>
      <c r="K97" s="29"/>
      <c r="M97" s="3"/>
      <c r="N97"/>
      <c r="O97"/>
    </row>
    <row r="98" spans="9:15" ht="12.75">
      <c r="I98"/>
      <c r="J98" s="24"/>
      <c r="K98" s="29"/>
      <c r="M98" s="3"/>
      <c r="N98"/>
      <c r="O98"/>
    </row>
    <row r="99" spans="1:15" ht="12.75">
      <c r="A99" s="31">
        <v>38353</v>
      </c>
      <c r="B99" t="s">
        <v>113</v>
      </c>
      <c r="C99" s="2">
        <f>+C90</f>
        <v>590019.5415925919</v>
      </c>
      <c r="D99" s="2">
        <f>+D90</f>
        <v>29810.579974914264</v>
      </c>
      <c r="E99" s="2">
        <f>+E90</f>
        <v>560208.9616176775</v>
      </c>
      <c r="F99" s="2">
        <f>+F90</f>
        <v>590019.5415925918</v>
      </c>
      <c r="G99" s="2">
        <f>+G90</f>
        <v>759102.5383823224</v>
      </c>
      <c r="I99"/>
      <c r="J99" s="24"/>
      <c r="K99" s="29"/>
      <c r="M99" s="3"/>
      <c r="N99"/>
      <c r="O99"/>
    </row>
    <row r="100" spans="1:15" ht="12.75">
      <c r="A100" s="31"/>
      <c r="B100" t="s">
        <v>135</v>
      </c>
      <c r="C100" s="2">
        <v>0</v>
      </c>
      <c r="E100" s="2">
        <f>+C100</f>
        <v>0</v>
      </c>
      <c r="F100" s="2"/>
      <c r="I100"/>
      <c r="J100" s="24"/>
      <c r="K100" s="29"/>
      <c r="M100" s="3"/>
      <c r="N100"/>
      <c r="O100"/>
    </row>
    <row r="101" spans="2:15" ht="12.75">
      <c r="B101" t="s">
        <v>152</v>
      </c>
      <c r="C101" s="23">
        <f>-'Festival Jan 05'!N45</f>
        <v>-115002.5388246925</v>
      </c>
      <c r="E101" s="23">
        <f>+C101</f>
        <v>-115002.5388246925</v>
      </c>
      <c r="F101" s="2"/>
      <c r="G101" s="2">
        <f>-E101</f>
        <v>115002.5388246925</v>
      </c>
      <c r="I101"/>
      <c r="J101" s="24"/>
      <c r="K101" s="29"/>
      <c r="M101" s="3"/>
      <c r="N101"/>
      <c r="O101"/>
    </row>
    <row r="102" spans="2:15" ht="12.75">
      <c r="B102" t="s">
        <v>134</v>
      </c>
      <c r="C102" s="2">
        <f>SUM(C99:C101)</f>
        <v>475017.0027678994</v>
      </c>
      <c r="E102" s="2">
        <f>SUM(E99:E101)</f>
        <v>445206.422792985</v>
      </c>
      <c r="F102" s="2"/>
      <c r="I102"/>
      <c r="J102" s="24"/>
      <c r="K102" s="29"/>
      <c r="M102" s="3"/>
      <c r="N102"/>
      <c r="O102"/>
    </row>
    <row r="103" spans="2:15" ht="12.75">
      <c r="B103" t="s">
        <v>116</v>
      </c>
      <c r="C103" s="2">
        <f>+E99*0.0725/365*31</f>
        <v>3449.5058663992604</v>
      </c>
      <c r="D103" s="2">
        <f>+C103</f>
        <v>3449.5058663992604</v>
      </c>
      <c r="E103" s="2">
        <v>0</v>
      </c>
      <c r="F103" s="2"/>
      <c r="I103"/>
      <c r="J103" s="24"/>
      <c r="K103" s="29"/>
      <c r="M103" s="3"/>
      <c r="N103"/>
      <c r="O103"/>
    </row>
    <row r="104" spans="2:15" ht="13.5" thickBot="1">
      <c r="B104" t="s">
        <v>124</v>
      </c>
      <c r="C104" s="25">
        <f>+C102+C103</f>
        <v>478466.5086342987</v>
      </c>
      <c r="D104" s="25">
        <f>+D99+D103</f>
        <v>33260.08584131353</v>
      </c>
      <c r="E104" s="25">
        <f>+E102+E103</f>
        <v>445206.422792985</v>
      </c>
      <c r="F104" s="25">
        <f>+E104+D104</f>
        <v>478466.5086342985</v>
      </c>
      <c r="G104" s="25">
        <f>SUM(G99:G103)</f>
        <v>874105.0772070149</v>
      </c>
      <c r="I104"/>
      <c r="J104" s="24"/>
      <c r="K104" s="29"/>
      <c r="M104" s="3"/>
      <c r="N104"/>
      <c r="O104"/>
    </row>
    <row r="105" spans="3:15" ht="13.5" thickTop="1">
      <c r="C105" s="55" t="s">
        <v>164</v>
      </c>
      <c r="D105" s="42">
        <f>+D103</f>
        <v>3449.5058663992604</v>
      </c>
      <c r="I105"/>
      <c r="J105" s="24"/>
      <c r="K105" s="29"/>
      <c r="M105" s="3"/>
      <c r="N105"/>
      <c r="O105"/>
    </row>
    <row r="106" spans="1:15" ht="12.75">
      <c r="A106" s="31">
        <v>38385</v>
      </c>
      <c r="B106" t="s">
        <v>114</v>
      </c>
      <c r="C106" s="2">
        <f>+C104</f>
        <v>478466.5086342987</v>
      </c>
      <c r="D106" s="2">
        <f>+D104</f>
        <v>33260.08584131353</v>
      </c>
      <c r="E106" s="2">
        <f>+E104</f>
        <v>445206.422792985</v>
      </c>
      <c r="F106" s="2">
        <f>+F104</f>
        <v>478466.5086342985</v>
      </c>
      <c r="G106" s="2">
        <f>+G104</f>
        <v>874105.0772070149</v>
      </c>
      <c r="I106"/>
      <c r="J106" s="24"/>
      <c r="K106" s="29"/>
      <c r="M106" s="3"/>
      <c r="N106"/>
      <c r="O106"/>
    </row>
    <row r="107" spans="1:15" ht="12.75">
      <c r="A107" s="31"/>
      <c r="B107" t="s">
        <v>135</v>
      </c>
      <c r="C107" s="2">
        <v>0</v>
      </c>
      <c r="E107" s="2">
        <f>+C107</f>
        <v>0</v>
      </c>
      <c r="F107" s="2"/>
      <c r="I107"/>
      <c r="J107" s="24"/>
      <c r="K107" s="29"/>
      <c r="M107" s="3"/>
      <c r="N107"/>
      <c r="O107"/>
    </row>
    <row r="108" spans="2:15" ht="12.75">
      <c r="B108" t="s">
        <v>152</v>
      </c>
      <c r="C108" s="23">
        <f>-'Festival Feb 05 '!N45</f>
        <v>-115002.5388246925</v>
      </c>
      <c r="E108" s="23">
        <f>+C108</f>
        <v>-115002.5388246925</v>
      </c>
      <c r="F108" s="2"/>
      <c r="G108" s="2">
        <f>-E108</f>
        <v>115002.5388246925</v>
      </c>
      <c r="I108"/>
      <c r="J108" s="24"/>
      <c r="K108" s="29"/>
      <c r="M108" s="3"/>
      <c r="N108"/>
      <c r="O108"/>
    </row>
    <row r="109" spans="2:15" ht="12.75">
      <c r="B109" t="s">
        <v>134</v>
      </c>
      <c r="C109" s="2">
        <f>SUM(C106:C108)</f>
        <v>363463.9698096062</v>
      </c>
      <c r="E109" s="2">
        <f>SUM(E106:E108)</f>
        <v>330203.8839682925</v>
      </c>
      <c r="F109" s="2"/>
      <c r="I109"/>
      <c r="J109" s="24"/>
      <c r="K109" s="29"/>
      <c r="M109" s="3"/>
      <c r="N109"/>
      <c r="O109"/>
    </row>
    <row r="110" spans="2:15" ht="12.75">
      <c r="B110" t="s">
        <v>116</v>
      </c>
      <c r="C110" s="2">
        <f>+E106*0.0725/365*28</f>
        <v>2476.079556903451</v>
      </c>
      <c r="D110" s="2">
        <f>+C110</f>
        <v>2476.079556903451</v>
      </c>
      <c r="E110" s="2">
        <v>0</v>
      </c>
      <c r="F110" s="2"/>
      <c r="I110"/>
      <c r="J110" s="24"/>
      <c r="K110" s="29"/>
      <c r="M110" s="3"/>
      <c r="N110"/>
      <c r="O110"/>
    </row>
    <row r="111" spans="2:15" ht="13.5" thickBot="1">
      <c r="B111" t="s">
        <v>124</v>
      </c>
      <c r="C111" s="25">
        <f>+C109+C110</f>
        <v>365940.04936650966</v>
      </c>
      <c r="D111" s="25">
        <f>+D106+D110</f>
        <v>35736.16539821698</v>
      </c>
      <c r="E111" s="25">
        <f>+E109+E110</f>
        <v>330203.8839682925</v>
      </c>
      <c r="F111" s="25">
        <f>+E111+D111</f>
        <v>365940.0493665095</v>
      </c>
      <c r="G111" s="25">
        <f>SUM(G106:G110)</f>
        <v>989107.6160317074</v>
      </c>
      <c r="I111"/>
      <c r="J111" s="24"/>
      <c r="K111" s="29"/>
      <c r="M111" s="3"/>
      <c r="N111"/>
      <c r="O111"/>
    </row>
    <row r="112" spans="3:15" ht="13.5" thickTop="1">
      <c r="C112" s="55" t="s">
        <v>164</v>
      </c>
      <c r="D112" s="42">
        <f>+D110+D105</f>
        <v>5925.585423302711</v>
      </c>
      <c r="I112"/>
      <c r="J112" s="24"/>
      <c r="K112" s="29"/>
      <c r="M112" s="3"/>
      <c r="N112"/>
      <c r="O112"/>
    </row>
    <row r="113" spans="1:15" ht="12.75">
      <c r="A113" s="31">
        <v>38414</v>
      </c>
      <c r="B113" t="s">
        <v>114</v>
      </c>
      <c r="C113" s="2">
        <f>+C111</f>
        <v>365940.04936650966</v>
      </c>
      <c r="D113" s="2">
        <f>+D111</f>
        <v>35736.16539821698</v>
      </c>
      <c r="E113" s="2">
        <f>+E111</f>
        <v>330203.8839682925</v>
      </c>
      <c r="F113" s="2">
        <f>+F111</f>
        <v>365940.0493665095</v>
      </c>
      <c r="G113" s="2">
        <f>+G111</f>
        <v>989107.6160317074</v>
      </c>
      <c r="I113"/>
      <c r="J113" s="24"/>
      <c r="K113" s="29"/>
      <c r="M113" s="3"/>
      <c r="N113"/>
      <c r="O113"/>
    </row>
    <row r="114" spans="1:15" ht="12.75">
      <c r="A114" s="31"/>
      <c r="B114" t="s">
        <v>135</v>
      </c>
      <c r="C114" s="2">
        <v>0</v>
      </c>
      <c r="E114" s="2">
        <f>+C114</f>
        <v>0</v>
      </c>
      <c r="F114" s="2"/>
      <c r="I114"/>
      <c r="J114" s="24"/>
      <c r="K114" s="29"/>
      <c r="M114" s="3"/>
      <c r="N114"/>
      <c r="O114"/>
    </row>
    <row r="115" spans="2:15" ht="12.75">
      <c r="B115" t="s">
        <v>152</v>
      </c>
      <c r="C115" s="23">
        <f>-'Festival Mar 05'!N45</f>
        <v>-186719.5904509206</v>
      </c>
      <c r="E115" s="23">
        <f>+C115</f>
        <v>-186719.5904509206</v>
      </c>
      <c r="F115" s="2"/>
      <c r="G115" s="2">
        <f>-E115</f>
        <v>186719.5904509206</v>
      </c>
      <c r="I115"/>
      <c r="J115" s="24"/>
      <c r="K115" s="29"/>
      <c r="M115" s="3"/>
      <c r="N115"/>
      <c r="O115"/>
    </row>
    <row r="116" spans="2:15" ht="12.75">
      <c r="B116" t="s">
        <v>134</v>
      </c>
      <c r="C116" s="2">
        <f>SUM(C113:C115)</f>
        <v>179220.45891558906</v>
      </c>
      <c r="E116" s="2">
        <f>SUM(E113:E115)</f>
        <v>143484.2935173719</v>
      </c>
      <c r="F116" s="2"/>
      <c r="I116"/>
      <c r="J116" s="24"/>
      <c r="K116" s="29"/>
      <c r="M116" s="3"/>
      <c r="N116"/>
      <c r="O116"/>
    </row>
    <row r="117" spans="2:15" ht="12.75">
      <c r="B117" t="s">
        <v>116</v>
      </c>
      <c r="C117" s="2">
        <f>+E113*0.0725/365*31</f>
        <v>2033.2417238869514</v>
      </c>
      <c r="D117" s="2">
        <f>+C117</f>
        <v>2033.2417238869514</v>
      </c>
      <c r="E117" s="2">
        <v>0</v>
      </c>
      <c r="F117" s="2"/>
      <c r="I117"/>
      <c r="J117" s="24"/>
      <c r="K117" s="29"/>
      <c r="M117" s="3"/>
      <c r="N117"/>
      <c r="O117"/>
    </row>
    <row r="118" spans="2:15" ht="13.5" thickBot="1">
      <c r="B118" t="s">
        <v>124</v>
      </c>
      <c r="C118" s="25">
        <f>+C116+C117</f>
        <v>181253.700639476</v>
      </c>
      <c r="D118" s="25">
        <f>+D113+D117</f>
        <v>37769.407122103934</v>
      </c>
      <c r="E118" s="25">
        <f>+E116+E117</f>
        <v>143484.2935173719</v>
      </c>
      <c r="F118" s="25">
        <f>+E118+D118</f>
        <v>181253.70063947584</v>
      </c>
      <c r="G118" s="25">
        <f>SUM(G113:G117)</f>
        <v>1175827.206482628</v>
      </c>
      <c r="I118"/>
      <c r="J118" s="24"/>
      <c r="K118" s="29"/>
      <c r="M118" s="3"/>
      <c r="N118"/>
      <c r="O118"/>
    </row>
    <row r="119" spans="2:15" ht="13.5" thickTop="1">
      <c r="B119" s="2"/>
      <c r="C119" s="55" t="s">
        <v>164</v>
      </c>
      <c r="D119" s="42">
        <f>+D117+D112</f>
        <v>7958.827147189662</v>
      </c>
      <c r="I119"/>
      <c r="J119" s="24"/>
      <c r="K119" s="29"/>
      <c r="M119" s="3"/>
      <c r="N119"/>
      <c r="O119"/>
    </row>
    <row r="120" spans="2:15" ht="12.75">
      <c r="B120" s="15" t="s">
        <v>166</v>
      </c>
      <c r="C120" s="55"/>
      <c r="D120" s="42"/>
      <c r="I120"/>
      <c r="J120" s="24"/>
      <c r="K120" s="29"/>
      <c r="M120" s="3"/>
      <c r="N120"/>
      <c r="O120"/>
    </row>
    <row r="121" spans="2:15" ht="12.75">
      <c r="B121" s="2"/>
      <c r="C121" s="55"/>
      <c r="D121" s="42"/>
      <c r="I121"/>
      <c r="J121" s="24"/>
      <c r="K121" s="29"/>
      <c r="M121" s="3"/>
      <c r="N121"/>
      <c r="O121"/>
    </row>
    <row r="122" spans="1:15" ht="12.75">
      <c r="A122" s="31">
        <v>38446</v>
      </c>
      <c r="B122" t="s">
        <v>114</v>
      </c>
      <c r="C122" s="2">
        <f>+C118</f>
        <v>181253.700639476</v>
      </c>
      <c r="D122" s="2">
        <f>+D118</f>
        <v>37769.407122103934</v>
      </c>
      <c r="E122" s="2">
        <f>+E118</f>
        <v>143484.2935173719</v>
      </c>
      <c r="F122" s="2">
        <f>+F118</f>
        <v>181253.70063947584</v>
      </c>
      <c r="G122" s="2">
        <f>+G118</f>
        <v>1175827.206482628</v>
      </c>
      <c r="I122"/>
      <c r="J122" s="24"/>
      <c r="K122" s="29"/>
      <c r="M122" s="3"/>
      <c r="N122"/>
      <c r="O122"/>
    </row>
    <row r="123" spans="1:15" ht="12.75">
      <c r="A123" s="31"/>
      <c r="B123" t="s">
        <v>135</v>
      </c>
      <c r="C123" s="2">
        <v>0</v>
      </c>
      <c r="E123" s="2">
        <f>+C123</f>
        <v>0</v>
      </c>
      <c r="F123" s="2"/>
      <c r="I123"/>
      <c r="J123" s="24"/>
      <c r="K123" s="29"/>
      <c r="M123" s="3"/>
      <c r="N123"/>
      <c r="O123"/>
    </row>
    <row r="124" spans="2:15" ht="12.75">
      <c r="B124" t="s">
        <v>152</v>
      </c>
      <c r="C124" s="23">
        <v>0</v>
      </c>
      <c r="E124" s="23">
        <f>+C124</f>
        <v>0</v>
      </c>
      <c r="F124" s="2"/>
      <c r="G124" s="2">
        <f>-E124</f>
        <v>0</v>
      </c>
      <c r="I124"/>
      <c r="J124" s="24"/>
      <c r="K124" s="29"/>
      <c r="M124" s="3"/>
      <c r="N124"/>
      <c r="O124"/>
    </row>
    <row r="125" spans="2:15" ht="12.75">
      <c r="B125" t="s">
        <v>134</v>
      </c>
      <c r="C125" s="2">
        <f>SUM(C122:C124)</f>
        <v>181253.700639476</v>
      </c>
      <c r="E125" s="2">
        <f>SUM(E122:E124)</f>
        <v>143484.2935173719</v>
      </c>
      <c r="F125" s="2"/>
      <c r="I125"/>
      <c r="J125" s="24"/>
      <c r="K125" s="29"/>
      <c r="M125" s="3"/>
      <c r="N125"/>
      <c r="O125"/>
    </row>
    <row r="126" spans="2:15" ht="12.75">
      <c r="B126" t="s">
        <v>116</v>
      </c>
      <c r="C126" s="2">
        <f>+E122*0.0725/365*30</f>
        <v>855.0091463021475</v>
      </c>
      <c r="D126" s="2">
        <f>+C126</f>
        <v>855.0091463021475</v>
      </c>
      <c r="E126" s="2">
        <v>0</v>
      </c>
      <c r="F126" s="2"/>
      <c r="I126"/>
      <c r="J126" s="24"/>
      <c r="K126" s="29"/>
      <c r="M126" s="3"/>
      <c r="N126"/>
      <c r="O126"/>
    </row>
    <row r="127" spans="2:15" ht="13.5" thickBot="1">
      <c r="B127" t="s">
        <v>124</v>
      </c>
      <c r="C127" s="25">
        <f>+C125+C126</f>
        <v>182108.70978577816</v>
      </c>
      <c r="D127" s="25">
        <f>+D122+D126</f>
        <v>38624.41626840608</v>
      </c>
      <c r="E127" s="25">
        <f>+E125+E126</f>
        <v>143484.2935173719</v>
      </c>
      <c r="F127" s="25">
        <f>+E127+D127</f>
        <v>182108.709785778</v>
      </c>
      <c r="G127" s="25">
        <f>SUM(G122:G126)</f>
        <v>1175827.206482628</v>
      </c>
      <c r="I127"/>
      <c r="J127" s="24"/>
      <c r="K127" s="29"/>
      <c r="M127" s="3"/>
      <c r="N127"/>
      <c r="O127"/>
    </row>
    <row r="128" spans="3:15" ht="13.5" thickTop="1">
      <c r="C128" s="55" t="s">
        <v>164</v>
      </c>
      <c r="D128" s="42">
        <f>+D126+D119</f>
        <v>8813.83629349181</v>
      </c>
      <c r="I128"/>
      <c r="J128" s="24"/>
      <c r="K128" s="29"/>
      <c r="M128" s="3"/>
      <c r="N128"/>
      <c r="O128"/>
    </row>
    <row r="129" spans="1:15" ht="12.75">
      <c r="A129" s="31">
        <v>38477</v>
      </c>
      <c r="B129" t="s">
        <v>114</v>
      </c>
      <c r="C129" s="2">
        <f>+C127</f>
        <v>182108.70978577816</v>
      </c>
      <c r="D129" s="2">
        <f>+D127</f>
        <v>38624.41626840608</v>
      </c>
      <c r="E129" s="2">
        <f>+E127</f>
        <v>143484.2935173719</v>
      </c>
      <c r="F129" s="2">
        <f>+F127</f>
        <v>182108.709785778</v>
      </c>
      <c r="G129" s="2">
        <f>+G127</f>
        <v>1175827.206482628</v>
      </c>
      <c r="I129"/>
      <c r="J129" s="24"/>
      <c r="K129" s="29"/>
      <c r="M129" s="3"/>
      <c r="N129"/>
      <c r="O129"/>
    </row>
    <row r="130" spans="2:15" ht="12.75">
      <c r="B130" t="s">
        <v>116</v>
      </c>
      <c r="C130" s="2">
        <f>+E129*0.0725/365*31</f>
        <v>883.5094511788858</v>
      </c>
      <c r="D130" s="2">
        <f>+C130</f>
        <v>883.5094511788858</v>
      </c>
      <c r="E130" s="2">
        <v>0</v>
      </c>
      <c r="F130" s="2"/>
      <c r="I130"/>
      <c r="J130" s="24"/>
      <c r="K130" s="29"/>
      <c r="M130" s="3"/>
      <c r="N130"/>
      <c r="O130"/>
    </row>
    <row r="131" spans="2:15" ht="13.5" thickBot="1">
      <c r="B131" t="s">
        <v>124</v>
      </c>
      <c r="C131" s="25">
        <f>+C130+C129</f>
        <v>182992.21923695705</v>
      </c>
      <c r="D131" s="25">
        <f>+D130+D129</f>
        <v>39507.925719584964</v>
      </c>
      <c r="E131" s="25">
        <f>+E130+E129</f>
        <v>143484.2935173719</v>
      </c>
      <c r="F131" s="25">
        <f>+E131+D131</f>
        <v>182992.21923695685</v>
      </c>
      <c r="G131" s="25">
        <f>SUM(G129:G130)</f>
        <v>1175827.206482628</v>
      </c>
      <c r="I131"/>
      <c r="J131" s="24"/>
      <c r="K131" s="29"/>
      <c r="M131" s="3"/>
      <c r="N131"/>
      <c r="O131"/>
    </row>
    <row r="132" spans="3:15" ht="13.5" thickTop="1">
      <c r="C132" s="55" t="s">
        <v>164</v>
      </c>
      <c r="D132" s="42">
        <f>+D130+D128</f>
        <v>9697.345744670696</v>
      </c>
      <c r="I132"/>
      <c r="J132" s="24"/>
      <c r="K132" s="29"/>
      <c r="M132" s="3"/>
      <c r="N132"/>
      <c r="O132"/>
    </row>
    <row r="133" spans="1:15" ht="12.75">
      <c r="A133" s="31">
        <v>38509</v>
      </c>
      <c r="B133" t="s">
        <v>114</v>
      </c>
      <c r="C133" s="2">
        <f>+C131</f>
        <v>182992.21923695705</v>
      </c>
      <c r="D133" s="2">
        <f>+D131</f>
        <v>39507.925719584964</v>
      </c>
      <c r="E133" s="2">
        <f>+E131</f>
        <v>143484.2935173719</v>
      </c>
      <c r="F133" s="2">
        <f>+F131</f>
        <v>182992.21923695685</v>
      </c>
      <c r="G133" s="2">
        <f>+G131</f>
        <v>1175827.206482628</v>
      </c>
      <c r="I133"/>
      <c r="J133" s="24"/>
      <c r="K133" s="29"/>
      <c r="M133" s="3"/>
      <c r="N133"/>
      <c r="O133"/>
    </row>
    <row r="134" spans="1:15" ht="12.75">
      <c r="A134" s="31"/>
      <c r="B134" s="32" t="s">
        <v>176</v>
      </c>
      <c r="C134" s="2">
        <v>-119927</v>
      </c>
      <c r="E134" s="2">
        <v>-119927</v>
      </c>
      <c r="F134" s="2"/>
      <c r="I134"/>
      <c r="J134" s="24"/>
      <c r="K134" s="29"/>
      <c r="M134" s="3"/>
      <c r="N134"/>
      <c r="O134"/>
    </row>
    <row r="135" spans="2:15" ht="12.75">
      <c r="B135" t="s">
        <v>116</v>
      </c>
      <c r="C135" s="2">
        <f>+E133*0.0725/365*30</f>
        <v>855.0091463021475</v>
      </c>
      <c r="D135" s="2">
        <f>+C135</f>
        <v>855.0091463021475</v>
      </c>
      <c r="E135" s="2">
        <v>0</v>
      </c>
      <c r="F135" s="2"/>
      <c r="I135"/>
      <c r="J135" s="24"/>
      <c r="K135" s="29"/>
      <c r="M135" s="3"/>
      <c r="N135"/>
      <c r="O135"/>
    </row>
    <row r="136" spans="2:15" ht="13.5" thickBot="1">
      <c r="B136" t="s">
        <v>124</v>
      </c>
      <c r="C136" s="25">
        <f>SUM(C133:C135)</f>
        <v>63920.2283832592</v>
      </c>
      <c r="D136" s="25">
        <f>+D135+D133</f>
        <v>40362.93486588711</v>
      </c>
      <c r="E136" s="25">
        <f>SUM(E133:E135)</f>
        <v>23557.2935173719</v>
      </c>
      <c r="F136" s="25">
        <f>+E136+D136</f>
        <v>63920.22838325901</v>
      </c>
      <c r="G136" s="25">
        <f>SUM(G133:G135)</f>
        <v>1175827.206482628</v>
      </c>
      <c r="I136"/>
      <c r="J136" s="24"/>
      <c r="K136" s="29"/>
      <c r="M136" s="3"/>
      <c r="N136"/>
      <c r="O136"/>
    </row>
    <row r="137" spans="3:15" ht="13.5" thickTop="1">
      <c r="C137" s="55" t="s">
        <v>164</v>
      </c>
      <c r="D137" s="42">
        <f>+D135+D132</f>
        <v>10552.354890972843</v>
      </c>
      <c r="I137"/>
      <c r="J137" s="24"/>
      <c r="K137" s="29"/>
      <c r="M137" s="3"/>
      <c r="N137"/>
      <c r="O137"/>
    </row>
    <row r="138" spans="1:15" ht="12.75">
      <c r="A138" s="31">
        <v>38540</v>
      </c>
      <c r="B138" t="s">
        <v>114</v>
      </c>
      <c r="C138" s="2">
        <f>+C136</f>
        <v>63920.2283832592</v>
      </c>
      <c r="D138" s="2">
        <f>+D136</f>
        <v>40362.93486588711</v>
      </c>
      <c r="E138" s="2">
        <f>+E136</f>
        <v>23557.2935173719</v>
      </c>
      <c r="F138" s="2">
        <f>+F136</f>
        <v>63920.22838325901</v>
      </c>
      <c r="G138" s="2">
        <f>+G136</f>
        <v>1175827.206482628</v>
      </c>
      <c r="I138"/>
      <c r="J138" s="24"/>
      <c r="K138" s="29"/>
      <c r="M138" s="3"/>
      <c r="N138"/>
      <c r="O138"/>
    </row>
    <row r="139" spans="2:15" ht="12.75">
      <c r="B139" t="s">
        <v>116</v>
      </c>
      <c r="C139" s="2">
        <f>+E138*0.0725/365*31</f>
        <v>145.05484158984478</v>
      </c>
      <c r="D139" s="2">
        <f>+C139</f>
        <v>145.05484158984478</v>
      </c>
      <c r="E139" s="2">
        <v>0</v>
      </c>
      <c r="F139" s="2"/>
      <c r="I139"/>
      <c r="J139" s="24"/>
      <c r="K139" s="29"/>
      <c r="M139" s="3"/>
      <c r="N139"/>
      <c r="O139"/>
    </row>
    <row r="140" spans="2:15" ht="13.5" thickBot="1">
      <c r="B140" t="s">
        <v>124</v>
      </c>
      <c r="C140" s="25">
        <f>+C139+C138</f>
        <v>64065.283224849045</v>
      </c>
      <c r="D140" s="25">
        <f>+D139+D138</f>
        <v>40507.989707476954</v>
      </c>
      <c r="E140" s="25">
        <f>+E139+E138</f>
        <v>23557.2935173719</v>
      </c>
      <c r="F140" s="25">
        <f>+E140+D140</f>
        <v>64065.283224848856</v>
      </c>
      <c r="G140" s="25">
        <f>SUM(G138:G139)</f>
        <v>1175827.206482628</v>
      </c>
      <c r="I140"/>
      <c r="J140" s="24"/>
      <c r="K140" s="29"/>
      <c r="M140" s="3"/>
      <c r="N140"/>
      <c r="O140"/>
    </row>
    <row r="141" spans="3:15" ht="13.5" thickTop="1">
      <c r="C141" s="55" t="s">
        <v>164</v>
      </c>
      <c r="D141" s="42">
        <f>+D139+D137</f>
        <v>10697.409732562688</v>
      </c>
      <c r="I141"/>
      <c r="J141" s="24"/>
      <c r="K141" s="29"/>
      <c r="M141" s="3"/>
      <c r="N141"/>
      <c r="O141"/>
    </row>
    <row r="142" spans="1:15" ht="12.75">
      <c r="A142" s="31">
        <v>38572</v>
      </c>
      <c r="B142" t="s">
        <v>114</v>
      </c>
      <c r="C142" s="2">
        <f>+C140</f>
        <v>64065.283224849045</v>
      </c>
      <c r="D142" s="2">
        <f>+D140</f>
        <v>40507.989707476954</v>
      </c>
      <c r="E142" s="2">
        <f>+E140</f>
        <v>23557.2935173719</v>
      </c>
      <c r="F142" s="2">
        <f>+F140</f>
        <v>64065.283224848856</v>
      </c>
      <c r="G142" s="2">
        <f>+G140</f>
        <v>1175827.206482628</v>
      </c>
      <c r="I142"/>
      <c r="J142" s="24"/>
      <c r="K142" s="29"/>
      <c r="M142" s="3"/>
      <c r="N142"/>
      <c r="O142"/>
    </row>
    <row r="143" spans="2:15" ht="12.75">
      <c r="B143" t="s">
        <v>116</v>
      </c>
      <c r="C143" s="2">
        <f>+E142*0.0725/365*31</f>
        <v>145.05484158984478</v>
      </c>
      <c r="D143" s="2">
        <f>+C143</f>
        <v>145.05484158984478</v>
      </c>
      <c r="E143" s="2">
        <v>0</v>
      </c>
      <c r="F143" s="2"/>
      <c r="I143"/>
      <c r="J143" s="24"/>
      <c r="K143" s="29"/>
      <c r="M143" s="3"/>
      <c r="N143"/>
      <c r="O143"/>
    </row>
    <row r="144" spans="2:15" ht="13.5" thickBot="1">
      <c r="B144" t="s">
        <v>124</v>
      </c>
      <c r="C144" s="25">
        <f>+C143+C142</f>
        <v>64210.33806643889</v>
      </c>
      <c r="D144" s="25">
        <f>+D143+D142</f>
        <v>40653.0445490668</v>
      </c>
      <c r="E144" s="25">
        <f>+E143+E142</f>
        <v>23557.2935173719</v>
      </c>
      <c r="F144" s="25">
        <f>+E144+D144</f>
        <v>64210.3380664387</v>
      </c>
      <c r="G144" s="25">
        <f>SUM(G142:G143)</f>
        <v>1175827.206482628</v>
      </c>
      <c r="I144"/>
      <c r="J144" s="24"/>
      <c r="K144" s="29"/>
      <c r="M144" s="3"/>
      <c r="N144"/>
      <c r="O144"/>
    </row>
    <row r="145" spans="3:15" ht="13.5" thickTop="1">
      <c r="C145" s="55" t="s">
        <v>164</v>
      </c>
      <c r="D145" s="42">
        <f>+D143+D141</f>
        <v>10842.464574152533</v>
      </c>
      <c r="I145"/>
      <c r="J145" s="24"/>
      <c r="K145" s="29"/>
      <c r="M145" s="3"/>
      <c r="N145"/>
      <c r="O145"/>
    </row>
    <row r="146" spans="1:15" ht="12.75">
      <c r="A146" s="31">
        <v>38604</v>
      </c>
      <c r="B146" t="s">
        <v>114</v>
      </c>
      <c r="C146" s="2">
        <f>+C144</f>
        <v>64210.33806643889</v>
      </c>
      <c r="D146" s="2">
        <f>+D144</f>
        <v>40653.0445490668</v>
      </c>
      <c r="E146" s="2">
        <f>+E144</f>
        <v>23557.2935173719</v>
      </c>
      <c r="F146" s="2">
        <f>+F144</f>
        <v>64210.3380664387</v>
      </c>
      <c r="G146" s="2">
        <f>+G144</f>
        <v>1175827.206482628</v>
      </c>
      <c r="I146"/>
      <c r="J146" s="24"/>
      <c r="K146" s="29"/>
      <c r="M146" s="3"/>
      <c r="N146"/>
      <c r="O146"/>
    </row>
    <row r="147" spans="2:15" ht="12.75">
      <c r="B147" t="s">
        <v>116</v>
      </c>
      <c r="C147" s="2">
        <f>+E146*0.0725/365*30</f>
        <v>140.3756531514627</v>
      </c>
      <c r="D147" s="2">
        <f>+C147</f>
        <v>140.3756531514627</v>
      </c>
      <c r="E147" s="2">
        <v>0</v>
      </c>
      <c r="F147" s="2"/>
      <c r="I147"/>
      <c r="J147" s="24"/>
      <c r="K147" s="29"/>
      <c r="M147" s="3"/>
      <c r="N147"/>
      <c r="O147"/>
    </row>
    <row r="148" spans="2:15" ht="13.5" thickBot="1">
      <c r="B148" t="s">
        <v>124</v>
      </c>
      <c r="C148" s="25">
        <f>+C147+C146</f>
        <v>64350.71371959035</v>
      </c>
      <c r="D148" s="25">
        <f>+D147+D146</f>
        <v>40793.42020221826</v>
      </c>
      <c r="E148" s="25">
        <f>+E147+E146</f>
        <v>23557.2935173719</v>
      </c>
      <c r="F148" s="25">
        <f>+E148+D148</f>
        <v>64350.71371959016</v>
      </c>
      <c r="G148" s="25">
        <f>SUM(G146:G147)</f>
        <v>1175827.206482628</v>
      </c>
      <c r="I148"/>
      <c r="J148" s="24"/>
      <c r="K148" s="29"/>
      <c r="M148" s="3"/>
      <c r="N148"/>
      <c r="O148"/>
    </row>
    <row r="149" spans="3:15" ht="13.5" thickTop="1">
      <c r="C149" s="55" t="s">
        <v>164</v>
      </c>
      <c r="D149" s="42">
        <f>+D147+D145</f>
        <v>10982.840227303996</v>
      </c>
      <c r="I149"/>
      <c r="J149" s="24"/>
      <c r="K149" s="29"/>
      <c r="M149" s="3"/>
      <c r="N149"/>
      <c r="O149"/>
    </row>
    <row r="150" spans="1:15" ht="12.75">
      <c r="A150" s="31">
        <v>38635</v>
      </c>
      <c r="B150" t="s">
        <v>114</v>
      </c>
      <c r="C150" s="2">
        <f>+C148</f>
        <v>64350.71371959035</v>
      </c>
      <c r="D150" s="2">
        <f>+D148</f>
        <v>40793.42020221826</v>
      </c>
      <c r="E150" s="2">
        <f>+E148</f>
        <v>23557.2935173719</v>
      </c>
      <c r="F150" s="2">
        <f>+F148</f>
        <v>64350.71371959016</v>
      </c>
      <c r="G150" s="2">
        <f>+G148</f>
        <v>1175827.206482628</v>
      </c>
      <c r="I150"/>
      <c r="J150" s="24"/>
      <c r="K150" s="29"/>
      <c r="M150" s="3"/>
      <c r="N150"/>
      <c r="O150"/>
    </row>
    <row r="151" spans="2:15" ht="12.75">
      <c r="B151" t="s">
        <v>116</v>
      </c>
      <c r="C151" s="2">
        <f>+E150*0.0725/365*31</f>
        <v>145.05484158984478</v>
      </c>
      <c r="D151" s="2">
        <f>+C151</f>
        <v>145.05484158984478</v>
      </c>
      <c r="E151" s="2">
        <v>0</v>
      </c>
      <c r="F151" s="2"/>
      <c r="I151"/>
      <c r="J151" s="24"/>
      <c r="K151" s="29"/>
      <c r="M151" s="3"/>
      <c r="N151"/>
      <c r="O151"/>
    </row>
    <row r="152" spans="2:15" ht="13.5" thickBot="1">
      <c r="B152" t="s">
        <v>124</v>
      </c>
      <c r="C152" s="25">
        <f>+C151+C150</f>
        <v>64495.76856118019</v>
      </c>
      <c r="D152" s="25">
        <f>+D151+D150</f>
        <v>40938.4750438081</v>
      </c>
      <c r="E152" s="25">
        <f>+E151+E150</f>
        <v>23557.2935173719</v>
      </c>
      <c r="F152" s="25">
        <f>+E152+D152</f>
        <v>64495.768561180004</v>
      </c>
      <c r="G152" s="25">
        <f>SUM(G150:G151)</f>
        <v>1175827.206482628</v>
      </c>
      <c r="I152"/>
      <c r="J152" s="24"/>
      <c r="K152" s="29"/>
      <c r="M152" s="3"/>
      <c r="N152"/>
      <c r="O152"/>
    </row>
    <row r="153" spans="3:15" ht="13.5" thickTop="1">
      <c r="C153" s="55" t="s">
        <v>164</v>
      </c>
      <c r="D153" s="42">
        <f>+D151+D149</f>
        <v>11127.89506889384</v>
      </c>
      <c r="I153"/>
      <c r="J153" s="24"/>
      <c r="K153" s="29"/>
      <c r="M153" s="3"/>
      <c r="N153"/>
      <c r="O153"/>
    </row>
    <row r="154" spans="1:15" ht="12.75">
      <c r="A154" s="31">
        <v>38667</v>
      </c>
      <c r="B154" t="s">
        <v>114</v>
      </c>
      <c r="C154" s="2">
        <f>+C152</f>
        <v>64495.76856118019</v>
      </c>
      <c r="D154" s="2">
        <f>+D152</f>
        <v>40938.4750438081</v>
      </c>
      <c r="E154" s="2">
        <f>+E152</f>
        <v>23557.2935173719</v>
      </c>
      <c r="F154" s="2">
        <f>+F152</f>
        <v>64495.768561180004</v>
      </c>
      <c r="G154" s="2">
        <f>+G152</f>
        <v>1175827.206482628</v>
      </c>
      <c r="I154"/>
      <c r="J154" s="24"/>
      <c r="K154" s="29"/>
      <c r="M154" s="3"/>
      <c r="N154"/>
      <c r="O154"/>
    </row>
    <row r="155" spans="2:15" ht="12.75">
      <c r="B155" t="s">
        <v>116</v>
      </c>
      <c r="C155" s="2">
        <f>+E154*0.0725/365*30</f>
        <v>140.3756531514627</v>
      </c>
      <c r="D155" s="2">
        <f>+C155</f>
        <v>140.3756531514627</v>
      </c>
      <c r="E155" s="2">
        <v>0</v>
      </c>
      <c r="F155" s="2"/>
      <c r="I155"/>
      <c r="J155" s="24"/>
      <c r="K155" s="29"/>
      <c r="M155" s="3"/>
      <c r="N155"/>
      <c r="O155"/>
    </row>
    <row r="156" spans="2:15" ht="13.5" thickBot="1">
      <c r="B156" t="s">
        <v>124</v>
      </c>
      <c r="C156" s="25">
        <f>+C155+C154</f>
        <v>64636.14421433165</v>
      </c>
      <c r="D156" s="25">
        <f>+D155+D154</f>
        <v>41078.85069695956</v>
      </c>
      <c r="E156" s="25">
        <f>+E155+E154</f>
        <v>23557.2935173719</v>
      </c>
      <c r="F156" s="25">
        <f>+E156+D156</f>
        <v>64636.14421433146</v>
      </c>
      <c r="G156" s="25">
        <f>SUM(G154:G155)</f>
        <v>1175827.206482628</v>
      </c>
      <c r="I156"/>
      <c r="J156" s="24"/>
      <c r="K156" s="29"/>
      <c r="M156" s="3"/>
      <c r="N156"/>
      <c r="O156"/>
    </row>
    <row r="157" spans="3:15" ht="13.5" thickTop="1">
      <c r="C157" s="55" t="s">
        <v>164</v>
      </c>
      <c r="D157" s="42">
        <f>+D155+D153</f>
        <v>11268.270722045303</v>
      </c>
      <c r="I157"/>
      <c r="J157" s="24"/>
      <c r="K157" s="29"/>
      <c r="M157" s="3"/>
      <c r="N157"/>
      <c r="O157"/>
    </row>
    <row r="158" spans="1:15" ht="12.75">
      <c r="A158" s="31">
        <v>38698</v>
      </c>
      <c r="B158" t="s">
        <v>114</v>
      </c>
      <c r="C158" s="2">
        <f>+C156</f>
        <v>64636.14421433165</v>
      </c>
      <c r="D158" s="2">
        <f>+D156</f>
        <v>41078.85069695956</v>
      </c>
      <c r="E158" s="2">
        <f>+E156</f>
        <v>23557.2935173719</v>
      </c>
      <c r="F158" s="2">
        <f>+F156</f>
        <v>64636.14421433146</v>
      </c>
      <c r="G158" s="2">
        <f>+G156</f>
        <v>1175827.206482628</v>
      </c>
      <c r="I158"/>
      <c r="J158" s="24"/>
      <c r="K158" s="29"/>
      <c r="M158" s="3"/>
      <c r="N158"/>
      <c r="O158"/>
    </row>
    <row r="159" spans="2:15" ht="12.75">
      <c r="B159" t="s">
        <v>116</v>
      </c>
      <c r="C159" s="2">
        <f>+E158*0.0725/365*31</f>
        <v>145.05484158984478</v>
      </c>
      <c r="D159" s="2">
        <f>+C159</f>
        <v>145.05484158984478</v>
      </c>
      <c r="E159" s="2">
        <v>0</v>
      </c>
      <c r="F159" s="2"/>
      <c r="I159"/>
      <c r="J159" s="24"/>
      <c r="K159" s="29"/>
      <c r="M159" s="3"/>
      <c r="N159"/>
      <c r="O159"/>
    </row>
    <row r="160" spans="2:15" ht="13.5" thickBot="1">
      <c r="B160" t="s">
        <v>124</v>
      </c>
      <c r="C160" s="25">
        <f>+C159+C158</f>
        <v>64781.1990559215</v>
      </c>
      <c r="D160" s="25">
        <f>+D159+D158</f>
        <v>41223.90553854941</v>
      </c>
      <c r="E160" s="25">
        <f>+E159+E158</f>
        <v>23557.2935173719</v>
      </c>
      <c r="F160" s="25">
        <f>+E160+D160</f>
        <v>64781.19905592131</v>
      </c>
      <c r="G160" s="25">
        <f>SUM(G158:G159)</f>
        <v>1175827.206482628</v>
      </c>
      <c r="I160"/>
      <c r="J160" s="24"/>
      <c r="K160" s="29"/>
      <c r="M160" s="3"/>
      <c r="N160"/>
      <c r="O160"/>
    </row>
    <row r="161" spans="3:15" ht="13.5" thickTop="1">
      <c r="C161" s="55" t="s">
        <v>164</v>
      </c>
      <c r="D161" s="42">
        <f>+D159+D157</f>
        <v>11413.325563635148</v>
      </c>
      <c r="E161" s="24"/>
      <c r="F161" s="24"/>
      <c r="G161" s="24"/>
      <c r="I161"/>
      <c r="J161" s="24"/>
      <c r="K161" s="29"/>
      <c r="M161" s="3"/>
      <c r="N161"/>
      <c r="O161"/>
    </row>
    <row r="162" spans="3:15" ht="12.75">
      <c r="C162" s="55"/>
      <c r="D162" s="42"/>
      <c r="E162" s="24"/>
      <c r="F162" s="24"/>
      <c r="G162" s="24"/>
      <c r="I162"/>
      <c r="J162" s="24"/>
      <c r="K162" s="29"/>
      <c r="M162" s="3"/>
      <c r="N162"/>
      <c r="O162"/>
    </row>
    <row r="163" spans="1:15" ht="12.75">
      <c r="A163">
        <v>2005</v>
      </c>
      <c r="B163" t="s">
        <v>165</v>
      </c>
      <c r="C163" s="55">
        <f>+C99</f>
        <v>590019.5415925919</v>
      </c>
      <c r="D163" s="42"/>
      <c r="E163" s="24"/>
      <c r="F163" s="24"/>
      <c r="G163" s="24"/>
      <c r="I163"/>
      <c r="J163" s="24"/>
      <c r="K163" s="29"/>
      <c r="M163" s="3"/>
      <c r="N163"/>
      <c r="O163"/>
    </row>
    <row r="164" spans="2:15" ht="12.75">
      <c r="B164" t="s">
        <v>162</v>
      </c>
      <c r="C164" s="55">
        <f>-G101-G108-G115</f>
        <v>-416724.6681003056</v>
      </c>
      <c r="D164" s="42"/>
      <c r="E164" s="24"/>
      <c r="F164" s="24"/>
      <c r="G164" s="24"/>
      <c r="I164"/>
      <c r="J164" s="24"/>
      <c r="K164" s="29"/>
      <c r="M164" s="3"/>
      <c r="N164"/>
      <c r="O164"/>
    </row>
    <row r="165" spans="2:15" ht="12.75">
      <c r="B165" s="32" t="s">
        <v>168</v>
      </c>
      <c r="C165" s="55">
        <v>-119927</v>
      </c>
      <c r="D165" s="42"/>
      <c r="E165" s="24"/>
      <c r="F165" s="24"/>
      <c r="G165" s="24"/>
      <c r="I165"/>
      <c r="J165" s="24"/>
      <c r="K165" s="29"/>
      <c r="M165" s="3"/>
      <c r="N165"/>
      <c r="O165"/>
    </row>
    <row r="166" spans="2:15" ht="12.75">
      <c r="B166" t="s">
        <v>116</v>
      </c>
      <c r="C166" s="55">
        <f>+D161</f>
        <v>11413.325563635148</v>
      </c>
      <c r="D166" s="42"/>
      <c r="E166" s="24"/>
      <c r="F166" s="24"/>
      <c r="G166" s="24"/>
      <c r="I166"/>
      <c r="J166" s="24"/>
      <c r="K166" s="29"/>
      <c r="M166" s="3"/>
      <c r="N166"/>
      <c r="O166"/>
    </row>
    <row r="167" spans="3:15" ht="13.5" thickBot="1">
      <c r="C167" s="56">
        <f>SUM(C163:C166)</f>
        <v>64781.199055921454</v>
      </c>
      <c r="D167" s="42"/>
      <c r="E167" s="24"/>
      <c r="F167" s="24"/>
      <c r="G167" s="24"/>
      <c r="I167"/>
      <c r="J167" s="24"/>
      <c r="K167" s="29"/>
      <c r="M167" s="3"/>
      <c r="N167"/>
      <c r="O167"/>
    </row>
    <row r="168" spans="3:15" ht="13.5" thickTop="1">
      <c r="C168" s="57"/>
      <c r="D168" s="42"/>
      <c r="E168" s="24"/>
      <c r="F168" s="24"/>
      <c r="G168" s="24"/>
      <c r="I168"/>
      <c r="J168" s="24"/>
      <c r="K168" s="29"/>
      <c r="M168" s="3"/>
      <c r="N168"/>
      <c r="O168"/>
    </row>
    <row r="169" spans="1:15" ht="12.75">
      <c r="A169" s="31">
        <v>38718</v>
      </c>
      <c r="B169" t="s">
        <v>114</v>
      </c>
      <c r="C169" s="2">
        <f>+C160</f>
        <v>64781.1990559215</v>
      </c>
      <c r="D169" s="2">
        <f>+D160</f>
        <v>41223.90553854941</v>
      </c>
      <c r="E169" s="2">
        <f>+E160</f>
        <v>23557.2935173719</v>
      </c>
      <c r="F169" s="2">
        <f>+F160</f>
        <v>64781.19905592131</v>
      </c>
      <c r="G169" s="2">
        <f>+G160</f>
        <v>1175827.206482628</v>
      </c>
      <c r="I169"/>
      <c r="J169" s="24"/>
      <c r="K169" s="29"/>
      <c r="M169" s="3"/>
      <c r="N169"/>
      <c r="O169"/>
    </row>
    <row r="170" spans="2:15" ht="12.75">
      <c r="B170" t="s">
        <v>116</v>
      </c>
      <c r="C170" s="2">
        <f>+E169*0.0725/365*31</f>
        <v>145.05484158984478</v>
      </c>
      <c r="D170" s="2">
        <f>+C170</f>
        <v>145.05484158984478</v>
      </c>
      <c r="E170" s="2">
        <v>0</v>
      </c>
      <c r="F170" s="2"/>
      <c r="I170"/>
      <c r="J170" s="24"/>
      <c r="K170" s="29"/>
      <c r="M170" s="3"/>
      <c r="N170"/>
      <c r="O170"/>
    </row>
    <row r="171" spans="2:15" ht="13.5" thickBot="1">
      <c r="B171" t="s">
        <v>124</v>
      </c>
      <c r="C171" s="25">
        <f>+C170+C169</f>
        <v>64926.25389751134</v>
      </c>
      <c r="D171" s="25">
        <f>+D170+D169</f>
        <v>41368.96038013925</v>
      </c>
      <c r="E171" s="25">
        <f>+E170+E169</f>
        <v>23557.2935173719</v>
      </c>
      <c r="F171" s="25">
        <f>+F170+F169</f>
        <v>64781.19905592131</v>
      </c>
      <c r="G171" s="25">
        <f>SUM(G169:G170)</f>
        <v>1175827.206482628</v>
      </c>
      <c r="I171"/>
      <c r="J171" s="24"/>
      <c r="K171" s="29"/>
      <c r="M171" s="3"/>
      <c r="N171"/>
      <c r="O171"/>
    </row>
    <row r="172" spans="3:15" ht="13.5" thickTop="1">
      <c r="C172" s="48" t="s">
        <v>115</v>
      </c>
      <c r="D172" s="24">
        <f>+D170</f>
        <v>145.05484158984478</v>
      </c>
      <c r="E172" s="24"/>
      <c r="F172" s="24"/>
      <c r="G172" s="24"/>
      <c r="I172"/>
      <c r="J172" s="24"/>
      <c r="K172" s="29"/>
      <c r="M172" s="3"/>
      <c r="N172"/>
      <c r="O172"/>
    </row>
    <row r="173" spans="3:15" ht="12.75">
      <c r="C173" s="24"/>
      <c r="D173" s="24"/>
      <c r="E173" s="24"/>
      <c r="F173" s="24"/>
      <c r="G173" s="24"/>
      <c r="I173"/>
      <c r="J173" s="24"/>
      <c r="K173" s="29"/>
      <c r="M173" s="3"/>
      <c r="N173"/>
      <c r="O173"/>
    </row>
    <row r="174" spans="1:15" ht="12.75">
      <c r="A174" s="31">
        <v>38750</v>
      </c>
      <c r="B174" t="s">
        <v>114</v>
      </c>
      <c r="C174" s="2">
        <f>+C171</f>
        <v>64926.25389751134</v>
      </c>
      <c r="D174" s="2">
        <f>+D171</f>
        <v>41368.96038013925</v>
      </c>
      <c r="E174" s="2">
        <f>+E171</f>
        <v>23557.2935173719</v>
      </c>
      <c r="F174" s="2">
        <f>+F171</f>
        <v>64781.19905592131</v>
      </c>
      <c r="G174" s="2">
        <f>+G171</f>
        <v>1175827.206482628</v>
      </c>
      <c r="I174"/>
      <c r="J174" s="24"/>
      <c r="K174" s="29"/>
      <c r="M174" s="3"/>
      <c r="N174"/>
      <c r="O174"/>
    </row>
    <row r="175" spans="2:15" ht="12.75">
      <c r="B175" t="s">
        <v>116</v>
      </c>
      <c r="C175" s="2">
        <f>+E174*0.0725/365*28</f>
        <v>131.0172762746985</v>
      </c>
      <c r="D175" s="2">
        <f>+C175</f>
        <v>131.0172762746985</v>
      </c>
      <c r="E175" s="2">
        <v>0</v>
      </c>
      <c r="F175" s="2"/>
      <c r="I175"/>
      <c r="J175" s="24"/>
      <c r="K175" s="29"/>
      <c r="M175" s="3"/>
      <c r="N175"/>
      <c r="O175"/>
    </row>
    <row r="176" spans="2:15" ht="13.5" thickBot="1">
      <c r="B176" t="s">
        <v>124</v>
      </c>
      <c r="C176" s="25">
        <f>+C175+C174</f>
        <v>65057.27117378604</v>
      </c>
      <c r="D176" s="25">
        <f>+D175+D174</f>
        <v>41499.97765641395</v>
      </c>
      <c r="E176" s="25">
        <f>+E175+E174</f>
        <v>23557.2935173719</v>
      </c>
      <c r="F176" s="25">
        <f>+F175+F174</f>
        <v>64781.19905592131</v>
      </c>
      <c r="G176" s="25">
        <f>SUM(G174:G175)</f>
        <v>1175827.206482628</v>
      </c>
      <c r="I176"/>
      <c r="J176" s="24"/>
      <c r="K176" s="29"/>
      <c r="M176" s="3"/>
      <c r="N176"/>
      <c r="O176"/>
    </row>
    <row r="177" spans="3:15" ht="13.5" thickTop="1">
      <c r="C177" s="48" t="s">
        <v>115</v>
      </c>
      <c r="D177" s="24">
        <f>+D175+D172</f>
        <v>276.0721178645433</v>
      </c>
      <c r="E177" s="24"/>
      <c r="F177" s="24"/>
      <c r="G177" s="24"/>
      <c r="I177"/>
      <c r="J177" s="24"/>
      <c r="K177" s="29"/>
      <c r="M177" s="3"/>
      <c r="N177"/>
      <c r="O177"/>
    </row>
    <row r="178" spans="3:15" ht="12.75">
      <c r="C178" s="24"/>
      <c r="D178" s="24"/>
      <c r="E178" s="24"/>
      <c r="F178" s="24"/>
      <c r="G178" s="24"/>
      <c r="I178"/>
      <c r="J178" s="24"/>
      <c r="K178" s="29"/>
      <c r="M178" s="3"/>
      <c r="N178"/>
      <c r="O178"/>
    </row>
    <row r="179" spans="1:15" ht="12.75">
      <c r="A179" s="31">
        <v>38779</v>
      </c>
      <c r="B179" t="s">
        <v>114</v>
      </c>
      <c r="C179" s="2">
        <f>+C176</f>
        <v>65057.27117378604</v>
      </c>
      <c r="D179" s="2">
        <f>+D176</f>
        <v>41499.97765641395</v>
      </c>
      <c r="E179" s="2">
        <f>+E176</f>
        <v>23557.2935173719</v>
      </c>
      <c r="F179" s="2">
        <f>+F176</f>
        <v>64781.19905592131</v>
      </c>
      <c r="G179" s="2">
        <f>+G176</f>
        <v>1175827.206482628</v>
      </c>
      <c r="I179"/>
      <c r="J179" s="24"/>
      <c r="K179" s="29"/>
      <c r="M179" s="3"/>
      <c r="N179"/>
      <c r="O179"/>
    </row>
    <row r="180" spans="2:15" ht="12.75">
      <c r="B180" t="s">
        <v>116</v>
      </c>
      <c r="C180" s="2">
        <f>+E179*0.0725/365*31</f>
        <v>145.05484158984478</v>
      </c>
      <c r="D180" s="2">
        <f>+C180</f>
        <v>145.05484158984478</v>
      </c>
      <c r="E180" s="2">
        <v>0</v>
      </c>
      <c r="F180" s="2"/>
      <c r="I180"/>
      <c r="J180" s="24"/>
      <c r="K180" s="29"/>
      <c r="M180" s="3"/>
      <c r="N180"/>
      <c r="O180"/>
    </row>
    <row r="181" spans="2:15" ht="13.5" thickBot="1">
      <c r="B181" t="s">
        <v>124</v>
      </c>
      <c r="C181" s="25">
        <f>+C180+C179</f>
        <v>65202.32601537588</v>
      </c>
      <c r="D181" s="25">
        <f>+D180+D179</f>
        <v>41645.03249800379</v>
      </c>
      <c r="E181" s="25">
        <f>+E180+E179</f>
        <v>23557.2935173719</v>
      </c>
      <c r="F181" s="25">
        <f>+F180+F179</f>
        <v>64781.19905592131</v>
      </c>
      <c r="G181" s="25">
        <f>SUM(G179:G180)</f>
        <v>1175827.206482628</v>
      </c>
      <c r="I181"/>
      <c r="J181" s="24"/>
      <c r="K181" s="29"/>
      <c r="M181" s="3"/>
      <c r="N181"/>
      <c r="O181"/>
    </row>
    <row r="182" spans="3:15" ht="13.5" thickTop="1">
      <c r="C182" s="48" t="s">
        <v>115</v>
      </c>
      <c r="D182" s="24">
        <f>+D180+D177</f>
        <v>421.1269594543881</v>
      </c>
      <c r="E182" s="24"/>
      <c r="F182" s="24"/>
      <c r="G182" s="24"/>
      <c r="I182"/>
      <c r="J182" s="24"/>
      <c r="K182" s="29"/>
      <c r="M182" s="3"/>
      <c r="N182"/>
      <c r="O182"/>
    </row>
    <row r="183" spans="3:15" ht="12.75">
      <c r="C183" s="48"/>
      <c r="D183" s="24"/>
      <c r="E183" s="24"/>
      <c r="F183" s="24"/>
      <c r="G183" s="24"/>
      <c r="I183"/>
      <c r="J183" s="24"/>
      <c r="K183" s="29"/>
      <c r="M183" s="3"/>
      <c r="N183"/>
      <c r="O183"/>
    </row>
    <row r="184" spans="1:15" ht="12.75">
      <c r="A184" s="31">
        <v>38811</v>
      </c>
      <c r="B184" t="s">
        <v>114</v>
      </c>
      <c r="C184" s="2">
        <f>+C181</f>
        <v>65202.32601537588</v>
      </c>
      <c r="D184" s="2">
        <f>+D181</f>
        <v>41645.03249800379</v>
      </c>
      <c r="E184" s="2">
        <f>+E181</f>
        <v>23557.2935173719</v>
      </c>
      <c r="F184" s="2">
        <f>+F181</f>
        <v>64781.19905592131</v>
      </c>
      <c r="G184" s="2">
        <f>+G181</f>
        <v>1175827.206482628</v>
      </c>
      <c r="I184"/>
      <c r="J184" s="24"/>
      <c r="K184" s="29"/>
      <c r="M184" s="3"/>
      <c r="N184"/>
      <c r="O184"/>
    </row>
    <row r="185" spans="2:15" ht="12.75">
      <c r="B185" t="s">
        <v>116</v>
      </c>
      <c r="C185" s="2">
        <f>+E184*0.0725/365*30</f>
        <v>140.3756531514627</v>
      </c>
      <c r="D185" s="2">
        <f>+C185</f>
        <v>140.3756531514627</v>
      </c>
      <c r="E185" s="2">
        <v>0</v>
      </c>
      <c r="F185" s="2"/>
      <c r="I185"/>
      <c r="J185" s="24"/>
      <c r="K185" s="29"/>
      <c r="M185" s="3"/>
      <c r="N185"/>
      <c r="O185"/>
    </row>
    <row r="186" spans="2:15" ht="13.5" thickBot="1">
      <c r="B186" t="s">
        <v>124</v>
      </c>
      <c r="C186" s="25">
        <f>+C185+C184</f>
        <v>65342.70166852734</v>
      </c>
      <c r="D186" s="25">
        <f>+D185+D184</f>
        <v>41785.40815115525</v>
      </c>
      <c r="E186" s="25">
        <f>+E185+E184</f>
        <v>23557.2935173719</v>
      </c>
      <c r="F186" s="25">
        <f>+F185+F184</f>
        <v>64781.19905592131</v>
      </c>
      <c r="G186" s="25">
        <f>SUM(G184:G185)</f>
        <v>1175827.206482628</v>
      </c>
      <c r="I186"/>
      <c r="J186" s="24"/>
      <c r="K186" s="29"/>
      <c r="M186" s="3"/>
      <c r="N186"/>
      <c r="O186"/>
    </row>
    <row r="187" spans="3:15" ht="13.5" thickTop="1">
      <c r="C187" s="48" t="s">
        <v>115</v>
      </c>
      <c r="D187" s="24">
        <f>+D185+D182</f>
        <v>561.5026126058508</v>
      </c>
      <c r="E187" s="24"/>
      <c r="F187" s="24"/>
      <c r="G187" s="24"/>
      <c r="I187"/>
      <c r="J187" s="24"/>
      <c r="K187" s="29"/>
      <c r="M187" s="3"/>
      <c r="N187"/>
      <c r="O187"/>
    </row>
    <row r="188" spans="3:15" ht="12.75">
      <c r="C188" s="48"/>
      <c r="D188" s="24"/>
      <c r="E188" s="24"/>
      <c r="F188" s="24"/>
      <c r="G188" s="24"/>
      <c r="I188"/>
      <c r="J188" s="24"/>
      <c r="K188" s="29"/>
      <c r="M188" s="3"/>
      <c r="N188"/>
      <c r="O188"/>
    </row>
    <row r="189" spans="9:15" ht="12.75" hidden="1">
      <c r="I189"/>
      <c r="J189" s="24"/>
      <c r="K189" s="29"/>
      <c r="M189" s="3"/>
      <c r="N189"/>
      <c r="O189"/>
    </row>
    <row r="190" spans="9:15" ht="12.75" hidden="1">
      <c r="I190"/>
      <c r="J190" s="24"/>
      <c r="K190" s="29"/>
      <c r="M190" s="3"/>
      <c r="N190"/>
      <c r="O190"/>
    </row>
    <row r="191" spans="1:15" ht="12.75" hidden="1">
      <c r="A191" s="1" t="s">
        <v>126</v>
      </c>
      <c r="I191"/>
      <c r="J191" s="24"/>
      <c r="K191" s="29"/>
      <c r="M191" s="3"/>
      <c r="N191"/>
      <c r="O191"/>
    </row>
    <row r="192" spans="1:15" ht="12.75" hidden="1">
      <c r="A192" s="50" t="s">
        <v>139</v>
      </c>
      <c r="B192" s="6"/>
      <c r="C192"/>
      <c r="D192"/>
      <c r="E192"/>
      <c r="I192"/>
      <c r="J192" s="24"/>
      <c r="K192" s="29"/>
      <c r="M192" s="3"/>
      <c r="N192"/>
      <c r="O192"/>
    </row>
    <row r="193" spans="2:17" ht="12.75" hidden="1">
      <c r="B193" s="2"/>
      <c r="E193" s="18"/>
      <c r="Q193" s="2"/>
    </row>
    <row r="194" spans="1:17" ht="12.75" hidden="1">
      <c r="A194" s="35" t="s">
        <v>146</v>
      </c>
      <c r="B194" t="s">
        <v>84</v>
      </c>
      <c r="C194" t="s">
        <v>86</v>
      </c>
      <c r="D194"/>
      <c r="E194"/>
      <c r="F194" s="2">
        <f>+C79+C80+C86+C87</f>
        <v>19662.548866384997</v>
      </c>
      <c r="Q194" s="2"/>
    </row>
    <row r="195" spans="1:17" ht="12.75" hidden="1">
      <c r="A195" s="3"/>
      <c r="B195" t="s">
        <v>123</v>
      </c>
      <c r="C195" t="s">
        <v>85</v>
      </c>
      <c r="D195"/>
      <c r="E195"/>
      <c r="F195" s="2"/>
      <c r="G195" s="2">
        <f>+F194</f>
        <v>19662.548866384997</v>
      </c>
      <c r="Q195" s="2"/>
    </row>
    <row r="196" spans="1:17" ht="12.75" hidden="1">
      <c r="A196" s="3"/>
      <c r="C196" t="s">
        <v>147</v>
      </c>
      <c r="D196"/>
      <c r="E196"/>
      <c r="F196" s="2"/>
      <c r="Q196" s="2"/>
    </row>
    <row r="197" spans="1:17" ht="12.75" hidden="1">
      <c r="A197" s="3"/>
      <c r="C197"/>
      <c r="D197"/>
      <c r="E197"/>
      <c r="F197" s="2"/>
      <c r="Q197" s="2"/>
    </row>
    <row r="198" spans="1:17" ht="12.75" hidden="1">
      <c r="A198" s="3"/>
      <c r="C198"/>
      <c r="D198"/>
      <c r="E198"/>
      <c r="F198" s="2"/>
      <c r="Q198" s="2"/>
    </row>
    <row r="199" spans="1:17" ht="12.75" hidden="1">
      <c r="A199" s="35" t="s">
        <v>146</v>
      </c>
      <c r="B199" t="s">
        <v>84</v>
      </c>
      <c r="C199" t="s">
        <v>85</v>
      </c>
      <c r="D199"/>
      <c r="E199"/>
      <c r="F199" s="2">
        <f>+C82+C89</f>
        <v>6638.973606783141</v>
      </c>
      <c r="Q199" s="2"/>
    </row>
    <row r="200" spans="1:17" ht="12.75" hidden="1">
      <c r="A200" s="3"/>
      <c r="B200" t="s">
        <v>87</v>
      </c>
      <c r="C200" t="s">
        <v>88</v>
      </c>
      <c r="D200"/>
      <c r="E200"/>
      <c r="F200" s="2"/>
      <c r="G200" s="2">
        <f>+F199</f>
        <v>6638.973606783141</v>
      </c>
      <c r="Q200" s="2"/>
    </row>
    <row r="201" spans="1:17" ht="12.75" hidden="1">
      <c r="A201" s="3"/>
      <c r="C201" t="s">
        <v>148</v>
      </c>
      <c r="D201"/>
      <c r="E201"/>
      <c r="Q201" s="2"/>
    </row>
    <row r="202" spans="1:17" ht="12.75" hidden="1">
      <c r="A202" s="3"/>
      <c r="C202"/>
      <c r="D202"/>
      <c r="E202"/>
      <c r="F202"/>
      <c r="Q202" s="2"/>
    </row>
    <row r="203" spans="1:17" ht="12.75" hidden="1">
      <c r="A203" s="2"/>
      <c r="B203" s="2"/>
      <c r="E203"/>
      <c r="F203"/>
      <c r="Q203" s="2"/>
    </row>
    <row r="204" spans="1:17" ht="12.75" hidden="1">
      <c r="A204" s="35" t="s">
        <v>146</v>
      </c>
      <c r="B204" t="s">
        <v>87</v>
      </c>
      <c r="C204" t="s">
        <v>117</v>
      </c>
      <c r="D204"/>
      <c r="E204"/>
      <c r="F204" s="2">
        <f>+E209</f>
        <v>4212.3142884417175</v>
      </c>
      <c r="I204"/>
      <c r="J204"/>
      <c r="Q204" s="2"/>
    </row>
    <row r="205" spans="2:17" ht="12.75" hidden="1">
      <c r="B205" t="s">
        <v>118</v>
      </c>
      <c r="C205" t="s">
        <v>119</v>
      </c>
      <c r="D205"/>
      <c r="E205"/>
      <c r="G205" s="2">
        <f>+F204</f>
        <v>4212.3142884417175</v>
      </c>
      <c r="I205"/>
      <c r="Q205" s="2"/>
    </row>
    <row r="206" spans="3:17" ht="12.75" hidden="1">
      <c r="C206" t="s">
        <v>140</v>
      </c>
      <c r="D206"/>
      <c r="E206"/>
      <c r="F206"/>
      <c r="G206"/>
      <c r="I206"/>
      <c r="Q206" s="2"/>
    </row>
    <row r="207" spans="3:17" ht="12.75" hidden="1">
      <c r="C207" t="s">
        <v>120</v>
      </c>
      <c r="D207"/>
      <c r="E207" s="2">
        <f>+F199</f>
        <v>6638.973606783141</v>
      </c>
      <c r="F207"/>
      <c r="G207"/>
      <c r="I207"/>
      <c r="J207"/>
      <c r="Q207" s="2"/>
    </row>
    <row r="208" spans="3:17" ht="12.75" hidden="1">
      <c r="C208" t="s">
        <v>121</v>
      </c>
      <c r="D208"/>
      <c r="E208" s="43">
        <f>+E207/7.25*2.65</f>
        <v>2426.659318341424</v>
      </c>
      <c r="F208"/>
      <c r="G208"/>
      <c r="I208"/>
      <c r="J208"/>
      <c r="Q208" s="2"/>
    </row>
    <row r="209" spans="3:17" ht="12.75" hidden="1">
      <c r="C209"/>
      <c r="D209"/>
      <c r="E209" s="41">
        <f>+E207-E208</f>
        <v>4212.3142884417175</v>
      </c>
      <c r="F209"/>
      <c r="G209"/>
      <c r="I209"/>
      <c r="J209"/>
      <c r="Q209" s="2"/>
    </row>
    <row r="210" spans="3:17" ht="12.75" hidden="1">
      <c r="C210"/>
      <c r="D210"/>
      <c r="E210" s="24"/>
      <c r="F210"/>
      <c r="G210"/>
      <c r="I210"/>
      <c r="J210"/>
      <c r="Q210" s="2"/>
    </row>
    <row r="211" spans="3:17" ht="12.75" hidden="1">
      <c r="C211"/>
      <c r="D211"/>
      <c r="E211" s="24"/>
      <c r="F211"/>
      <c r="G211"/>
      <c r="I211"/>
      <c r="J211"/>
      <c r="Q211" s="2"/>
    </row>
    <row r="212" spans="3:17" ht="12.75" hidden="1">
      <c r="C212"/>
      <c r="D212"/>
      <c r="E212" s="24"/>
      <c r="F212"/>
      <c r="G212"/>
      <c r="I212"/>
      <c r="J212"/>
      <c r="Q212" s="2"/>
    </row>
    <row r="213" spans="3:17" ht="12.75" hidden="1">
      <c r="C213"/>
      <c r="D213"/>
      <c r="E213" s="24"/>
      <c r="F213"/>
      <c r="G213"/>
      <c r="I213"/>
      <c r="J213"/>
      <c r="Q213" s="2"/>
    </row>
    <row r="214" spans="3:17" ht="12.75" hidden="1">
      <c r="C214"/>
      <c r="D214"/>
      <c r="E214" s="24"/>
      <c r="F214"/>
      <c r="G214"/>
      <c r="I214"/>
      <c r="J214"/>
      <c r="Q214" s="2"/>
    </row>
    <row r="215" spans="3:17" ht="12.75" hidden="1">
      <c r="C215"/>
      <c r="D215" s="2" t="e">
        <f>+D216-#REF!</f>
        <v>#REF!</v>
      </c>
      <c r="E215" s="24"/>
      <c r="F215"/>
      <c r="G215"/>
      <c r="I215"/>
      <c r="J215"/>
      <c r="Q215" s="2"/>
    </row>
    <row r="216" spans="2:17" ht="12.75" hidden="1">
      <c r="B216" s="2">
        <f>+C26+'[3]Rec &amp; JEs'!$C$224+'[2]Rec &amp; JEs'!$E$205</f>
        <v>299623.2094351589</v>
      </c>
      <c r="C216"/>
      <c r="D216" s="2">
        <f>+C47+'[3]Rec &amp; JEs'!$C$241+'[2]Rec &amp; JEs'!$E$220</f>
        <v>412778.6870324238</v>
      </c>
      <c r="E216" s="24"/>
      <c r="F216"/>
      <c r="G216"/>
      <c r="I216"/>
      <c r="J216"/>
      <c r="Q216" s="2"/>
    </row>
    <row r="217" spans="1:17" ht="12.75">
      <c r="A217" s="3"/>
      <c r="C217"/>
      <c r="D217"/>
      <c r="E217"/>
      <c r="F217"/>
      <c r="Q217" s="2"/>
    </row>
    <row r="218" spans="1:17" ht="12.75">
      <c r="A218" s="38"/>
      <c r="B218" s="44" t="s">
        <v>167</v>
      </c>
      <c r="C218" s="45" t="s">
        <v>169</v>
      </c>
      <c r="D218" s="45"/>
      <c r="E218" s="44"/>
      <c r="F218" s="46"/>
      <c r="G218" s="46"/>
      <c r="H218" s="46"/>
      <c r="Q218" s="2"/>
    </row>
    <row r="219" spans="1:17" ht="12.75">
      <c r="A219" s="36"/>
      <c r="B219" s="36"/>
      <c r="C219" s="24"/>
      <c r="D219" s="24"/>
      <c r="E219" s="36"/>
      <c r="F219"/>
      <c r="G219"/>
      <c r="H219"/>
      <c r="Q219" s="2"/>
    </row>
    <row r="220" spans="1:17" ht="12.75">
      <c r="A220" s="53" t="s">
        <v>175</v>
      </c>
      <c r="B220" s="2">
        <f>(+C6*9)+(G5*3)</f>
        <v>1319311.5</v>
      </c>
      <c r="C220" s="2">
        <v>1226571</v>
      </c>
      <c r="F220" s="2"/>
      <c r="G220"/>
      <c r="Q220" s="2"/>
    </row>
    <row r="221" spans="1:17" ht="12.75">
      <c r="A221" s="53" t="s">
        <v>158</v>
      </c>
      <c r="B221" s="2">
        <f>+D186</f>
        <v>41785.40815115525</v>
      </c>
      <c r="C221" s="2">
        <v>29366.52</v>
      </c>
      <c r="F221" s="2"/>
      <c r="Q221" s="2"/>
    </row>
    <row r="222" spans="1:17" ht="12.75">
      <c r="A222" s="54" t="s">
        <v>159</v>
      </c>
      <c r="B222" s="2">
        <f>-G186</f>
        <v>-1175827.206482628</v>
      </c>
      <c r="C222" s="2">
        <v>-1174704.62</v>
      </c>
      <c r="F222" s="2"/>
      <c r="H222" s="47"/>
      <c r="Q222" s="2"/>
    </row>
    <row r="223" spans="1:17" ht="12.75">
      <c r="A223" s="54" t="s">
        <v>160</v>
      </c>
      <c r="B223" s="2">
        <v>-119927</v>
      </c>
      <c r="C223" s="24">
        <v>0</v>
      </c>
      <c r="D223" s="24"/>
      <c r="E223" s="36"/>
      <c r="F223"/>
      <c r="G223"/>
      <c r="H223"/>
      <c r="Q223" s="2"/>
    </row>
    <row r="224" spans="1:17" ht="13.5" thickBot="1">
      <c r="A224" s="54" t="s">
        <v>161</v>
      </c>
      <c r="B224" s="25">
        <f>SUM(B220:B223)</f>
        <v>65342.70166852744</v>
      </c>
      <c r="C224" s="25">
        <f>SUM(C220:C223)</f>
        <v>81232.8999999999</v>
      </c>
      <c r="F224" s="2"/>
      <c r="G224"/>
      <c r="Q224" s="2"/>
    </row>
    <row r="225" spans="1:8" ht="13.5" hidden="1" thickTop="1">
      <c r="A225" s="1" t="s">
        <v>155</v>
      </c>
      <c r="C225" s="24"/>
      <c r="D225" s="24"/>
      <c r="E225" s="36"/>
      <c r="F225"/>
      <c r="G225"/>
      <c r="H225"/>
    </row>
    <row r="226" spans="1:7" ht="13.5" hidden="1" thickTop="1">
      <c r="A226" s="50" t="s">
        <v>156</v>
      </c>
      <c r="B226" s="6"/>
      <c r="F226" s="2"/>
      <c r="G226"/>
    </row>
    <row r="227" spans="2:8" ht="13.5" hidden="1" thickTop="1">
      <c r="B227" s="2"/>
      <c r="C227" s="24"/>
      <c r="D227" s="24"/>
      <c r="E227" s="36"/>
      <c r="F227"/>
      <c r="G227"/>
      <c r="H227"/>
    </row>
    <row r="228" spans="1:7" ht="13.5" hidden="1" thickTop="1">
      <c r="A228" s="35" t="s">
        <v>157</v>
      </c>
      <c r="B228" t="s">
        <v>84</v>
      </c>
      <c r="F228" s="2"/>
      <c r="G228"/>
    </row>
    <row r="229" spans="1:8" ht="13.5" hidden="1" thickTop="1">
      <c r="A229" s="3"/>
      <c r="B229" t="s">
        <v>123</v>
      </c>
      <c r="C229" s="24"/>
      <c r="D229" s="24"/>
      <c r="E229" s="36"/>
      <c r="F229"/>
      <c r="G229"/>
      <c r="H229"/>
    </row>
    <row r="230" spans="1:7" ht="13.5" hidden="1" thickTop="1">
      <c r="A230" s="3"/>
      <c r="F230" s="2"/>
      <c r="G230"/>
    </row>
    <row r="231" spans="1:8" ht="13.5" hidden="1" thickTop="1">
      <c r="A231" s="3"/>
      <c r="C231" s="24"/>
      <c r="D231" s="24"/>
      <c r="E231" s="36"/>
      <c r="F231"/>
      <c r="G231"/>
      <c r="H231"/>
    </row>
    <row r="232" spans="1:7" ht="13.5" hidden="1" thickTop="1">
      <c r="A232" s="3"/>
      <c r="F232" s="2"/>
      <c r="G232"/>
    </row>
    <row r="233" spans="1:8" ht="13.5" hidden="1" thickTop="1">
      <c r="A233" s="35" t="s">
        <v>157</v>
      </c>
      <c r="B233" t="s">
        <v>84</v>
      </c>
      <c r="C233" s="24"/>
      <c r="D233" s="24"/>
      <c r="E233" s="36"/>
      <c r="F233"/>
      <c r="G233"/>
      <c r="H233"/>
    </row>
    <row r="234" spans="1:7" ht="13.5" hidden="1" thickTop="1">
      <c r="A234" s="3"/>
      <c r="B234" t="s">
        <v>87</v>
      </c>
      <c r="F234" s="2"/>
      <c r="G234"/>
    </row>
    <row r="235" spans="1:8" ht="13.5" hidden="1" thickTop="1">
      <c r="A235" s="3"/>
      <c r="C235" s="24"/>
      <c r="D235" s="24"/>
      <c r="E235" s="36"/>
      <c r="F235"/>
      <c r="G235"/>
      <c r="H235"/>
    </row>
    <row r="236" spans="1:7" ht="13.5" hidden="1" thickTop="1">
      <c r="A236" s="3"/>
      <c r="F236" s="2"/>
      <c r="G236"/>
    </row>
    <row r="237" spans="1:8" ht="13.5" hidden="1" thickTop="1">
      <c r="A237" s="2"/>
      <c r="B237" s="2"/>
      <c r="C237" s="24"/>
      <c r="D237" s="24"/>
      <c r="E237" s="36"/>
      <c r="F237"/>
      <c r="G237"/>
      <c r="H237"/>
    </row>
    <row r="238" spans="1:7" ht="13.5" hidden="1" thickTop="1">
      <c r="A238" s="35" t="s">
        <v>157</v>
      </c>
      <c r="B238" t="s">
        <v>87</v>
      </c>
      <c r="F238" s="2"/>
      <c r="G238"/>
    </row>
    <row r="239" spans="2:8" ht="13.5" hidden="1" thickTop="1">
      <c r="B239" t="s">
        <v>118</v>
      </c>
      <c r="C239" s="24"/>
      <c r="D239" s="24"/>
      <c r="E239" s="36"/>
      <c r="F239"/>
      <c r="G239"/>
      <c r="H239"/>
    </row>
    <row r="240" spans="6:7" ht="13.5" hidden="1" thickTop="1">
      <c r="F240" s="2"/>
      <c r="G240"/>
    </row>
    <row r="241" spans="3:8" ht="13.5" hidden="1" thickTop="1">
      <c r="C241" s="24"/>
      <c r="D241" s="24"/>
      <c r="E241" s="36"/>
      <c r="F241"/>
      <c r="G241"/>
      <c r="H241"/>
    </row>
    <row r="242" spans="6:7" ht="13.5" hidden="1" thickTop="1">
      <c r="F242" s="2"/>
      <c r="G242"/>
    </row>
    <row r="243" spans="3:8" ht="13.5" hidden="1" thickTop="1">
      <c r="C243" s="24"/>
      <c r="D243" s="24"/>
      <c r="E243" s="36"/>
      <c r="F243"/>
      <c r="G243"/>
      <c r="H243"/>
    </row>
    <row r="244" spans="6:7" ht="13.5" thickTop="1">
      <c r="F244" s="2"/>
      <c r="G244"/>
    </row>
    <row r="245" spans="1:8" ht="12.75">
      <c r="A245" s="58" t="s">
        <v>170</v>
      </c>
      <c r="B245" s="58" t="s">
        <v>165</v>
      </c>
      <c r="C245" s="58" t="s">
        <v>171</v>
      </c>
      <c r="D245" s="58" t="s">
        <v>172</v>
      </c>
      <c r="E245" s="58" t="s">
        <v>162</v>
      </c>
      <c r="F245" s="59" t="s">
        <v>173</v>
      </c>
      <c r="G245" s="58" t="s">
        <v>174</v>
      </c>
      <c r="H245"/>
    </row>
    <row r="246" spans="1:7" ht="12.75">
      <c r="A246" s="60">
        <v>2004</v>
      </c>
      <c r="B246" s="2">
        <v>0</v>
      </c>
      <c r="C246" s="2">
        <f>+B220</f>
        <v>1319311.5</v>
      </c>
      <c r="D246" s="2">
        <f>+C94</f>
        <v>29810.579974914264</v>
      </c>
      <c r="E246" s="2">
        <f>+C93</f>
        <v>-759102.5383823225</v>
      </c>
      <c r="F246" s="2"/>
      <c r="G246" s="2">
        <f>SUM(B246:F246)</f>
        <v>590019.5415925917</v>
      </c>
    </row>
    <row r="247" spans="1:7" ht="12.75">
      <c r="A247" s="60">
        <v>2005</v>
      </c>
      <c r="B247" s="2">
        <f>+G246</f>
        <v>590019.5415925917</v>
      </c>
      <c r="C247" s="2">
        <v>0</v>
      </c>
      <c r="D247" s="2">
        <f>+C166</f>
        <v>11413.325563635148</v>
      </c>
      <c r="E247" s="2">
        <f>+C164</f>
        <v>-416724.6681003056</v>
      </c>
      <c r="F247" s="2">
        <f>+C165</f>
        <v>-119927</v>
      </c>
      <c r="G247" s="2">
        <f>SUM(B247:F247)</f>
        <v>64781.19905592117</v>
      </c>
    </row>
    <row r="248" spans="1:7" ht="12.75">
      <c r="A248" s="60">
        <v>2006</v>
      </c>
      <c r="B248" s="2">
        <f>+G247</f>
        <v>64781.19905592117</v>
      </c>
      <c r="C248" s="2">
        <v>0</v>
      </c>
      <c r="D248" s="2">
        <f>+D187</f>
        <v>561.5026126058508</v>
      </c>
      <c r="G248" s="2">
        <f>SUM(B248:F248)</f>
        <v>65342.70166852702</v>
      </c>
    </row>
    <row r="249" spans="2:7" ht="13.5" thickBot="1">
      <c r="B249" s="32"/>
      <c r="C249" s="25">
        <f>SUM(C246:C248)</f>
        <v>1319311.5</v>
      </c>
      <c r="D249" s="25">
        <f>SUM(D246:D248)</f>
        <v>41785.408151155265</v>
      </c>
      <c r="E249" s="25">
        <f>SUM(E246:E247)</f>
        <v>-1175827.2064826281</v>
      </c>
      <c r="F249" s="25">
        <f>SUM(F246:F247)</f>
        <v>-119927</v>
      </c>
      <c r="G249" s="25">
        <f>+F249+E249+D249+C249</f>
        <v>65342.70166852721</v>
      </c>
    </row>
    <row r="250" ht="13.5" thickTop="1"/>
  </sheetData>
  <sheetProtection/>
  <printOptions/>
  <pageMargins left="0.354330708661417" right="0.354330708661417" top="0.393700787401575" bottom="0.393700787401575" header="0.511811023622047" footer="0.511811023622047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3" sqref="F13:J13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133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9597817</v>
      </c>
      <c r="G9" s="2">
        <f>132815003/12</f>
        <v>11067916.916666666</v>
      </c>
      <c r="I9" s="2">
        <f>+D9-G9</f>
        <v>-1470099.916666666</v>
      </c>
      <c r="J9" s="28"/>
      <c r="K9" s="51">
        <v>0.005341</v>
      </c>
      <c r="L9" s="2">
        <f>+K9*D9</f>
        <v>51261.940597</v>
      </c>
      <c r="M9" s="24">
        <v>0</v>
      </c>
      <c r="N9" s="24">
        <f>+L9+M9</f>
        <v>51261.940597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590460</v>
      </c>
      <c r="G10" s="2">
        <f>8045508/12</f>
        <v>670459</v>
      </c>
      <c r="I10" s="2">
        <f>+D10-G10</f>
        <v>-79999</v>
      </c>
      <c r="J10" s="28"/>
      <c r="K10" s="51">
        <v>0.002988</v>
      </c>
      <c r="L10" s="2">
        <f>+K10*D10</f>
        <v>1764.29448</v>
      </c>
      <c r="M10" s="24">
        <v>0</v>
      </c>
      <c r="N10" s="24">
        <f>+L10+M10</f>
        <v>1764.29448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257184</v>
      </c>
      <c r="G11" s="2">
        <f>4425148/12</f>
        <v>368762.3333333333</v>
      </c>
      <c r="I11" s="2">
        <f>+D11-G11</f>
        <v>-111578.33333333331</v>
      </c>
      <c r="J11" s="28"/>
      <c r="K11" s="51">
        <v>0.001391</v>
      </c>
      <c r="L11" s="2">
        <f>+K11*D11</f>
        <v>357.742944</v>
      </c>
      <c r="M11" s="24">
        <v>0</v>
      </c>
      <c r="N11" s="24">
        <f>+L11+M11</f>
        <v>357.742944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/>
      <c r="Q13" s="22"/>
      <c r="R13" s="22"/>
    </row>
    <row r="14" spans="10:18" ht="12.75">
      <c r="J14" s="28"/>
      <c r="K14" s="51"/>
      <c r="L14" s="2"/>
      <c r="M14" s="24"/>
      <c r="O14" s="24"/>
      <c r="Q14" s="22"/>
      <c r="R14" s="22"/>
    </row>
    <row r="15" spans="1:18" ht="12.75">
      <c r="A15" t="s">
        <v>130</v>
      </c>
      <c r="B15" t="s">
        <v>17</v>
      </c>
      <c r="D15" s="2">
        <f>5679895+40348</f>
        <v>5720243</v>
      </c>
      <c r="G15" s="2">
        <f>71517111/12</f>
        <v>5959759.25</v>
      </c>
      <c r="I15" s="2">
        <f>+D15-G15</f>
        <v>-239516.25</v>
      </c>
      <c r="J15" s="28"/>
      <c r="K15" s="51">
        <v>0.003241</v>
      </c>
      <c r="L15" s="2">
        <f>+K15*D15</f>
        <v>18539.307563</v>
      </c>
      <c r="M15" s="24">
        <v>0</v>
      </c>
      <c r="N15" s="24">
        <f>+L15+M15</f>
        <v>18539.307563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13240.7</v>
      </c>
      <c r="F22" s="2">
        <f>850185/12</f>
        <v>70848.75</v>
      </c>
      <c r="H22" s="2">
        <f>+C22-F22</f>
        <v>-57608.05</v>
      </c>
      <c r="J22" s="28"/>
      <c r="K22" s="51">
        <v>0.221506</v>
      </c>
      <c r="L22" s="2">
        <f>+K22*C22</f>
        <v>2932.8944942000003</v>
      </c>
      <c r="M22" s="24">
        <v>0</v>
      </c>
      <c r="N22" s="24">
        <f>+L22+M22</f>
        <v>2932.8944942000003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16665.23</v>
      </c>
      <c r="H23" s="2">
        <f>+C23-F23</f>
        <v>16665.23</v>
      </c>
      <c r="J23" s="28"/>
      <c r="K23" s="51">
        <v>0.221506</v>
      </c>
      <c r="L23" s="2">
        <f>+K23*C23</f>
        <v>3691.44843638</v>
      </c>
      <c r="M23" s="24">
        <f>+'2002PILRecoveryAmt'!M23</f>
        <v>0</v>
      </c>
      <c r="N23" s="24">
        <f>+L23+M23</f>
        <v>3691.44843638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40431.12</v>
      </c>
      <c r="H24" s="2">
        <f>+C24-F24</f>
        <v>40431.12</v>
      </c>
      <c r="J24" s="28"/>
      <c r="K24" s="51">
        <v>0.221506</v>
      </c>
      <c r="L24" s="2">
        <f>+K24*C24</f>
        <v>8955.73566672</v>
      </c>
      <c r="M24" s="24">
        <f>+'2002PILRecoveryAmt'!M24</f>
        <v>0</v>
      </c>
      <c r="N24" s="24">
        <f>+L24+M24</f>
        <v>8955.73566672</v>
      </c>
      <c r="O24" s="24"/>
      <c r="Q24" s="22"/>
      <c r="R24" s="22"/>
    </row>
    <row r="25" spans="1:15" ht="12.75">
      <c r="A25" t="s">
        <v>104</v>
      </c>
      <c r="C25" s="2">
        <f>415.56+2100.44</f>
        <v>2516</v>
      </c>
      <c r="H25" s="2">
        <f>+C25-F25</f>
        <v>2516</v>
      </c>
      <c r="J25" s="28"/>
      <c r="K25" s="51">
        <v>0.221506</v>
      </c>
      <c r="L25" s="2">
        <f>+K25*C25</f>
        <v>557.3090960000001</v>
      </c>
      <c r="M25" s="24">
        <f>+'2002PILRecoveryAmt'!M25</f>
        <v>0</v>
      </c>
      <c r="N25" s="24">
        <f>+L25+M25</f>
        <v>557.3090960000001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7294.1</v>
      </c>
      <c r="F30" s="2">
        <f>86687/12</f>
        <v>7223.916666666667</v>
      </c>
      <c r="H30" s="2">
        <f>+C30-F30</f>
        <v>70.1833333333334</v>
      </c>
      <c r="J30" s="28"/>
      <c r="K30" s="51">
        <v>0.064863</v>
      </c>
      <c r="L30" s="2">
        <f>+K30*C30</f>
        <v>473.1172083000001</v>
      </c>
      <c r="M30" s="24">
        <v>0</v>
      </c>
      <c r="N30" s="24">
        <f>+L30+M30</f>
        <v>473.1172083000001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3100.26</v>
      </c>
      <c r="F34" s="2">
        <f>38916/12</f>
        <v>3243</v>
      </c>
      <c r="H34" s="2">
        <f>+C34-F34</f>
        <v>-142.73999999999978</v>
      </c>
      <c r="J34" s="28"/>
      <c r="K34" s="51">
        <v>0.615519</v>
      </c>
      <c r="L34" s="2">
        <f>+K34*C34</f>
        <v>1908.2689349400002</v>
      </c>
      <c r="M34" s="24">
        <v>0</v>
      </c>
      <c r="N34" s="24">
        <f>+L34+M34</f>
        <v>1908.2689349400002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430.44</v>
      </c>
      <c r="F37" s="2">
        <v>2125.5833333333335</v>
      </c>
      <c r="H37" s="2">
        <f>+C37-F37</f>
        <v>-1695.1433333333334</v>
      </c>
      <c r="J37" s="28"/>
      <c r="K37" s="51">
        <v>1.163755</v>
      </c>
      <c r="L37" s="2">
        <f>+K37*C37</f>
        <v>500.9267022</v>
      </c>
      <c r="M37" s="24">
        <v>0</v>
      </c>
      <c r="N37" s="24">
        <f>+L37+M37</f>
        <v>500.9267022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877.09</v>
      </c>
      <c r="D41" s="2">
        <v>0</v>
      </c>
      <c r="F41" s="2">
        <v>873.0833333333334</v>
      </c>
      <c r="H41" s="2">
        <f>+C41-F41</f>
        <v>4.006666666666661</v>
      </c>
      <c r="J41" s="28"/>
      <c r="K41" s="51">
        <v>0.631601</v>
      </c>
      <c r="L41" s="2">
        <f>+K41*C41</f>
        <v>553.97092109</v>
      </c>
      <c r="M41" s="24">
        <v>0</v>
      </c>
      <c r="N41" s="24">
        <f>+L41+M41</f>
        <v>553.97092109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13224.31/360</f>
        <v>36.73419444444444</v>
      </c>
      <c r="D43" s="2">
        <v>0</v>
      </c>
      <c r="F43" s="2">
        <v>44.666666666666664</v>
      </c>
      <c r="H43" s="2">
        <f>+C43-F43</f>
        <v>-7.9324722222222235</v>
      </c>
      <c r="J43" s="28"/>
      <c r="K43" s="51">
        <v>1.80177</v>
      </c>
      <c r="L43" s="2">
        <f>+K43*C43</f>
        <v>66.18656952416666</v>
      </c>
      <c r="M43" s="24">
        <v>0</v>
      </c>
      <c r="N43" s="24">
        <f>+L43+M43</f>
        <v>66.18656952416666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84591.67419444445</v>
      </c>
      <c r="D45" s="14">
        <f>SUM(D9:D44)</f>
        <v>16244500</v>
      </c>
      <c r="E45" s="14"/>
      <c r="F45" s="14">
        <f>SUM(F9:F43)</f>
        <v>84359</v>
      </c>
      <c r="G45" s="14">
        <f>SUM(G9:G43)</f>
        <v>18066897.5</v>
      </c>
      <c r="H45" s="14">
        <f>SUM(H9:H44)</f>
        <v>232.67419444444025</v>
      </c>
      <c r="I45" s="14">
        <f>SUM(I9:I43)</f>
        <v>-1822397.4999999993</v>
      </c>
      <c r="J45" s="28"/>
      <c r="K45" s="52"/>
      <c r="L45" s="14">
        <f>SUM(L9:L43)</f>
        <v>91818.52144935416</v>
      </c>
      <c r="M45" s="14">
        <f>SUM(M9:M43)</f>
        <v>0</v>
      </c>
      <c r="N45" s="14">
        <f>SUM(N9:N43)</f>
        <v>91818.52144935416</v>
      </c>
      <c r="O45" s="24"/>
    </row>
    <row r="46" spans="3:15" ht="12.75">
      <c r="C46" s="2">
        <v>84554.94</v>
      </c>
      <c r="G46" s="2"/>
      <c r="H46" s="2">
        <f>+C45-F45</f>
        <v>232.67419444445113</v>
      </c>
      <c r="I46" s="2">
        <f>+D45-G45</f>
        <v>-1822397.5</v>
      </c>
      <c r="J46" s="28"/>
      <c r="K46" s="51"/>
      <c r="L46" s="2"/>
      <c r="M46" s="24"/>
      <c r="N46" s="24"/>
      <c r="O46" s="24"/>
    </row>
    <row r="47" spans="3:15" ht="12.75">
      <c r="C47" s="2">
        <f>+C43</f>
        <v>36.73419444444444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84591.67419444445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8" sqref="F8:J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144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8625001</v>
      </c>
      <c r="G9" s="2">
        <f>132815003/12</f>
        <v>11067916.916666666</v>
      </c>
      <c r="I9" s="2">
        <f>+D9-G9</f>
        <v>-2442915.916666666</v>
      </c>
      <c r="J9" s="28"/>
      <c r="K9" s="51">
        <v>0.005341</v>
      </c>
      <c r="L9" s="2">
        <f>+K9*D9</f>
        <v>46066.130341000004</v>
      </c>
      <c r="M9" s="24">
        <v>0</v>
      </c>
      <c r="N9" s="24">
        <f>+L9+M9</f>
        <v>46066.130341000004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537345</v>
      </c>
      <c r="G10" s="2">
        <f>8045508/12</f>
        <v>670459</v>
      </c>
      <c r="I10" s="2">
        <f>+D10-G10</f>
        <v>-133114</v>
      </c>
      <c r="J10" s="28"/>
      <c r="K10" s="51">
        <v>0.002988</v>
      </c>
      <c r="L10" s="2">
        <f>+K10*D10</f>
        <v>1605.5868600000001</v>
      </c>
      <c r="M10" s="24">
        <v>0</v>
      </c>
      <c r="N10" s="24">
        <f aca="true" t="shared" si="0" ref="N10:N16">+L10+M10</f>
        <v>1605.5868600000001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270736</v>
      </c>
      <c r="G11" s="2">
        <f>4425148/12</f>
        <v>368762.3333333333</v>
      </c>
      <c r="I11" s="2">
        <f>+D11-G11</f>
        <v>-98026.33333333331</v>
      </c>
      <c r="J11" s="28"/>
      <c r="K11" s="51">
        <v>0.001391</v>
      </c>
      <c r="L11" s="2">
        <f>+K11*D11</f>
        <v>376.59377600000005</v>
      </c>
      <c r="M11" s="24">
        <v>0</v>
      </c>
      <c r="N11" s="24">
        <f t="shared" si="0"/>
        <v>376.59377600000005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 t="shared" si="0"/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 t="shared" si="0"/>
        <v>0</v>
      </c>
      <c r="O13" s="24"/>
      <c r="Q13" s="22"/>
      <c r="R13" s="22"/>
    </row>
    <row r="14" spans="10:18" ht="12.75">
      <c r="J14" s="28"/>
      <c r="K14" s="51"/>
      <c r="L14" s="2"/>
      <c r="M14" s="24"/>
      <c r="O14" s="24"/>
      <c r="Q14" s="22"/>
      <c r="R14" s="22"/>
    </row>
    <row r="15" spans="1:18" ht="12.75">
      <c r="A15" t="s">
        <v>130</v>
      </c>
      <c r="B15" t="s">
        <v>17</v>
      </c>
      <c r="D15" s="2">
        <f>5021921+9540</f>
        <v>5031461</v>
      </c>
      <c r="G15" s="2">
        <f>71517111/12</f>
        <v>5959759.25</v>
      </c>
      <c r="I15" s="2">
        <f>+D15-G15</f>
        <v>-928298.25</v>
      </c>
      <c r="J15" s="28"/>
      <c r="K15" s="51">
        <v>0.003241</v>
      </c>
      <c r="L15" s="2">
        <f>+K15*D15</f>
        <v>16306.965101</v>
      </c>
      <c r="M15" s="24">
        <v>0</v>
      </c>
      <c r="N15" s="24">
        <f t="shared" si="0"/>
        <v>16306.965101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 t="shared" si="0"/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12779.23</v>
      </c>
      <c r="F22" s="2">
        <f>850185/12</f>
        <v>70848.75</v>
      </c>
      <c r="H22" s="2">
        <f>+C22-F22</f>
        <v>-58069.520000000004</v>
      </c>
      <c r="J22" s="28"/>
      <c r="K22" s="51">
        <v>0.221506</v>
      </c>
      <c r="L22" s="2">
        <f>+K22*C22</f>
        <v>2830.67612038</v>
      </c>
      <c r="M22" s="24">
        <v>0</v>
      </c>
      <c r="N22" s="24">
        <f>+L22+M22</f>
        <v>2830.67612038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16729.47</v>
      </c>
      <c r="H23" s="2">
        <f>+C23-F23</f>
        <v>16729.47</v>
      </c>
      <c r="J23" s="28"/>
      <c r="K23" s="51">
        <v>0.221506</v>
      </c>
      <c r="L23" s="2">
        <f>+K23*C23</f>
        <v>3705.6779818200002</v>
      </c>
      <c r="M23" s="24">
        <f>+'2002PILRecoveryAmt'!M23</f>
        <v>0</v>
      </c>
      <c r="N23" s="24">
        <f>+L23+M23</f>
        <v>3705.6779818200002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40365.55</v>
      </c>
      <c r="H24" s="2">
        <f>+C24-F24</f>
        <v>40365.55</v>
      </c>
      <c r="J24" s="28"/>
      <c r="K24" s="51">
        <v>0.221506</v>
      </c>
      <c r="L24" s="2">
        <f>+K24*C24</f>
        <v>8941.2115183</v>
      </c>
      <c r="M24" s="24">
        <f>+'2002PILRecoveryAmt'!M24</f>
        <v>0</v>
      </c>
      <c r="N24" s="24">
        <f>+L24+M24</f>
        <v>8941.2115183</v>
      </c>
      <c r="O24" s="24"/>
      <c r="Q24" s="22"/>
      <c r="R24" s="22"/>
    </row>
    <row r="25" spans="1:15" ht="12.75">
      <c r="A25" t="s">
        <v>104</v>
      </c>
      <c r="C25" s="2">
        <f>401.5+2011.43</f>
        <v>2412.9300000000003</v>
      </c>
      <c r="H25" s="2">
        <f>+C25-F25</f>
        <v>2412.9300000000003</v>
      </c>
      <c r="J25" s="28"/>
      <c r="K25" s="51">
        <v>0.221506</v>
      </c>
      <c r="L25" s="2">
        <f>+K25*C25</f>
        <v>534.4784725800001</v>
      </c>
      <c r="M25" s="24">
        <f>+'2002PILRecoveryAmt'!M25</f>
        <v>0</v>
      </c>
      <c r="N25" s="24">
        <f>+L25+M25</f>
        <v>534.4784725800001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7095.16</v>
      </c>
      <c r="F30" s="2">
        <f>86687/12</f>
        <v>7223.916666666667</v>
      </c>
      <c r="H30" s="2">
        <f>+C30-F30</f>
        <v>-128.75666666666712</v>
      </c>
      <c r="J30" s="28"/>
      <c r="K30" s="51">
        <v>0.064863</v>
      </c>
      <c r="L30" s="2">
        <f>+K30*C30</f>
        <v>460.21336308</v>
      </c>
      <c r="M30" s="24">
        <v>0</v>
      </c>
      <c r="N30" s="24">
        <f>+L30+M30</f>
        <v>460.21336308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3024.44</v>
      </c>
      <c r="F34" s="2">
        <f>38916/12</f>
        <v>3243</v>
      </c>
      <c r="H34" s="2">
        <f>+C34-F34</f>
        <v>-218.55999999999995</v>
      </c>
      <c r="J34" s="28"/>
      <c r="K34" s="51">
        <v>0.615519</v>
      </c>
      <c r="L34" s="2">
        <f>+K34*C34</f>
        <v>1861.6002843600002</v>
      </c>
      <c r="M34" s="24">
        <v>0</v>
      </c>
      <c r="N34" s="24">
        <f>+L34+M34</f>
        <v>1861.6002843600002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407.55</v>
      </c>
      <c r="F37" s="2">
        <v>2125.5833333333335</v>
      </c>
      <c r="H37" s="2">
        <f>+C37-F37</f>
        <v>-1718.0333333333335</v>
      </c>
      <c r="J37" s="28"/>
      <c r="K37" s="51">
        <v>1.163755</v>
      </c>
      <c r="L37" s="2">
        <f>+K37*C37</f>
        <v>474.28835025000006</v>
      </c>
      <c r="M37" s="24">
        <v>0</v>
      </c>
      <c r="N37" s="24">
        <f>+L37+M37</f>
        <v>474.28835025000006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877.09</v>
      </c>
      <c r="D41" s="2">
        <v>0</v>
      </c>
      <c r="F41" s="2">
        <v>873.0833333333334</v>
      </c>
      <c r="H41" s="2">
        <f>+C41-F41</f>
        <v>4.006666666666661</v>
      </c>
      <c r="J41" s="28"/>
      <c r="K41" s="51">
        <v>0.631601</v>
      </c>
      <c r="L41" s="2">
        <f>+K41*C41</f>
        <v>553.97092109</v>
      </c>
      <c r="M41" s="24">
        <v>0</v>
      </c>
      <c r="N41" s="24">
        <f>+L41+M41</f>
        <v>553.97092109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13224.31/360</f>
        <v>36.73419444444444</v>
      </c>
      <c r="D43" s="2">
        <v>0</v>
      </c>
      <c r="F43" s="2">
        <v>44.666666666666664</v>
      </c>
      <c r="H43" s="2">
        <f>+C43-F43</f>
        <v>-7.9324722222222235</v>
      </c>
      <c r="J43" s="28"/>
      <c r="K43" s="51">
        <v>1.80177</v>
      </c>
      <c r="L43" s="2">
        <f>+K43*C43</f>
        <v>66.18656952416666</v>
      </c>
      <c r="M43" s="24">
        <v>0</v>
      </c>
      <c r="N43" s="24">
        <f>+L43+M43</f>
        <v>66.18656952416666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83728.15419444445</v>
      </c>
      <c r="D45" s="14">
        <f>SUM(D9:D44)</f>
        <v>14543339</v>
      </c>
      <c r="E45" s="14"/>
      <c r="F45" s="14">
        <f>SUM(F9:F43)</f>
        <v>84359</v>
      </c>
      <c r="G45" s="14">
        <f>SUM(G9:G43)</f>
        <v>18066897.5</v>
      </c>
      <c r="H45" s="14">
        <f>SUM(H9:H44)</f>
        <v>-630.8458055555559</v>
      </c>
      <c r="I45" s="14">
        <f>SUM(I9:I43)</f>
        <v>-3523558.4999999995</v>
      </c>
      <c r="J45" s="28"/>
      <c r="K45" s="52"/>
      <c r="L45" s="14">
        <f>SUM(L9:L43)</f>
        <v>84038.95749538418</v>
      </c>
      <c r="M45" s="14">
        <f>SUM(M9:M43)</f>
        <v>0</v>
      </c>
      <c r="N45" s="14">
        <f>SUM(N9:N43)</f>
        <v>84038.95749538418</v>
      </c>
      <c r="O45" s="24"/>
    </row>
    <row r="46" spans="7:15" ht="12.75">
      <c r="G46" s="2"/>
      <c r="H46" s="2">
        <f>+C45-F45</f>
        <v>-630.8458055555529</v>
      </c>
      <c r="I46" s="2">
        <f>+D45-G45</f>
        <v>-3523558.5</v>
      </c>
      <c r="J46" s="28"/>
      <c r="K46" s="51"/>
      <c r="L46" s="2"/>
      <c r="M46" s="24"/>
      <c r="N46" s="24"/>
      <c r="O46" s="24"/>
    </row>
    <row r="47" spans="7:15" ht="12.75"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8:15" ht="12.75">
      <c r="H48" s="24"/>
      <c r="I48" s="24"/>
      <c r="J48" s="28"/>
      <c r="K48" s="24"/>
      <c r="L48" s="29"/>
      <c r="M48" s="24"/>
      <c r="N48" s="24"/>
      <c r="O48" s="24"/>
    </row>
    <row r="49" spans="8:15" ht="12.75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4">
      <selection activeCell="F2" sqref="F2:J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129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101</v>
      </c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9914104</v>
      </c>
      <c r="G9" s="2">
        <f>132815003/12</f>
        <v>11067916.916666666</v>
      </c>
      <c r="I9" s="2">
        <f>+D9-G9</f>
        <v>-1153812.916666666</v>
      </c>
      <c r="J9" s="28"/>
      <c r="K9" s="51">
        <v>0.005341</v>
      </c>
      <c r="L9" s="2">
        <f>+K9*D9</f>
        <v>52951.229464000004</v>
      </c>
      <c r="M9" s="24">
        <v>0</v>
      </c>
      <c r="N9" s="24">
        <f>+L9+M9</f>
        <v>52951.229464000004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673106</v>
      </c>
      <c r="G10" s="2">
        <f>8045508/12</f>
        <v>670459</v>
      </c>
      <c r="I10" s="2">
        <f>+D10-G10</f>
        <v>2647</v>
      </c>
      <c r="J10" s="28"/>
      <c r="K10" s="51">
        <v>0.002988</v>
      </c>
      <c r="L10" s="2">
        <f aca="true" t="shared" si="0" ref="L10:L16">+K10*D10</f>
        <v>2011.2407280000002</v>
      </c>
      <c r="M10" s="24">
        <v>0</v>
      </c>
      <c r="N10" s="24">
        <f aca="true" t="shared" si="1" ref="N10:N16">+L10+M10</f>
        <v>2011.2407280000002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348881</v>
      </c>
      <c r="G11" s="2">
        <f>4425148/12</f>
        <v>368762.3333333333</v>
      </c>
      <c r="I11" s="2">
        <f>+D11-G11</f>
        <v>-19881.333333333314</v>
      </c>
      <c r="J11" s="28"/>
      <c r="K11" s="51">
        <v>0.001391</v>
      </c>
      <c r="L11" s="2">
        <f t="shared" si="0"/>
        <v>485.293471</v>
      </c>
      <c r="M11" s="24">
        <v>0</v>
      </c>
      <c r="N11" s="24">
        <f t="shared" si="1"/>
        <v>485.293471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 t="shared" si="0"/>
        <v>0</v>
      </c>
      <c r="M12" s="24"/>
      <c r="N12" s="24">
        <f t="shared" si="1"/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 t="shared" si="0"/>
        <v>0</v>
      </c>
      <c r="M13" s="24"/>
      <c r="N13" s="24">
        <f t="shared" si="1"/>
        <v>0</v>
      </c>
      <c r="O13" s="24"/>
      <c r="Q13" s="22"/>
      <c r="R13" s="22"/>
    </row>
    <row r="14" spans="10:18" ht="12.75">
      <c r="J14" s="28"/>
      <c r="K14" s="51"/>
      <c r="L14" s="2"/>
      <c r="M14" s="24"/>
      <c r="O14" s="24"/>
      <c r="Q14" s="22"/>
      <c r="R14" s="22"/>
    </row>
    <row r="15" spans="1:18" ht="12.75">
      <c r="A15" t="s">
        <v>130</v>
      </c>
      <c r="B15" t="s">
        <v>17</v>
      </c>
      <c r="D15" s="2">
        <f>5718128+26740</f>
        <v>5744868</v>
      </c>
      <c r="G15" s="2">
        <f>71517111/12</f>
        <v>5959759.25</v>
      </c>
      <c r="I15" s="2">
        <f>+D15-G15</f>
        <v>-214891.25</v>
      </c>
      <c r="J15" s="28"/>
      <c r="K15" s="51">
        <v>0.003241</v>
      </c>
      <c r="L15" s="2">
        <f t="shared" si="0"/>
        <v>18619.117188</v>
      </c>
      <c r="M15" s="24">
        <v>0</v>
      </c>
      <c r="N15" s="24">
        <f t="shared" si="1"/>
        <v>18619.117188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 t="shared" si="0"/>
        <v>255.377836</v>
      </c>
      <c r="M16" s="24">
        <f>+'2002PILRecoveryAmt'!M16</f>
        <v>0</v>
      </c>
      <c r="N16" s="24">
        <f t="shared" si="1"/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12633.16</v>
      </c>
      <c r="F22" s="2">
        <f>850185/12</f>
        <v>70848.75</v>
      </c>
      <c r="H22" s="2">
        <f>+C22-F22</f>
        <v>-58215.59</v>
      </c>
      <c r="J22" s="28"/>
      <c r="K22" s="51">
        <v>0.221506</v>
      </c>
      <c r="L22" s="2">
        <f>+K22*C22</f>
        <v>2798.32073896</v>
      </c>
      <c r="M22" s="24">
        <v>0</v>
      </c>
      <c r="N22" s="24">
        <f>+L22+M22</f>
        <v>2798.32073896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15950.48</v>
      </c>
      <c r="H23" s="2">
        <f>+C23-F23</f>
        <v>15950.48</v>
      </c>
      <c r="J23" s="28"/>
      <c r="K23" s="51">
        <v>0.221506</v>
      </c>
      <c r="L23" s="2">
        <f>+K23*C23</f>
        <v>3533.12702288</v>
      </c>
      <c r="M23" s="24">
        <f>+'2002PILRecoveryAmt'!M23</f>
        <v>0</v>
      </c>
      <c r="N23" s="24">
        <f>+L23+M23</f>
        <v>3533.12702288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39892.52</v>
      </c>
      <c r="H24" s="2">
        <f>+C24-F24</f>
        <v>39892.52</v>
      </c>
      <c r="J24" s="28"/>
      <c r="K24" s="51">
        <v>0.221506</v>
      </c>
      <c r="L24" s="2">
        <f>+K24*C24</f>
        <v>8836.43253512</v>
      </c>
      <c r="M24" s="24">
        <f>+'2002PILRecoveryAmt'!M24</f>
        <v>0</v>
      </c>
      <c r="N24" s="24">
        <f>+L24+M24</f>
        <v>8836.43253512</v>
      </c>
      <c r="O24" s="24"/>
      <c r="Q24" s="22"/>
      <c r="R24" s="22"/>
    </row>
    <row r="25" spans="1:15" ht="12.75">
      <c r="A25" t="s">
        <v>131</v>
      </c>
      <c r="B25" t="s">
        <v>19</v>
      </c>
      <c r="C25" s="2">
        <f>257.06+1808.65</f>
        <v>2065.71</v>
      </c>
      <c r="H25" s="2">
        <f>+C25-F25</f>
        <v>2065.71</v>
      </c>
      <c r="J25" s="28"/>
      <c r="K25" s="51">
        <v>0.221506</v>
      </c>
      <c r="L25" s="2">
        <f>+K25*C25</f>
        <v>457.56715926000004</v>
      </c>
      <c r="M25" s="24">
        <f>+'2002PILRecoveryAmt'!M25</f>
        <v>0</v>
      </c>
      <c r="N25" s="24">
        <f>+L25+M25</f>
        <v>457.56715926000004</v>
      </c>
      <c r="O25" s="24"/>
    </row>
    <row r="26" spans="2:15" ht="12.75">
      <c r="B26" t="s">
        <v>20</v>
      </c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6631.36</v>
      </c>
      <c r="F30" s="2">
        <f>86687/12</f>
        <v>7223.916666666667</v>
      </c>
      <c r="H30" s="2">
        <f>+C30-F30</f>
        <v>-592.5566666666673</v>
      </c>
      <c r="J30" s="28"/>
      <c r="K30" s="51">
        <v>0.064863</v>
      </c>
      <c r="L30" s="2">
        <f>+K30*C30</f>
        <v>430.12990368</v>
      </c>
      <c r="M30" s="24">
        <v>0</v>
      </c>
      <c r="N30" s="24">
        <f>+L30+M30</f>
        <v>430.12990368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3257.32</v>
      </c>
      <c r="F34" s="2">
        <f>38916/12</f>
        <v>3243</v>
      </c>
      <c r="H34" s="2">
        <f>+C34-F34</f>
        <v>14.320000000000164</v>
      </c>
      <c r="J34" s="28"/>
      <c r="K34" s="51">
        <v>0.615519</v>
      </c>
      <c r="L34" s="2">
        <f>+K34*C34</f>
        <v>2004.9423490800002</v>
      </c>
      <c r="M34" s="24">
        <v>0</v>
      </c>
      <c r="N34" s="24">
        <f>+L34+M34</f>
        <v>2004.9423490800002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403.96</v>
      </c>
      <c r="F37" s="2">
        <v>2125.5833333333335</v>
      </c>
      <c r="H37" s="2">
        <f>+C37-F37</f>
        <v>-1721.6233333333334</v>
      </c>
      <c r="J37" s="28"/>
      <c r="K37" s="51">
        <v>1.163755</v>
      </c>
      <c r="L37" s="2">
        <f>+K37*C37</f>
        <v>470.11046980000003</v>
      </c>
      <c r="M37" s="24">
        <v>0</v>
      </c>
      <c r="N37" s="24">
        <f>+L37+M37</f>
        <v>470.11046980000003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879.96</v>
      </c>
      <c r="D41" s="2">
        <v>0</v>
      </c>
      <c r="F41" s="2">
        <v>873.0833333333334</v>
      </c>
      <c r="H41" s="2">
        <f>+C41-F41</f>
        <v>6.876666666666665</v>
      </c>
      <c r="J41" s="28"/>
      <c r="K41" s="51">
        <v>0.631601</v>
      </c>
      <c r="L41" s="2">
        <f>+K41*C41</f>
        <v>555.78361596</v>
      </c>
      <c r="M41" s="24">
        <v>0</v>
      </c>
      <c r="N41" s="24">
        <f>+L41+M41</f>
        <v>555.78361596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v>38.03333333333333</v>
      </c>
      <c r="F43" s="2">
        <v>44.666666666666664</v>
      </c>
      <c r="H43" s="2">
        <f>+C43-F43</f>
        <v>-6.633333333333333</v>
      </c>
      <c r="J43" s="28"/>
      <c r="K43" s="51">
        <v>1.80177</v>
      </c>
      <c r="L43" s="2">
        <f>+K43*C43</f>
        <v>68.527319</v>
      </c>
      <c r="M43" s="24">
        <v>0</v>
      </c>
      <c r="N43" s="24">
        <f>+L43+M43</f>
        <v>68.527319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SUM(C9:C43)</f>
        <v>81752.50333333337</v>
      </c>
      <c r="D45" s="14">
        <f>SUM(D9:D43)</f>
        <v>16759755</v>
      </c>
      <c r="E45" s="14"/>
      <c r="F45" s="14">
        <f>SUM(F9:F43)</f>
        <v>84359</v>
      </c>
      <c r="G45" s="14">
        <f>SUM(G9:G43)</f>
        <v>18066897.5</v>
      </c>
      <c r="H45" s="14">
        <f>SUM(H9:H44)</f>
        <v>-2606.496666666671</v>
      </c>
      <c r="I45" s="14">
        <f>SUM(I9:I43)</f>
        <v>-1307142.4999999993</v>
      </c>
      <c r="J45" s="28"/>
      <c r="K45" s="52"/>
      <c r="L45" s="14">
        <f>SUM(L9:L43)</f>
        <v>93477.19980073998</v>
      </c>
      <c r="M45" s="14">
        <f>SUM(M9:M43)</f>
        <v>0</v>
      </c>
      <c r="N45" s="14">
        <f>SUM(N9:N43)</f>
        <v>93477.19980073998</v>
      </c>
      <c r="O45" s="24"/>
    </row>
    <row r="46" spans="7:15" ht="12.75">
      <c r="G46" s="2"/>
      <c r="H46" s="2">
        <f>+C45-F45</f>
        <v>-2606.4966666666296</v>
      </c>
      <c r="I46" s="2">
        <f>+D45-G45</f>
        <v>-1307142.5</v>
      </c>
      <c r="J46" s="28"/>
      <c r="K46" s="51"/>
      <c r="L46" s="2"/>
      <c r="M46" s="24"/>
      <c r="N46" s="24"/>
      <c r="O46" s="24"/>
    </row>
    <row r="47" spans="2:15" ht="12.75">
      <c r="B47" t="s">
        <v>39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8:15" ht="12.75">
      <c r="H48" s="24"/>
      <c r="I48" s="24"/>
      <c r="J48" s="28"/>
      <c r="K48" s="24"/>
      <c r="L48" s="29"/>
      <c r="M48" s="24"/>
      <c r="N48" s="24"/>
      <c r="O48" s="24"/>
    </row>
    <row r="49" spans="8:15" ht="12.75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8">
      <selection activeCell="C49" sqref="C4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125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101</v>
      </c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f>11791532*0.25</f>
        <v>2947883</v>
      </c>
      <c r="G9" s="2">
        <f>132815003/12</f>
        <v>11067916.916666666</v>
      </c>
      <c r="I9" s="2">
        <f>+D9-G9</f>
        <v>-8120033.916666666</v>
      </c>
      <c r="J9" s="28"/>
      <c r="K9" s="51">
        <v>0.005341</v>
      </c>
      <c r="L9" s="2">
        <f>+K9*D9</f>
        <v>15744.643103</v>
      </c>
      <c r="M9" s="24">
        <v>0</v>
      </c>
      <c r="N9" s="24">
        <f>+L9+M9</f>
        <v>15744.643103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f>734239*0.25</f>
        <v>183559.75</v>
      </c>
      <c r="G10" s="2">
        <f>8045508/12</f>
        <v>670459</v>
      </c>
      <c r="I10" s="2">
        <f>+D10-G10</f>
        <v>-486899.25</v>
      </c>
      <c r="J10" s="28"/>
      <c r="K10" s="51">
        <v>0.002988</v>
      </c>
      <c r="L10" s="2">
        <f>+K10*D10</f>
        <v>548.476533</v>
      </c>
      <c r="M10" s="24">
        <v>0</v>
      </c>
      <c r="N10" s="24">
        <f>+L10+M10</f>
        <v>548.476533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f>373486*0.25</f>
        <v>93371.5</v>
      </c>
      <c r="G11" s="2">
        <f>4425148/12</f>
        <v>368762.3333333333</v>
      </c>
      <c r="I11" s="2">
        <f>+D11-G11</f>
        <v>-275390.8333333333</v>
      </c>
      <c r="J11" s="28"/>
      <c r="K11" s="51">
        <v>0.001391</v>
      </c>
      <c r="L11" s="2">
        <f>+K11*D11</f>
        <v>129.8797565</v>
      </c>
      <c r="M11" s="24">
        <v>0</v>
      </c>
      <c r="N11" s="24">
        <f>+L11+M11</f>
        <v>129.8797565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/>
      <c r="M12" s="24"/>
      <c r="N12" s="24"/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/>
      <c r="M13" s="24"/>
      <c r="N13" s="24"/>
      <c r="O13" s="24"/>
      <c r="Q13" s="22"/>
      <c r="R13" s="22"/>
    </row>
    <row r="14" spans="10:18" ht="12.75">
      <c r="J14" s="28"/>
      <c r="K14" s="51"/>
      <c r="L14" s="2"/>
      <c r="M14" s="24"/>
      <c r="N14" s="24"/>
      <c r="O14" s="24"/>
      <c r="Q14" s="22"/>
      <c r="R14" s="22"/>
    </row>
    <row r="15" spans="1:18" ht="12.75">
      <c r="A15" t="s">
        <v>16</v>
      </c>
      <c r="B15" t="s">
        <v>17</v>
      </c>
      <c r="D15" s="2">
        <f>6274874*0.25</f>
        <v>1568718.5</v>
      </c>
      <c r="G15" s="2">
        <f>71517111/12</f>
        <v>5959759.25</v>
      </c>
      <c r="I15" s="2">
        <f>+D15-G15</f>
        <v>-4391040.75</v>
      </c>
      <c r="J15" s="28"/>
      <c r="K15" s="51">
        <v>0.003241</v>
      </c>
      <c r="L15" s="2">
        <f>+K15*D15</f>
        <v>5084.2166584999995</v>
      </c>
      <c r="M15" s="24">
        <v>0</v>
      </c>
      <c r="N15" s="24">
        <f>+L15+M15</f>
        <v>5084.2166584999995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f>76996*0.25</f>
        <v>19249</v>
      </c>
      <c r="G16" s="2">
        <f>+'[1]PILRecoveryAmt'!K16</f>
        <v>0</v>
      </c>
      <c r="I16" s="2">
        <f>+D16-G16</f>
        <v>19249</v>
      </c>
      <c r="J16" s="28"/>
      <c r="K16" s="51">
        <v>0.003241</v>
      </c>
      <c r="L16" s="2">
        <f>+K16*D16</f>
        <v>62.386009</v>
      </c>
      <c r="M16" s="24">
        <f>+'2002PILRecoveryAmt'!M16</f>
        <v>0</v>
      </c>
      <c r="N16" s="24">
        <f>+L16+M16</f>
        <v>62.386009</v>
      </c>
      <c r="O16" s="24"/>
      <c r="Q16" s="22"/>
      <c r="R16" s="22"/>
    </row>
    <row r="17" spans="1:18" ht="12.75">
      <c r="A17" t="s">
        <v>16</v>
      </c>
      <c r="B17" t="s">
        <v>17</v>
      </c>
      <c r="D17" s="2">
        <f>44341*0.25</f>
        <v>11085.25</v>
      </c>
      <c r="G17" s="2">
        <f>+'[1]PILRecoveryAmt'!K17</f>
        <v>0</v>
      </c>
      <c r="I17" s="2">
        <f>+D17-G17</f>
        <v>11085.25</v>
      </c>
      <c r="J17" s="28"/>
      <c r="K17" s="51">
        <v>0.003241</v>
      </c>
      <c r="L17" s="2">
        <f>+K17*D17</f>
        <v>35.92729525</v>
      </c>
      <c r="M17" s="24">
        <f>+'2002PILRecoveryAmt'!M17</f>
        <v>0</v>
      </c>
      <c r="N17" s="24">
        <f>+L17+M17</f>
        <v>35.92729525</v>
      </c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f>13624.29*0.25</f>
        <v>3406.0725</v>
      </c>
      <c r="F22" s="2">
        <f>850185/12</f>
        <v>70848.75</v>
      </c>
      <c r="H22" s="2">
        <f>+C22-F22</f>
        <v>-67442.6775</v>
      </c>
      <c r="J22" s="28"/>
      <c r="K22" s="51">
        <v>0.221506</v>
      </c>
      <c r="L22" s="2">
        <f>+K22*C22</f>
        <v>754.4654951850001</v>
      </c>
      <c r="M22" s="24">
        <v>0</v>
      </c>
      <c r="N22" s="24">
        <f>+L22+M22</f>
        <v>754.4654951850001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f>15342.99*0.25</f>
        <v>3835.7475</v>
      </c>
      <c r="H23" s="2">
        <f>+C23-F23</f>
        <v>3835.7475</v>
      </c>
      <c r="J23" s="28"/>
      <c r="K23" s="51">
        <v>0.221506</v>
      </c>
      <c r="L23" s="2">
        <f>+K23*C23</f>
        <v>849.641085735</v>
      </c>
      <c r="M23" s="24">
        <f>+'2002PILRecoveryAmt'!M23</f>
        <v>0</v>
      </c>
      <c r="N23" s="24">
        <f>+L23+M23</f>
        <v>849.641085735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f>38539.44*0.25</f>
        <v>9634.86</v>
      </c>
      <c r="H24" s="2">
        <f>+C24-F24</f>
        <v>9634.86</v>
      </c>
      <c r="J24" s="28"/>
      <c r="K24" s="51">
        <v>0.221506</v>
      </c>
      <c r="L24" s="2">
        <f>+K24*C24</f>
        <v>2134.17929916</v>
      </c>
      <c r="M24" s="24">
        <f>+'2002PILRecoveryAmt'!M24</f>
        <v>0</v>
      </c>
      <c r="N24" s="24">
        <f>+L24+M24</f>
        <v>2134.17929916</v>
      </c>
      <c r="O24" s="24"/>
      <c r="Q24" s="22"/>
      <c r="R24" s="22"/>
    </row>
    <row r="25" spans="1:15" ht="12.75">
      <c r="A25" t="s">
        <v>74</v>
      </c>
      <c r="B25" t="s">
        <v>75</v>
      </c>
      <c r="C25" s="2">
        <f>(270.4+1799.1)*0.25</f>
        <v>517.375</v>
      </c>
      <c r="H25" s="2">
        <f>+C25-F25</f>
        <v>517.375</v>
      </c>
      <c r="J25" s="28"/>
      <c r="K25" s="51">
        <v>0.221506</v>
      </c>
      <c r="L25" s="2">
        <f>+K25*C25</f>
        <v>114.60166675</v>
      </c>
      <c r="M25" s="24">
        <f>+'2002PILRecoveryAmt'!M25</f>
        <v>0</v>
      </c>
      <c r="N25" s="24">
        <f>+L25+M25</f>
        <v>114.60166675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f>6736.04*0.25</f>
        <v>1684.01</v>
      </c>
      <c r="F30" s="2">
        <f>86687/12</f>
        <v>7223.916666666667</v>
      </c>
      <c r="H30" s="2">
        <f>+C30-F30</f>
        <v>-5539.906666666667</v>
      </c>
      <c r="J30" s="28"/>
      <c r="K30" s="51">
        <v>0.064863</v>
      </c>
      <c r="L30" s="2">
        <f>+K30*C30</f>
        <v>109.22994063</v>
      </c>
      <c r="M30" s="24">
        <v>0</v>
      </c>
      <c r="N30" s="24">
        <f>+L30+M30</f>
        <v>109.22994063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f>2960.99*0.25</f>
        <v>740.2475</v>
      </c>
      <c r="F34" s="2">
        <f>38916/12</f>
        <v>3243</v>
      </c>
      <c r="H34" s="2">
        <f>+C34-F34</f>
        <v>-2502.7525</v>
      </c>
      <c r="J34" s="28"/>
      <c r="K34" s="51">
        <v>0.615519</v>
      </c>
      <c r="L34" s="2">
        <f>+K34*C34</f>
        <v>455.63640095249997</v>
      </c>
      <c r="M34" s="24">
        <v>0</v>
      </c>
      <c r="N34" s="24">
        <f>+L34+M34</f>
        <v>455.63640095249997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f>475.28*0.25</f>
        <v>118.82</v>
      </c>
      <c r="F37" s="2">
        <v>2125.5833333333335</v>
      </c>
      <c r="H37" s="2">
        <f>+C37-F37</f>
        <v>-2006.7633333333335</v>
      </c>
      <c r="J37" s="28"/>
      <c r="K37" s="51">
        <v>1.163755</v>
      </c>
      <c r="L37" s="2">
        <f>+K37*C37</f>
        <v>138.27736910000002</v>
      </c>
      <c r="M37" s="24">
        <v>0</v>
      </c>
      <c r="N37" s="24">
        <f>+L37+M37</f>
        <v>138.27736910000002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f>876.96*0.25</f>
        <v>219.24</v>
      </c>
      <c r="F41" s="2">
        <v>873.0833333333334</v>
      </c>
      <c r="H41" s="2">
        <f>+C41-F41</f>
        <v>-653.8433333333334</v>
      </c>
      <c r="J41" s="28"/>
      <c r="K41" s="51">
        <v>0.631601</v>
      </c>
      <c r="L41" s="2">
        <f>+K41*C41</f>
        <v>138.47220324</v>
      </c>
      <c r="M41" s="24">
        <v>0</v>
      </c>
      <c r="N41" s="24">
        <f>+L41+M41</f>
        <v>138.47220324</v>
      </c>
      <c r="O41" s="24"/>
    </row>
    <row r="42" spans="3:15" ht="12.75">
      <c r="C42" s="2" t="s">
        <v>53</v>
      </c>
      <c r="J42" s="28"/>
      <c r="K42" s="51"/>
      <c r="L42" s="2"/>
      <c r="M42" s="24"/>
      <c r="N42" s="24"/>
      <c r="O42" s="24"/>
    </row>
    <row r="43" spans="2:15" ht="12.75">
      <c r="B43" t="s">
        <v>122</v>
      </c>
      <c r="C43" s="2">
        <v>0</v>
      </c>
      <c r="D43" s="2">
        <f>13996.55*0.25</f>
        <v>3499.1375</v>
      </c>
      <c r="F43" s="2">
        <v>44.666666666666664</v>
      </c>
      <c r="H43" s="2">
        <f>+C43-F43</f>
        <v>-44.666666666666664</v>
      </c>
      <c r="J43" s="28"/>
      <c r="K43" s="51">
        <v>1.80177</v>
      </c>
      <c r="L43" s="2">
        <f>+K43*C43</f>
        <v>0</v>
      </c>
      <c r="M43" s="24">
        <v>0</v>
      </c>
      <c r="N43" s="24">
        <f>+L43+M43</f>
        <v>0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20156.3725</v>
      </c>
      <c r="D45" s="14">
        <f>SUM(D9:D44)</f>
        <v>4827366.1375</v>
      </c>
      <c r="E45" s="14"/>
      <c r="F45" s="14">
        <f>SUM(F9:F43)</f>
        <v>84359</v>
      </c>
      <c r="G45" s="14">
        <f>SUM(G9:G43)</f>
        <v>18066897.5</v>
      </c>
      <c r="H45" s="14">
        <f>SUM(H9:H44)</f>
        <v>-64202.62750000001</v>
      </c>
      <c r="I45" s="14">
        <f>SUM(I9:I43)</f>
        <v>-13243030.5</v>
      </c>
      <c r="J45" s="28"/>
      <c r="K45" s="52"/>
      <c r="L45" s="14">
        <f>SUM(L9:L43)</f>
        <v>26300.032816002495</v>
      </c>
      <c r="M45" s="14">
        <f>SUM(M9:M43)</f>
        <v>0</v>
      </c>
      <c r="N45" s="14">
        <f>SUM(N9:N43)</f>
        <v>26300.032816002495</v>
      </c>
      <c r="O45" s="24"/>
    </row>
    <row r="46" spans="7:15" ht="12.75">
      <c r="G46" s="2"/>
      <c r="H46" s="2">
        <f>+C45-F45</f>
        <v>-64202.6275</v>
      </c>
      <c r="I46" s="2">
        <f>+D45-G45</f>
        <v>-13239531.3625</v>
      </c>
      <c r="J46" s="28"/>
      <c r="K46" s="51"/>
      <c r="L46" s="2"/>
      <c r="M46" s="24"/>
      <c r="N46" s="24"/>
      <c r="O46" s="24"/>
    </row>
    <row r="47" spans="7:15" ht="12.75">
      <c r="G47" s="2"/>
      <c r="I47" s="2">
        <f>+I46-I45</f>
        <v>3499.137499999255</v>
      </c>
      <c r="J47" s="28"/>
      <c r="K47" s="24"/>
      <c r="L47" s="29"/>
      <c r="M47" s="24"/>
      <c r="N47" s="24"/>
      <c r="O47" s="24"/>
    </row>
    <row r="48" spans="8:15" ht="12.75">
      <c r="H48" s="24"/>
      <c r="I48" s="24"/>
      <c r="J48" s="28"/>
      <c r="K48" s="24"/>
      <c r="L48" s="29"/>
      <c r="M48" s="24"/>
      <c r="N48" s="24"/>
      <c r="O48" s="24"/>
    </row>
    <row r="49" spans="2:15" ht="12.75">
      <c r="B49" t="s">
        <v>108</v>
      </c>
      <c r="H49" s="24"/>
      <c r="I49" s="24"/>
      <c r="J49" s="28"/>
      <c r="K49" s="24"/>
      <c r="L49" s="29"/>
      <c r="M49" s="24"/>
      <c r="N49" s="24"/>
      <c r="O49" s="24"/>
    </row>
    <row r="50" spans="2:15" ht="12.75">
      <c r="B50" t="s">
        <v>109</v>
      </c>
      <c r="H50" s="24"/>
      <c r="I50" s="24"/>
      <c r="J50" s="28"/>
      <c r="K50" s="24"/>
      <c r="L50" s="29"/>
      <c r="M50" s="24"/>
      <c r="N50" s="24"/>
      <c r="O50" s="24"/>
    </row>
    <row r="51" spans="2:15" ht="12.75">
      <c r="B51" t="s">
        <v>110</v>
      </c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2:15" ht="12.75">
      <c r="B53" t="s">
        <v>111</v>
      </c>
      <c r="H53" s="24"/>
      <c r="I53" s="24"/>
      <c r="J53" s="28"/>
      <c r="K53" s="24"/>
      <c r="L53" s="29"/>
      <c r="M53" s="24"/>
      <c r="N53" s="24"/>
      <c r="O53" s="24"/>
    </row>
    <row r="54" spans="2:15" ht="12.75">
      <c r="B54" t="s">
        <v>112</v>
      </c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5.28125" style="2" customWidth="1"/>
    <col min="5" max="5" width="2.421875" style="2" customWidth="1"/>
    <col min="6" max="6" width="16.57421875" style="2" customWidth="1"/>
    <col min="7" max="7" width="13.28125" style="2" customWidth="1"/>
    <col min="8" max="8" width="13.28125" style="2" bestFit="1" customWidth="1"/>
    <col min="9" max="9" width="10.7109375" style="18" customWidth="1"/>
    <col min="10" max="10" width="12.28125" style="2" bestFit="1" customWidth="1"/>
    <col min="11" max="11" width="14.28125" style="2" bestFit="1" customWidth="1"/>
    <col min="12" max="12" width="13.28125" style="3" customWidth="1"/>
    <col min="13" max="13" width="13.57421875" style="2" bestFit="1" customWidth="1"/>
    <col min="14" max="14" width="9.140625" style="4" customWidth="1"/>
    <col min="15" max="15" width="13.28125" style="2" bestFit="1" customWidth="1"/>
    <col min="16" max="16" width="14.00390625" style="2" bestFit="1" customWidth="1"/>
    <col min="17" max="17" width="13.28125" style="2" bestFit="1" customWidth="1"/>
  </cols>
  <sheetData>
    <row r="1" ht="12.75">
      <c r="A1" s="1" t="s">
        <v>0</v>
      </c>
    </row>
    <row r="2" ht="12.75">
      <c r="A2" s="1" t="s">
        <v>73</v>
      </c>
    </row>
    <row r="3" ht="12.75">
      <c r="A3" s="1" t="s">
        <v>40</v>
      </c>
    </row>
    <row r="4" spans="6:12" ht="12.75">
      <c r="F4" s="16" t="s">
        <v>72</v>
      </c>
      <c r="G4" s="16" t="s">
        <v>72</v>
      </c>
      <c r="H4" s="15" t="s">
        <v>92</v>
      </c>
      <c r="L4" s="16" t="s">
        <v>72</v>
      </c>
    </row>
    <row r="5" spans="2:13" ht="12.75">
      <c r="B5" s="1" t="s">
        <v>1</v>
      </c>
      <c r="C5" s="15" t="s">
        <v>43</v>
      </c>
      <c r="F5" s="16" t="s">
        <v>44</v>
      </c>
      <c r="G5" s="16" t="s">
        <v>44</v>
      </c>
      <c r="H5" s="17" t="s">
        <v>46</v>
      </c>
      <c r="J5" s="17" t="s">
        <v>48</v>
      </c>
      <c r="L5" s="16" t="s">
        <v>44</v>
      </c>
      <c r="M5" s="15" t="s">
        <v>94</v>
      </c>
    </row>
    <row r="6" spans="2:19" ht="12.75">
      <c r="B6" s="5"/>
      <c r="C6" s="6"/>
      <c r="D6" s="6"/>
      <c r="E6" s="6"/>
      <c r="F6" s="16" t="s">
        <v>45</v>
      </c>
      <c r="G6" s="16" t="s">
        <v>45</v>
      </c>
      <c r="H6" s="16" t="s">
        <v>47</v>
      </c>
      <c r="I6" s="16" t="s">
        <v>47</v>
      </c>
      <c r="J6" s="27" t="s">
        <v>49</v>
      </c>
      <c r="K6" s="6"/>
      <c r="L6" s="16" t="s">
        <v>45</v>
      </c>
      <c r="M6" s="15" t="s">
        <v>95</v>
      </c>
      <c r="N6" s="9"/>
      <c r="O6" s="6"/>
      <c r="P6" s="6"/>
      <c r="Q6" s="6"/>
      <c r="S6" s="21"/>
    </row>
    <row r="7" spans="1:20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91</v>
      </c>
      <c r="G7" s="11" t="s">
        <v>93</v>
      </c>
      <c r="H7" s="11" t="s">
        <v>4</v>
      </c>
      <c r="I7" s="11" t="s">
        <v>5</v>
      </c>
      <c r="J7" s="11" t="s">
        <v>4</v>
      </c>
      <c r="K7" s="11" t="s">
        <v>5</v>
      </c>
      <c r="L7" s="11" t="s">
        <v>96</v>
      </c>
      <c r="M7" s="11" t="s">
        <v>97</v>
      </c>
      <c r="N7" s="9"/>
      <c r="O7" s="6"/>
      <c r="P7" s="6"/>
      <c r="Q7" s="6"/>
      <c r="S7" s="21"/>
      <c r="T7" s="21"/>
    </row>
    <row r="8" spans="12:17" ht="12.75">
      <c r="L8" s="28"/>
      <c r="M8" s="24"/>
      <c r="N8" s="29"/>
      <c r="O8" s="24"/>
      <c r="P8" s="24"/>
      <c r="Q8" s="24"/>
    </row>
    <row r="9" spans="1:20" ht="12.75">
      <c r="A9" t="s">
        <v>41</v>
      </c>
      <c r="B9" t="s">
        <v>8</v>
      </c>
      <c r="D9" s="2">
        <v>125399384</v>
      </c>
      <c r="F9" s="2">
        <v>580908.73</v>
      </c>
      <c r="G9" s="2">
        <v>290454.37</v>
      </c>
      <c r="I9" s="3">
        <f>+G9/D9</f>
        <v>0.0023162344242456567</v>
      </c>
      <c r="K9" s="2">
        <f>+D9/12</f>
        <v>10449948.666666666</v>
      </c>
      <c r="L9" s="24">
        <f>+F9-G9</f>
        <v>290454.36</v>
      </c>
      <c r="M9" s="24">
        <f>+L9/12</f>
        <v>24204.53</v>
      </c>
      <c r="N9" s="29"/>
      <c r="O9" s="24"/>
      <c r="P9" s="24"/>
      <c r="Q9" s="24"/>
      <c r="S9" s="22"/>
      <c r="T9" s="22"/>
    </row>
    <row r="10" spans="1:20" ht="12.75">
      <c r="A10" t="s">
        <v>42</v>
      </c>
      <c r="B10" t="s">
        <v>10</v>
      </c>
      <c r="D10" s="2">
        <v>7685310</v>
      </c>
      <c r="F10" s="2">
        <v>24043</v>
      </c>
      <c r="G10" s="2">
        <v>22359.99</v>
      </c>
      <c r="I10" s="3">
        <f>+G10/D10</f>
        <v>0.002909445422500849</v>
      </c>
      <c r="K10" s="2">
        <f>+D10/12</f>
        <v>640442.5</v>
      </c>
      <c r="L10" s="24">
        <f>+F10-G10</f>
        <v>1683.0099999999984</v>
      </c>
      <c r="M10" s="24">
        <f>+L10/12</f>
        <v>140.2508333333332</v>
      </c>
      <c r="N10" s="29"/>
      <c r="O10" s="24"/>
      <c r="P10" s="24"/>
      <c r="Q10" s="24"/>
      <c r="S10" s="22"/>
      <c r="T10" s="22"/>
    </row>
    <row r="11" spans="1:20" ht="12.75">
      <c r="A11" t="s">
        <v>11</v>
      </c>
      <c r="B11" t="s">
        <v>12</v>
      </c>
      <c r="D11" s="2">
        <v>4099937</v>
      </c>
      <c r="F11" s="2">
        <v>6155</v>
      </c>
      <c r="G11" s="2">
        <v>246.2</v>
      </c>
      <c r="I11" s="3">
        <f>+G11/D11</f>
        <v>6.004970320275653E-05</v>
      </c>
      <c r="K11" s="2">
        <f>+D11/12</f>
        <v>341661.4166666667</v>
      </c>
      <c r="L11" s="24">
        <f>+F11-G11</f>
        <v>5908.8</v>
      </c>
      <c r="M11" s="24">
        <f>+L11/12</f>
        <v>492.40000000000003</v>
      </c>
      <c r="N11" s="29"/>
      <c r="O11" s="24"/>
      <c r="P11" s="24"/>
      <c r="Q11" s="24"/>
      <c r="S11" s="22"/>
      <c r="T11" s="22"/>
    </row>
    <row r="12" spans="1:20" ht="12.75">
      <c r="A12" t="s">
        <v>13</v>
      </c>
      <c r="I12" s="3"/>
      <c r="L12" s="24"/>
      <c r="M12" s="24"/>
      <c r="N12" s="29"/>
      <c r="O12" s="24"/>
      <c r="P12" s="24"/>
      <c r="Q12" s="24"/>
      <c r="S12" s="22"/>
      <c r="T12" s="22"/>
    </row>
    <row r="13" spans="1:20" ht="12.75">
      <c r="A13" t="s">
        <v>14</v>
      </c>
      <c r="I13" s="3"/>
      <c r="L13" s="24"/>
      <c r="M13" s="24"/>
      <c r="N13" s="29"/>
      <c r="O13" s="24"/>
      <c r="P13" s="24"/>
      <c r="Q13" s="24"/>
      <c r="S13" s="22"/>
      <c r="T13" s="22"/>
    </row>
    <row r="14" spans="12:20" ht="12.75">
      <c r="L14" s="24">
        <f>+F14-G14</f>
        <v>0</v>
      </c>
      <c r="M14" s="24"/>
      <c r="N14" s="29"/>
      <c r="O14" s="24"/>
      <c r="P14" s="24"/>
      <c r="Q14" s="24"/>
      <c r="S14" s="22"/>
      <c r="T14" s="22"/>
    </row>
    <row r="15" spans="1:20" ht="12.75">
      <c r="A15" t="s">
        <v>16</v>
      </c>
      <c r="B15" t="s">
        <v>17</v>
      </c>
      <c r="D15" s="2">
        <v>70701786</v>
      </c>
      <c r="F15" s="2">
        <v>213675.33</v>
      </c>
      <c r="G15" s="2">
        <v>106837.66</v>
      </c>
      <c r="I15" s="3">
        <f>+G15/D15</f>
        <v>0.0015111027039684684</v>
      </c>
      <c r="K15" s="2">
        <f>+D15/12</f>
        <v>5891815.5</v>
      </c>
      <c r="L15" s="24">
        <f>+F15-G15</f>
        <v>106837.66999999998</v>
      </c>
      <c r="M15" s="24">
        <f>+L15/12</f>
        <v>8903.139166666666</v>
      </c>
      <c r="N15" s="29"/>
      <c r="O15" s="24"/>
      <c r="P15" s="24"/>
      <c r="Q15" s="24"/>
      <c r="S15" s="22"/>
      <c r="T15" s="22"/>
    </row>
    <row r="16" spans="1:20" ht="12.75">
      <c r="A16" t="s">
        <v>25</v>
      </c>
      <c r="B16" t="s">
        <v>17</v>
      </c>
      <c r="D16" s="2">
        <v>0</v>
      </c>
      <c r="L16" s="28"/>
      <c r="M16" s="24"/>
      <c r="N16" s="29"/>
      <c r="O16" s="24"/>
      <c r="P16" s="24"/>
      <c r="Q16" s="24"/>
      <c r="S16" s="22"/>
      <c r="T16" s="22"/>
    </row>
    <row r="17" spans="1:20" ht="12.75">
      <c r="A17" t="s">
        <v>16</v>
      </c>
      <c r="B17" t="s">
        <v>17</v>
      </c>
      <c r="C17" s="2">
        <v>0</v>
      </c>
      <c r="L17" s="28"/>
      <c r="M17" s="24"/>
      <c r="N17" s="29"/>
      <c r="O17" s="24"/>
      <c r="P17" s="24"/>
      <c r="Q17" s="24"/>
      <c r="S17" s="22"/>
      <c r="T17" s="22"/>
    </row>
    <row r="18" spans="12:20" ht="12.75">
      <c r="L18" s="28"/>
      <c r="M18" s="24"/>
      <c r="N18" s="29"/>
      <c r="O18" s="24"/>
      <c r="P18" s="24"/>
      <c r="Q18" s="24"/>
      <c r="S18" s="22"/>
      <c r="T18" s="22"/>
    </row>
    <row r="19" spans="1:20" ht="12.75">
      <c r="A19" t="s">
        <v>18</v>
      </c>
      <c r="B19" t="s">
        <v>19</v>
      </c>
      <c r="D19" s="2">
        <v>0</v>
      </c>
      <c r="L19" s="28"/>
      <c r="M19" s="24"/>
      <c r="N19" s="29"/>
      <c r="O19" s="24"/>
      <c r="P19" s="24"/>
      <c r="Q19" s="24"/>
      <c r="S19" s="22"/>
      <c r="T19" s="22"/>
    </row>
    <row r="20" spans="1:20" ht="12.75">
      <c r="A20" t="s">
        <v>29</v>
      </c>
      <c r="B20" t="s">
        <v>19</v>
      </c>
      <c r="D20" s="2">
        <v>0</v>
      </c>
      <c r="L20" s="28"/>
      <c r="M20" s="24"/>
      <c r="N20" s="29"/>
      <c r="O20" s="24"/>
      <c r="P20" s="24"/>
      <c r="Q20" s="24"/>
      <c r="S20" s="22"/>
      <c r="T20" s="22"/>
    </row>
    <row r="21" spans="1:20" ht="12.75">
      <c r="A21" t="s">
        <v>30</v>
      </c>
      <c r="B21" t="s">
        <v>19</v>
      </c>
      <c r="D21" s="2">
        <v>0</v>
      </c>
      <c r="L21" s="28"/>
      <c r="M21" s="24"/>
      <c r="N21" s="29"/>
      <c r="O21" s="24"/>
      <c r="P21" s="24"/>
      <c r="Q21" s="24"/>
      <c r="S21" s="22"/>
      <c r="T21" s="22"/>
    </row>
    <row r="22" spans="1:20" ht="12.75">
      <c r="A22" t="s">
        <v>18</v>
      </c>
      <c r="B22" t="s">
        <v>19</v>
      </c>
      <c r="C22" s="2">
        <v>849437</v>
      </c>
      <c r="F22" s="2">
        <v>315187.42</v>
      </c>
      <c r="G22" s="2">
        <v>220631.2</v>
      </c>
      <c r="H22" s="3">
        <f>+G22/C22</f>
        <v>0.259738155978607</v>
      </c>
      <c r="J22" s="2">
        <f>+C22/12</f>
        <v>70786.41666666667</v>
      </c>
      <c r="L22" s="24">
        <f>+F22-G22</f>
        <v>94556.21999999997</v>
      </c>
      <c r="M22" s="24">
        <f>+L22/12</f>
        <v>7879.684999999998</v>
      </c>
      <c r="N22" s="29"/>
      <c r="O22" s="24"/>
      <c r="P22" s="24"/>
      <c r="Q22" s="24"/>
      <c r="S22" s="22"/>
      <c r="T22" s="22"/>
    </row>
    <row r="23" spans="1:20" ht="12.75">
      <c r="A23" t="s">
        <v>29</v>
      </c>
      <c r="B23" t="s">
        <v>19</v>
      </c>
      <c r="C23" s="2">
        <v>0</v>
      </c>
      <c r="L23" s="28"/>
      <c r="M23" s="24"/>
      <c r="N23" s="29"/>
      <c r="O23" s="24"/>
      <c r="P23" s="24"/>
      <c r="Q23" s="24"/>
      <c r="S23" s="22"/>
      <c r="T23" s="22"/>
    </row>
    <row r="24" spans="1:20" ht="12.75">
      <c r="A24" t="s">
        <v>30</v>
      </c>
      <c r="B24" t="s">
        <v>19</v>
      </c>
      <c r="C24" s="2">
        <v>0</v>
      </c>
      <c r="L24" s="28"/>
      <c r="M24" s="24"/>
      <c r="N24" s="29"/>
      <c r="O24" s="24"/>
      <c r="P24" s="24"/>
      <c r="Q24" s="24"/>
      <c r="S24" s="22"/>
      <c r="T24" s="22"/>
    </row>
    <row r="25" spans="12:17" ht="12.75">
      <c r="L25" s="28"/>
      <c r="M25" s="24"/>
      <c r="N25" s="29"/>
      <c r="O25" s="24"/>
      <c r="P25" s="24"/>
      <c r="Q25" s="24"/>
    </row>
    <row r="26" spans="2:17" ht="12.75">
      <c r="B26" t="s">
        <v>20</v>
      </c>
      <c r="L26" s="28"/>
      <c r="M26" s="24"/>
      <c r="N26" s="29"/>
      <c r="O26" s="24"/>
      <c r="P26" s="24"/>
      <c r="Q26" s="24"/>
    </row>
    <row r="27" spans="12:17" ht="12.75">
      <c r="L27" s="28"/>
      <c r="M27" s="24"/>
      <c r="N27" s="29"/>
      <c r="O27" s="24"/>
      <c r="P27" s="24"/>
      <c r="Q27" s="24"/>
    </row>
    <row r="28" spans="1:17" ht="12.75">
      <c r="A28" t="s">
        <v>28</v>
      </c>
      <c r="B28" t="s">
        <v>33</v>
      </c>
      <c r="D28" s="2">
        <v>0</v>
      </c>
      <c r="L28" s="28"/>
      <c r="M28" s="24"/>
      <c r="N28" s="29"/>
      <c r="O28" s="24"/>
      <c r="P28" s="24"/>
      <c r="Q28" s="24"/>
    </row>
    <row r="29" spans="1:17" ht="12.75">
      <c r="A29" t="s">
        <v>36</v>
      </c>
      <c r="B29" t="s">
        <v>34</v>
      </c>
      <c r="D29" s="2">
        <v>0</v>
      </c>
      <c r="L29" s="28"/>
      <c r="M29" s="24"/>
      <c r="N29" s="29"/>
      <c r="O29" s="24"/>
      <c r="P29" s="24"/>
      <c r="Q29" s="24"/>
    </row>
    <row r="30" spans="1:17" ht="12.75">
      <c r="A30" t="s">
        <v>28</v>
      </c>
      <c r="B30" t="s">
        <v>26</v>
      </c>
      <c r="C30" s="2">
        <v>84764</v>
      </c>
      <c r="D30" s="2">
        <v>0</v>
      </c>
      <c r="F30" s="2">
        <v>28268.7</v>
      </c>
      <c r="G30" s="2">
        <v>8508.88</v>
      </c>
      <c r="H30" s="3">
        <f>+G30/C30</f>
        <v>0.10038318153933272</v>
      </c>
      <c r="J30" s="2">
        <f>+C30/12</f>
        <v>7063.666666666667</v>
      </c>
      <c r="L30" s="24">
        <f>+F30-G30</f>
        <v>19759.82</v>
      </c>
      <c r="M30" s="24">
        <f>+L30/12</f>
        <v>1646.6516666666666</v>
      </c>
      <c r="N30" s="29"/>
      <c r="O30" s="24"/>
      <c r="P30" s="24"/>
      <c r="Q30" s="24"/>
    </row>
    <row r="31" spans="12:17" ht="12.75">
      <c r="L31" s="28"/>
      <c r="M31" s="24"/>
      <c r="N31" s="29"/>
      <c r="O31" s="24"/>
      <c r="P31" s="24"/>
      <c r="Q31" s="24"/>
    </row>
    <row r="32" spans="1:17" ht="12.75">
      <c r="A32" t="s">
        <v>31</v>
      </c>
      <c r="B32" t="s">
        <v>33</v>
      </c>
      <c r="D32" s="2">
        <v>0</v>
      </c>
      <c r="L32" s="28"/>
      <c r="M32" s="24"/>
      <c r="N32" s="29"/>
      <c r="O32" s="24"/>
      <c r="P32" s="24"/>
      <c r="Q32" s="24"/>
    </row>
    <row r="33" spans="1:17" ht="12.75">
      <c r="A33" t="s">
        <v>37</v>
      </c>
      <c r="B33" t="s">
        <v>34</v>
      </c>
      <c r="D33" s="2">
        <v>0</v>
      </c>
      <c r="L33" s="28"/>
      <c r="M33" s="24"/>
      <c r="N33" s="29"/>
      <c r="O33" s="24"/>
      <c r="P33" s="24"/>
      <c r="Q33" s="24"/>
    </row>
    <row r="34" spans="1:17" ht="12.75">
      <c r="A34" t="s">
        <v>31</v>
      </c>
      <c r="B34" t="s">
        <v>26</v>
      </c>
      <c r="C34" s="2">
        <v>39294</v>
      </c>
      <c r="F34" s="2">
        <v>27705.36</v>
      </c>
      <c r="G34" s="2">
        <v>19393.75</v>
      </c>
      <c r="H34" s="3">
        <f>+G34/C34</f>
        <v>0.49355499567363975</v>
      </c>
      <c r="J34" s="2">
        <f>+C34/12</f>
        <v>3274.5</v>
      </c>
      <c r="L34" s="24">
        <f>+F34-G34</f>
        <v>8311.61</v>
      </c>
      <c r="M34" s="24">
        <f>+L34/12</f>
        <v>692.6341666666667</v>
      </c>
      <c r="N34" s="29"/>
      <c r="O34" s="24"/>
      <c r="P34" s="24"/>
      <c r="Q34" s="24"/>
    </row>
    <row r="35" spans="12:17" ht="12.75">
      <c r="L35" s="28"/>
      <c r="M35" s="24"/>
      <c r="N35" s="29"/>
      <c r="O35" s="24"/>
      <c r="P35" s="24"/>
      <c r="Q35" s="24"/>
    </row>
    <row r="36" spans="1:17" ht="12.75">
      <c r="A36" t="s">
        <v>32</v>
      </c>
      <c r="B36" t="s">
        <v>33</v>
      </c>
      <c r="D36" s="2">
        <v>0</v>
      </c>
      <c r="L36" s="28"/>
      <c r="M36" s="24"/>
      <c r="N36" s="29"/>
      <c r="O36" s="24"/>
      <c r="P36" s="24"/>
      <c r="Q36" s="24"/>
    </row>
    <row r="37" spans="1:17" ht="12.75">
      <c r="A37" t="s">
        <v>32</v>
      </c>
      <c r="B37" t="s">
        <v>26</v>
      </c>
      <c r="C37" s="2">
        <v>22870</v>
      </c>
      <c r="F37" s="2">
        <v>22965.68</v>
      </c>
      <c r="G37" s="2">
        <v>16075.98</v>
      </c>
      <c r="H37" s="3">
        <f>+G37/C37</f>
        <v>0.7029287275907302</v>
      </c>
      <c r="J37" s="2">
        <f>+C37/12</f>
        <v>1905.8333333333333</v>
      </c>
      <c r="L37" s="24">
        <f>+F37-G37</f>
        <v>6889.700000000001</v>
      </c>
      <c r="M37" s="24">
        <f>+L37/12</f>
        <v>574.1416666666668</v>
      </c>
      <c r="N37" s="29"/>
      <c r="O37" s="24"/>
      <c r="P37" s="24"/>
      <c r="Q37" s="24"/>
    </row>
    <row r="38" spans="12:17" ht="12.75">
      <c r="L38" s="28"/>
      <c r="M38" s="24"/>
      <c r="N38" s="29"/>
      <c r="O38" s="24"/>
      <c r="P38" s="24"/>
      <c r="Q38" s="24"/>
    </row>
    <row r="39" spans="2:17" ht="12.75">
      <c r="B39" t="s">
        <v>21</v>
      </c>
      <c r="L39" s="28"/>
      <c r="M39" s="24"/>
      <c r="N39" s="29"/>
      <c r="O39" s="24"/>
      <c r="P39" s="24"/>
      <c r="Q39" s="24"/>
    </row>
    <row r="40" spans="2:17" ht="12.75">
      <c r="B40" t="s">
        <v>22</v>
      </c>
      <c r="L40" s="28"/>
      <c r="M40" s="24"/>
      <c r="N40" s="29"/>
      <c r="O40" s="24"/>
      <c r="P40" s="24"/>
      <c r="Q40" s="24"/>
    </row>
    <row r="41" spans="1:17" ht="12.75">
      <c r="A41" t="s">
        <v>38</v>
      </c>
      <c r="B41" t="s">
        <v>35</v>
      </c>
      <c r="C41" s="2">
        <v>10600</v>
      </c>
      <c r="F41" s="2">
        <v>6806.34</v>
      </c>
      <c r="G41" s="2">
        <v>2041.9</v>
      </c>
      <c r="H41" s="3">
        <f>+G41/C41</f>
        <v>0.1926320754716981</v>
      </c>
      <c r="J41" s="2">
        <f>+C41/12</f>
        <v>883.3333333333334</v>
      </c>
      <c r="L41" s="24">
        <f>+F41-G41</f>
        <v>4764.4400000000005</v>
      </c>
      <c r="M41" s="24">
        <f>+L41/12</f>
        <v>397.0366666666667</v>
      </c>
      <c r="N41" s="29"/>
      <c r="O41" s="24"/>
      <c r="P41" s="24"/>
      <c r="Q41" s="24"/>
    </row>
    <row r="42" spans="12:17" ht="12.75">
      <c r="L42" s="28"/>
      <c r="M42" s="24"/>
      <c r="N42" s="29"/>
      <c r="O42" s="24"/>
      <c r="P42" s="24"/>
      <c r="Q42" s="24"/>
    </row>
    <row r="43" spans="2:17" ht="12.75">
      <c r="B43" t="s">
        <v>23</v>
      </c>
      <c r="C43" s="2">
        <v>533</v>
      </c>
      <c r="F43" s="2">
        <v>856.44</v>
      </c>
      <c r="G43" s="2">
        <v>257.79</v>
      </c>
      <c r="H43" s="3">
        <f>+G43/C43</f>
        <v>0.4836585365853659</v>
      </c>
      <c r="J43" s="2">
        <f>+C43/12</f>
        <v>44.416666666666664</v>
      </c>
      <c r="L43" s="24">
        <f>+F43-G43</f>
        <v>598.6500000000001</v>
      </c>
      <c r="M43" s="24">
        <f>+L43/12</f>
        <v>49.88750000000001</v>
      </c>
      <c r="N43" s="29"/>
      <c r="O43" s="24"/>
      <c r="P43" s="24"/>
      <c r="Q43" s="24"/>
    </row>
    <row r="44" spans="12:17" ht="12.75">
      <c r="L44" s="28"/>
      <c r="M44" s="24"/>
      <c r="N44" s="29"/>
      <c r="O44" s="24"/>
      <c r="P44" s="24"/>
      <c r="Q44" s="24"/>
    </row>
    <row r="45" spans="1:17" ht="13.5" thickBot="1">
      <c r="A45" s="13"/>
      <c r="B45" s="13" t="s">
        <v>24</v>
      </c>
      <c r="C45" s="14">
        <f>SUM(C9:C43)</f>
        <v>1007498</v>
      </c>
      <c r="D45" s="14">
        <f>SUM(D9:D43)</f>
        <v>207886417</v>
      </c>
      <c r="E45" s="14"/>
      <c r="F45" s="14">
        <f>SUM(F9:F43)</f>
        <v>1226572</v>
      </c>
      <c r="G45" s="14">
        <f>SUM(G9:G43)</f>
        <v>686807.72</v>
      </c>
      <c r="H45" s="26"/>
      <c r="I45" s="20"/>
      <c r="J45" s="14"/>
      <c r="K45" s="14"/>
      <c r="L45" s="14">
        <f>SUM(L9:L43)</f>
        <v>539764.2799999999</v>
      </c>
      <c r="M45" s="14">
        <f>SUM(M9:M43)</f>
        <v>44980.35666666667</v>
      </c>
      <c r="N45" s="29"/>
      <c r="O45" s="24"/>
      <c r="P45" s="24"/>
      <c r="Q45" s="24"/>
    </row>
    <row r="46" spans="12:17" ht="12.75">
      <c r="L46" s="28"/>
      <c r="M46" s="24"/>
      <c r="N46" s="29"/>
      <c r="O46" s="24"/>
      <c r="P46" s="24"/>
      <c r="Q46" s="24"/>
    </row>
    <row r="47" spans="2:17" ht="12.75">
      <c r="B47" t="s">
        <v>39</v>
      </c>
      <c r="C47" s="2">
        <f>849437+39294+22870+84764+533+10600</f>
        <v>1007498</v>
      </c>
      <c r="D47" s="2">
        <f>125399384+70701786+4099937+7685310</f>
        <v>207886417</v>
      </c>
      <c r="F47" s="2">
        <f>1196374+6155+24043</f>
        <v>1226572</v>
      </c>
      <c r="G47" s="2">
        <f>290454.37+106837.66+220631.2+19393.75+16075.98+8508.88+257.79+2041.9+22359.99+246.2</f>
        <v>686807.72</v>
      </c>
      <c r="J47" s="2">
        <f>SUM(J9:J44)</f>
        <v>83958.16666666667</v>
      </c>
      <c r="K47" s="2">
        <f>SUM(K9:K44)</f>
        <v>17323868.083333332</v>
      </c>
      <c r="L47" s="24">
        <f>290454.37+106837.66+94556.23+8311.61+6889.7+19759.82+598.65+4764.44+1683.01+5908.8</f>
        <v>539764.29</v>
      </c>
      <c r="M47" s="24">
        <f>+M45</f>
        <v>44980.35666666667</v>
      </c>
      <c r="N47" s="29"/>
      <c r="O47" s="24"/>
      <c r="P47" s="24"/>
      <c r="Q47" s="24"/>
    </row>
    <row r="48" spans="10:17" ht="12.75">
      <c r="J48" s="2" t="s">
        <v>50</v>
      </c>
      <c r="K48" s="2" t="s">
        <v>50</v>
      </c>
      <c r="L48" s="28"/>
      <c r="M48" s="2" t="s">
        <v>50</v>
      </c>
      <c r="N48" s="29"/>
      <c r="O48" s="24"/>
      <c r="P48" s="24"/>
      <c r="Q48" s="24"/>
    </row>
    <row r="49" spans="3:17" ht="13.5" thickBot="1">
      <c r="C49" s="2">
        <f>+C47-C45</f>
        <v>0</v>
      </c>
      <c r="D49" s="2">
        <f>+D47-D45</f>
        <v>0</v>
      </c>
      <c r="F49" s="2">
        <f>+F47-F45</f>
        <v>0</v>
      </c>
      <c r="J49" s="25">
        <f>+J47*12</f>
        <v>1007498</v>
      </c>
      <c r="K49" s="25">
        <f>+K47*12</f>
        <v>207886417</v>
      </c>
      <c r="L49" s="28"/>
      <c r="M49" s="25">
        <f>+M47*12</f>
        <v>539764.28</v>
      </c>
      <c r="N49" s="29"/>
      <c r="O49" s="24"/>
      <c r="P49" s="24"/>
      <c r="Q49" s="24"/>
    </row>
    <row r="50" spans="12:17" ht="13.5" thickTop="1">
      <c r="L50" s="28"/>
      <c r="M50" s="24"/>
      <c r="N50" s="29"/>
      <c r="O50" s="24"/>
      <c r="P50" s="24"/>
      <c r="Q50" s="24"/>
    </row>
    <row r="51" spans="14:17" ht="12.75">
      <c r="N51" s="29"/>
      <c r="O51" s="24"/>
      <c r="P51" s="24"/>
      <c r="Q51" s="24"/>
    </row>
    <row r="52" spans="12:17" ht="12.75">
      <c r="L52" s="28"/>
      <c r="M52" s="24"/>
      <c r="N52" s="29"/>
      <c r="O52" s="24"/>
      <c r="P52" s="24"/>
      <c r="Q52" s="24"/>
    </row>
    <row r="53" spans="12:17" ht="12.75">
      <c r="L53" s="28"/>
      <c r="M53" s="24"/>
      <c r="N53" s="29"/>
      <c r="O53" s="24"/>
      <c r="P53" s="24"/>
      <c r="Q53" s="24"/>
    </row>
    <row r="54" spans="12:17" ht="12.75">
      <c r="L54" s="28"/>
      <c r="M54" s="24"/>
      <c r="N54" s="29"/>
      <c r="O54" s="24"/>
      <c r="P54" s="24"/>
      <c r="Q54" s="24"/>
    </row>
    <row r="55" spans="12:17" ht="12.75">
      <c r="L55" s="28"/>
      <c r="M55" s="24"/>
      <c r="N55" s="29"/>
      <c r="O55" s="24"/>
      <c r="P55" s="24"/>
      <c r="Q55" s="24"/>
    </row>
    <row r="56" spans="12:17" ht="12.75">
      <c r="L56" s="28"/>
      <c r="M56" s="24"/>
      <c r="N56" s="29"/>
      <c r="O56" s="24"/>
      <c r="P56" s="24"/>
      <c r="Q56" s="24"/>
    </row>
    <row r="57" spans="12:17" ht="12.75">
      <c r="L57" s="28"/>
      <c r="M57" s="24"/>
      <c r="N57" s="29"/>
      <c r="O57" s="24"/>
      <c r="P57" s="24"/>
      <c r="Q57" s="24"/>
    </row>
    <row r="58" spans="12:17" ht="12.75">
      <c r="L58" s="28"/>
      <c r="M58" s="24"/>
      <c r="N58" s="29"/>
      <c r="O58" s="24"/>
      <c r="P58" s="24"/>
      <c r="Q58" s="24"/>
    </row>
    <row r="59" spans="12:17" ht="12.75">
      <c r="L59" s="28"/>
      <c r="M59" s="24"/>
      <c r="N59" s="29"/>
      <c r="O59" s="24"/>
      <c r="P59" s="24"/>
      <c r="Q59" s="24"/>
    </row>
    <row r="60" spans="12:17" ht="12.75">
      <c r="L60" s="28"/>
      <c r="M60" s="24"/>
      <c r="N60" s="29"/>
      <c r="O60" s="24"/>
      <c r="P60" s="24"/>
      <c r="Q60" s="24"/>
    </row>
    <row r="61" spans="12:17" ht="12.75">
      <c r="L61" s="28"/>
      <c r="M61" s="24"/>
      <c r="N61" s="29"/>
      <c r="O61" s="24"/>
      <c r="P61" s="24"/>
      <c r="Q61" s="24"/>
    </row>
    <row r="62" spans="12:17" ht="12.75">
      <c r="L62" s="28"/>
      <c r="M62" s="24"/>
      <c r="N62" s="29"/>
      <c r="O62" s="24"/>
      <c r="P62" s="24"/>
      <c r="Q62" s="24"/>
    </row>
    <row r="63" spans="12:17" ht="12.75">
      <c r="L63" s="28"/>
      <c r="M63" s="24"/>
      <c r="N63" s="29"/>
      <c r="O63" s="24"/>
      <c r="P63" s="24"/>
      <c r="Q63" s="24"/>
    </row>
    <row r="64" spans="12:17" ht="12.75">
      <c r="L64" s="28"/>
      <c r="M64" s="24"/>
      <c r="N64" s="29"/>
      <c r="O64" s="24"/>
      <c r="P64" s="24"/>
      <c r="Q64" s="24"/>
    </row>
    <row r="65" spans="12:17" ht="12.75">
      <c r="L65" s="28"/>
      <c r="M65" s="24"/>
      <c r="N65" s="29"/>
      <c r="O65" s="24"/>
      <c r="P65" s="24"/>
      <c r="Q65" s="24"/>
    </row>
    <row r="66" spans="12:17" ht="12.75">
      <c r="L66" s="28"/>
      <c r="M66" s="24"/>
      <c r="N66" s="29"/>
      <c r="O66" s="24"/>
      <c r="P66" s="24"/>
      <c r="Q66" s="24"/>
    </row>
    <row r="67" spans="12:17" ht="12.75">
      <c r="L67" s="28"/>
      <c r="M67" s="24"/>
      <c r="N67" s="29"/>
      <c r="O67" s="24"/>
      <c r="P67" s="24"/>
      <c r="Q67" s="24"/>
    </row>
    <row r="68" spans="12:17" ht="12.75">
      <c r="L68" s="28"/>
      <c r="M68" s="24"/>
      <c r="N68" s="29"/>
      <c r="O68" s="24"/>
      <c r="P68" s="24"/>
      <c r="Q68" s="24"/>
    </row>
    <row r="69" spans="12:17" ht="12.75">
      <c r="L69" s="28"/>
      <c r="M69" s="24"/>
      <c r="N69" s="29"/>
      <c r="O69" s="24"/>
      <c r="P69" s="24"/>
      <c r="Q69" s="24"/>
    </row>
    <row r="70" spans="12:17" ht="12.75">
      <c r="L70" s="28"/>
      <c r="M70" s="24"/>
      <c r="N70" s="29"/>
      <c r="O70" s="24"/>
      <c r="P70" s="24"/>
      <c r="Q70" s="24"/>
    </row>
    <row r="71" spans="12:17" ht="12.75">
      <c r="L71" s="28"/>
      <c r="M71" s="24"/>
      <c r="N71" s="29"/>
      <c r="O71" s="24"/>
      <c r="P71" s="24"/>
      <c r="Q71" s="24"/>
    </row>
    <row r="72" spans="12:17" ht="12.75">
      <c r="L72" s="28"/>
      <c r="M72" s="24"/>
      <c r="N72" s="29"/>
      <c r="O72" s="24"/>
      <c r="P72" s="24"/>
      <c r="Q72" s="24"/>
    </row>
    <row r="73" spans="12:17" ht="12.75">
      <c r="L73" s="28"/>
      <c r="M73" s="24"/>
      <c r="N73" s="29"/>
      <c r="O73" s="24"/>
      <c r="P73" s="24"/>
      <c r="Q73" s="24"/>
    </row>
    <row r="74" spans="12:17" ht="12.75">
      <c r="L74" s="28"/>
      <c r="M74" s="24"/>
      <c r="N74" s="29"/>
      <c r="O74" s="24"/>
      <c r="P74" s="24"/>
      <c r="Q74" s="24"/>
    </row>
    <row r="75" spans="12:17" ht="12.75">
      <c r="L75" s="28"/>
      <c r="M75" s="24"/>
      <c r="N75" s="29"/>
      <c r="O75" s="24"/>
      <c r="P75" s="24"/>
      <c r="Q75" s="24"/>
    </row>
    <row r="76" spans="12:17" ht="12.75">
      <c r="L76" s="28"/>
      <c r="M76" s="24"/>
      <c r="N76" s="29"/>
      <c r="O76" s="24"/>
      <c r="P76" s="24"/>
      <c r="Q76" s="24"/>
    </row>
    <row r="77" spans="12:17" ht="12.75">
      <c r="L77" s="28"/>
      <c r="M77" s="24"/>
      <c r="N77" s="29"/>
      <c r="O77" s="24"/>
      <c r="P77" s="24"/>
      <c r="Q77" s="24"/>
    </row>
    <row r="78" spans="12:17" ht="12.75">
      <c r="L78" s="28"/>
      <c r="M78" s="24"/>
      <c r="N78" s="29"/>
      <c r="O78" s="24"/>
      <c r="P78" s="24"/>
      <c r="Q78" s="24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B6">
      <selection activeCell="C47" sqref="C4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154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f>11942619*1.75</f>
        <v>20899583.25</v>
      </c>
      <c r="G9" s="2">
        <f>132815003/12</f>
        <v>11067916.916666666</v>
      </c>
      <c r="I9" s="2">
        <f>+D9-G9</f>
        <v>9831666.333333334</v>
      </c>
      <c r="J9" s="28"/>
      <c r="K9" s="51">
        <v>0.005341</v>
      </c>
      <c r="L9" s="2">
        <f>+K9*D9</f>
        <v>111624.67413825</v>
      </c>
      <c r="M9" s="24">
        <v>0</v>
      </c>
      <c r="N9" s="24">
        <f>+L9+M9</f>
        <v>111624.67413825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f>908535*1.75</f>
        <v>1589936.25</v>
      </c>
      <c r="G10" s="2">
        <f>8045508/12</f>
        <v>670459</v>
      </c>
      <c r="I10" s="2">
        <f>+D10-G10</f>
        <v>919477.25</v>
      </c>
      <c r="J10" s="28"/>
      <c r="K10" s="51">
        <v>0.002988</v>
      </c>
      <c r="L10" s="2">
        <f>+K10*D10</f>
        <v>4750.729515</v>
      </c>
      <c r="M10" s="24">
        <v>0</v>
      </c>
      <c r="N10" s="24">
        <f>+L10+M10</f>
        <v>4750.729515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f>413707*1.75</f>
        <v>723987.25</v>
      </c>
      <c r="G11" s="2">
        <f>4425148/12</f>
        <v>368762.3333333333</v>
      </c>
      <c r="I11" s="2">
        <f>+D11-G11</f>
        <v>355224.9166666667</v>
      </c>
      <c r="J11" s="28"/>
      <c r="K11" s="51">
        <v>0.001391</v>
      </c>
      <c r="L11" s="2">
        <f>+K11*D11</f>
        <v>1007.0662647500001</v>
      </c>
      <c r="M11" s="24">
        <v>0</v>
      </c>
      <c r="N11" s="24">
        <f>+L11+M11</f>
        <v>1007.0662647500001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6260263*1.75</f>
        <v>10955460.25</v>
      </c>
      <c r="G15" s="2">
        <f>71517111/12</f>
        <v>5959759.25</v>
      </c>
      <c r="I15" s="2">
        <f>+D15-G15</f>
        <v>4995701</v>
      </c>
      <c r="J15" s="28"/>
      <c r="K15" s="51">
        <v>0.003241</v>
      </c>
      <c r="L15" s="2">
        <f>+K15*D15</f>
        <v>35506.64667025</v>
      </c>
      <c r="M15" s="24">
        <v>0</v>
      </c>
      <c r="N15" s="24">
        <f>+L15+M15</f>
        <v>35506.64667025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f>77757*1.75</f>
        <v>136074.75</v>
      </c>
      <c r="G16" s="2">
        <f>+'[1]PILRecoveryAmt'!K16</f>
        <v>0</v>
      </c>
      <c r="I16" s="2">
        <f>+D16-G16</f>
        <v>136074.75</v>
      </c>
      <c r="J16" s="28"/>
      <c r="K16" s="51">
        <v>0.003241</v>
      </c>
      <c r="L16" s="2">
        <f>+K16*D16</f>
        <v>441.01826475</v>
      </c>
      <c r="M16" s="24">
        <f>+'2002PILRecoveryAmt'!M16</f>
        <v>0</v>
      </c>
      <c r="N16" s="24">
        <f>+L16+M16</f>
        <v>441.01826475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D17" s="2">
        <f>48285*1.75</f>
        <v>84498.75</v>
      </c>
      <c r="G17" s="2">
        <f>+'[1]PILRecoveryAmt'!K17</f>
        <v>0</v>
      </c>
      <c r="I17" s="2">
        <f>+D17-G17</f>
        <v>84498.75</v>
      </c>
      <c r="J17" s="28"/>
      <c r="K17" s="51">
        <v>0.003241</v>
      </c>
      <c r="L17" s="2">
        <f>+K17*D17</f>
        <v>273.86044875</v>
      </c>
      <c r="M17" s="24">
        <f>+'2002PILRecoveryAmt'!M17</f>
        <v>0</v>
      </c>
      <c r="N17" s="24">
        <f>+L17+M17</f>
        <v>273.86044875</v>
      </c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f>13532.91*1.75</f>
        <v>23682.5925</v>
      </c>
      <c r="F22" s="2">
        <f>850185/12</f>
        <v>70848.75</v>
      </c>
      <c r="H22" s="2">
        <f>+C22-F22</f>
        <v>-47166.1575</v>
      </c>
      <c r="J22" s="28"/>
      <c r="K22" s="51">
        <v>0.221506</v>
      </c>
      <c r="L22" s="2">
        <f>+K22*C22</f>
        <v>5245.836334305</v>
      </c>
      <c r="M22" s="24">
        <v>0</v>
      </c>
      <c r="N22" s="24">
        <f>+L22+M22</f>
        <v>5245.836334305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f>16098.79*1.75</f>
        <v>28172.8825</v>
      </c>
      <c r="H23" s="2">
        <f>+C23-F23</f>
        <v>28172.8825</v>
      </c>
      <c r="J23" s="28"/>
      <c r="K23" s="51">
        <v>0.221506</v>
      </c>
      <c r="L23" s="2">
        <f>+K23*C23</f>
        <v>6240.462511045001</v>
      </c>
      <c r="M23" s="24">
        <f>+'2002PILRecoveryAmt'!M23</f>
        <v>0</v>
      </c>
      <c r="N23" s="24">
        <f>+L23+M23</f>
        <v>6240.462511045001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f>37581.97*1.75</f>
        <v>65768.44750000001</v>
      </c>
      <c r="H24" s="2">
        <f>+C24-F24</f>
        <v>65768.44750000001</v>
      </c>
      <c r="J24" s="28"/>
      <c r="K24" s="51">
        <v>0.221506</v>
      </c>
      <c r="L24" s="2">
        <f>+K24*C24</f>
        <v>14568.105731935002</v>
      </c>
      <c r="M24" s="24">
        <f>+'2002PILRecoveryAmt'!M24</f>
        <v>0</v>
      </c>
      <c r="N24" s="24">
        <f>+L24+M24</f>
        <v>14568.105731935002</v>
      </c>
      <c r="O24" s="24"/>
      <c r="Q24" s="22"/>
      <c r="R24" s="22"/>
    </row>
    <row r="25" spans="1:15" ht="12.75">
      <c r="A25" t="s">
        <v>104</v>
      </c>
      <c r="C25" s="2">
        <f>(403.96+1783.07)*1.75</f>
        <v>3827.3025</v>
      </c>
      <c r="H25" s="2">
        <f>+C25-F25</f>
        <v>3827.3025</v>
      </c>
      <c r="J25" s="28"/>
      <c r="K25" s="51">
        <v>0.221506</v>
      </c>
      <c r="L25" s="2">
        <f>+K25*C25</f>
        <v>847.770467565</v>
      </c>
      <c r="M25" s="24">
        <f>+'2002PILRecoveryAmt'!M25</f>
        <v>0</v>
      </c>
      <c r="N25" s="24">
        <f>+L25+M25</f>
        <v>847.770467565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f>6361.04*1.75</f>
        <v>11131.82</v>
      </c>
      <c r="F30" s="2">
        <f>86687/12</f>
        <v>7223.916666666667</v>
      </c>
      <c r="H30" s="2">
        <f>+C30-F30</f>
        <v>3907.9033333333327</v>
      </c>
      <c r="J30" s="28"/>
      <c r="K30" s="51">
        <v>0.064863</v>
      </c>
      <c r="L30" s="2">
        <f>+K30*C30</f>
        <v>722.04324066</v>
      </c>
      <c r="M30" s="24">
        <v>0</v>
      </c>
      <c r="N30" s="24">
        <f>+L30+M30</f>
        <v>722.04324066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f>2995.2*1.75</f>
        <v>5241.599999999999</v>
      </c>
      <c r="F34" s="2">
        <f>38916/12</f>
        <v>3243</v>
      </c>
      <c r="H34" s="2">
        <f>+C34-F34</f>
        <v>1998.5999999999995</v>
      </c>
      <c r="J34" s="28"/>
      <c r="K34" s="51">
        <v>0.615519</v>
      </c>
      <c r="L34" s="2">
        <f>+K34*C34</f>
        <v>3226.3043903999996</v>
      </c>
      <c r="M34" s="24">
        <v>0</v>
      </c>
      <c r="N34" s="24">
        <f>+L34+M34</f>
        <v>3226.3043903999996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f>577.52*1.75</f>
        <v>1010.66</v>
      </c>
      <c r="F37" s="2">
        <v>2125.5833333333335</v>
      </c>
      <c r="H37" s="2">
        <f>+C37-F37</f>
        <v>-1114.9233333333336</v>
      </c>
      <c r="J37" s="28"/>
      <c r="K37" s="51">
        <v>1.163755</v>
      </c>
      <c r="L37" s="2">
        <f>+K37*C37</f>
        <v>1176.1606283</v>
      </c>
      <c r="M37" s="24">
        <v>0</v>
      </c>
      <c r="N37" s="24">
        <f>+L37+M37</f>
        <v>1176.1606283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f>879.24*1.75</f>
        <v>1538.67</v>
      </c>
      <c r="D41" s="2">
        <v>0</v>
      </c>
      <c r="F41" s="2">
        <v>873.0833333333334</v>
      </c>
      <c r="H41" s="2">
        <f>+C41-F41</f>
        <v>665.5866666666667</v>
      </c>
      <c r="J41" s="28"/>
      <c r="K41" s="51">
        <v>0.631601</v>
      </c>
      <c r="L41" s="2">
        <f>+K41*C41</f>
        <v>971.82551067</v>
      </c>
      <c r="M41" s="24">
        <v>0</v>
      </c>
      <c r="N41" s="24">
        <f>+L41+M41</f>
        <v>971.82551067</v>
      </c>
      <c r="O41" s="24"/>
    </row>
    <row r="42" spans="3:15" ht="12.75">
      <c r="C42" s="2" t="s">
        <v>53</v>
      </c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(13194.15+174)/360*1.75</f>
        <v>64.9840625</v>
      </c>
      <c r="D43" s="2">
        <v>0</v>
      </c>
      <c r="F43" s="2">
        <v>44.666666666666664</v>
      </c>
      <c r="H43" s="2">
        <f>+C43-F43</f>
        <v>20.31739583333333</v>
      </c>
      <c r="J43" s="28"/>
      <c r="K43" s="51">
        <v>1.80177</v>
      </c>
      <c r="L43" s="2">
        <f>+K43*C43</f>
        <v>117.08633429062499</v>
      </c>
      <c r="M43" s="24">
        <v>0</v>
      </c>
      <c r="N43" s="24">
        <f>+L43+M43</f>
        <v>117.08633429062499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140438.95906250004</v>
      </c>
      <c r="D45" s="14">
        <f>SUM(D9:D44)</f>
        <v>34389540.5</v>
      </c>
      <c r="E45" s="14"/>
      <c r="F45" s="14">
        <f>SUM(F9:F43)</f>
        <v>84359</v>
      </c>
      <c r="G45" s="14">
        <f>SUM(G9:G43)</f>
        <v>18066897.5</v>
      </c>
      <c r="H45" s="14">
        <f>SUM(H9:H44)</f>
        <v>56079.95906250001</v>
      </c>
      <c r="I45" s="14">
        <f>SUM(I9:I43)</f>
        <v>16322643</v>
      </c>
      <c r="J45" s="28"/>
      <c r="K45" s="52"/>
      <c r="L45" s="14">
        <f>SUM(L9:L43)</f>
        <v>186719.5904509206</v>
      </c>
      <c r="M45" s="14">
        <f>SUM(M9:M43)</f>
        <v>0</v>
      </c>
      <c r="N45" s="14">
        <f>SUM(N9:N43)</f>
        <v>186719.5904509206</v>
      </c>
      <c r="O45" s="24"/>
    </row>
    <row r="46" spans="3:15" ht="12.75">
      <c r="C46" s="2">
        <v>80213.7</v>
      </c>
      <c r="D46" s="2">
        <v>19651166</v>
      </c>
      <c r="G46" s="2"/>
      <c r="H46" s="2">
        <f>+C45-F45</f>
        <v>56079.95906250004</v>
      </c>
      <c r="I46" s="2">
        <f>+D45-G45</f>
        <v>16322643</v>
      </c>
      <c r="J46" s="28"/>
      <c r="K46" s="51"/>
      <c r="L46" s="2"/>
      <c r="M46" s="24"/>
      <c r="N46" s="24"/>
      <c r="O46" s="24"/>
    </row>
    <row r="47" spans="3:15" ht="13.5" thickBot="1">
      <c r="C47" s="25">
        <f>+C45-C46</f>
        <v>60225.259062500045</v>
      </c>
      <c r="D47" s="25">
        <f>+D45-D46</f>
        <v>14738374.5</v>
      </c>
      <c r="E47" s="2" t="s">
        <v>138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Top="1">
      <c r="C48" s="24"/>
      <c r="D48" s="24"/>
      <c r="H48" s="24"/>
      <c r="I48" s="24"/>
      <c r="J48" s="28"/>
      <c r="K48" s="24"/>
      <c r="L48" s="29"/>
      <c r="M48" s="24"/>
      <c r="N48" s="24"/>
      <c r="O48" s="24"/>
    </row>
    <row r="49" spans="8:15" ht="12.75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33">
      <selection activeCell="F49" sqref="F49:J4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153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f>26960265/2</f>
        <v>13480132.5</v>
      </c>
      <c r="G9" s="2">
        <f>132815003/12</f>
        <v>11067916.916666666</v>
      </c>
      <c r="I9" s="2">
        <f>+D9-G9</f>
        <v>2412215.583333334</v>
      </c>
      <c r="J9" s="28"/>
      <c r="K9" s="51">
        <v>0.005341</v>
      </c>
      <c r="L9" s="2">
        <f>+K9*D9</f>
        <v>71997.3876825</v>
      </c>
      <c r="M9" s="24">
        <v>0</v>
      </c>
      <c r="N9" s="24">
        <f>+L9+M9</f>
        <v>71997.3876825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f>1564822/2</f>
        <v>782411</v>
      </c>
      <c r="G10" s="2">
        <f>8045508/12</f>
        <v>670459</v>
      </c>
      <c r="I10" s="2">
        <f>+D10-G10</f>
        <v>111952</v>
      </c>
      <c r="J10" s="28"/>
      <c r="K10" s="51">
        <v>0.002988</v>
      </c>
      <c r="L10" s="2">
        <f>+K10*D10</f>
        <v>2337.8440680000003</v>
      </c>
      <c r="M10" s="24">
        <v>0</v>
      </c>
      <c r="N10" s="24">
        <f>+L10+M10</f>
        <v>2337.8440680000003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f>884431/2</f>
        <v>442215.5</v>
      </c>
      <c r="G11" s="2">
        <f>4425148/12</f>
        <v>368762.3333333333</v>
      </c>
      <c r="I11" s="2">
        <f>+D11-G11</f>
        <v>73453.16666666669</v>
      </c>
      <c r="J11" s="28"/>
      <c r="K11" s="51">
        <v>0.001391</v>
      </c>
      <c r="L11" s="2">
        <f>+K11*D11</f>
        <v>615.1217605</v>
      </c>
      <c r="M11" s="24">
        <v>0</v>
      </c>
      <c r="N11" s="24">
        <f>+L11+M11</f>
        <v>615.1217605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13075477/2</f>
        <v>6537738.5</v>
      </c>
      <c r="G15" s="2">
        <f>71517111/12</f>
        <v>5959759.25</v>
      </c>
      <c r="I15" s="2">
        <f>+D15-G15</f>
        <v>577979.25</v>
      </c>
      <c r="J15" s="28"/>
      <c r="K15" s="51">
        <v>0.003241</v>
      </c>
      <c r="L15" s="2">
        <f>+K15*D15</f>
        <v>21188.8104785</v>
      </c>
      <c r="M15" s="24">
        <v>0</v>
      </c>
      <c r="N15" s="24">
        <f>+L15+M15</f>
        <v>21188.8104785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f>154753/2</f>
        <v>77376.5</v>
      </c>
      <c r="G16" s="2">
        <f>+'[1]PILRecoveryAmt'!K16</f>
        <v>0</v>
      </c>
      <c r="I16" s="2">
        <f>+D16-G16</f>
        <v>77376.5</v>
      </c>
      <c r="J16" s="28"/>
      <c r="K16" s="51">
        <v>0.003241</v>
      </c>
      <c r="L16" s="2">
        <f>+K16*D16</f>
        <v>250.7772365</v>
      </c>
      <c r="M16" s="24">
        <f>+'2002PILRecoveryAmt'!M16</f>
        <v>0</v>
      </c>
      <c r="N16" s="24">
        <f>+L16+M16</f>
        <v>250.7772365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D17" s="2">
        <f>97432/2</f>
        <v>48716</v>
      </c>
      <c r="G17" s="2">
        <f>+'[1]PILRecoveryAmt'!K17</f>
        <v>0</v>
      </c>
      <c r="I17" s="2">
        <f>+D17-G17</f>
        <v>48716</v>
      </c>
      <c r="J17" s="28"/>
      <c r="K17" s="51">
        <v>0.003241</v>
      </c>
      <c r="L17" s="2">
        <f>+K17*D17</f>
        <v>157.888556</v>
      </c>
      <c r="M17" s="24">
        <f>+'2002PILRecoveryAmt'!M17</f>
        <v>0</v>
      </c>
      <c r="N17" s="24">
        <f>+L17+M17</f>
        <v>157.888556</v>
      </c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f>27231.11/2</f>
        <v>13615.555</v>
      </c>
      <c r="F22" s="2">
        <f>850185/12</f>
        <v>70848.75</v>
      </c>
      <c r="H22" s="2">
        <f>+C22-F22</f>
        <v>-57233.195</v>
      </c>
      <c r="J22" s="28"/>
      <c r="K22" s="51">
        <v>0.221506</v>
      </c>
      <c r="L22" s="2">
        <f>+K22*C22</f>
        <v>3015.92712583</v>
      </c>
      <c r="M22" s="24">
        <v>0</v>
      </c>
      <c r="N22" s="24">
        <f>+L22+M22</f>
        <v>3015.92712583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f>32874.73/2</f>
        <v>16437.365</v>
      </c>
      <c r="H23" s="2">
        <f>+C23-F23</f>
        <v>16437.365</v>
      </c>
      <c r="J23" s="28"/>
      <c r="K23" s="51">
        <v>0.221506</v>
      </c>
      <c r="L23" s="2">
        <f>+K23*C23</f>
        <v>3640.9749716900005</v>
      </c>
      <c r="M23" s="24">
        <f>+'2002PILRecoveryAmt'!M23</f>
        <v>0</v>
      </c>
      <c r="N23" s="24">
        <f>+L23+M23</f>
        <v>3640.9749716900005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f>72778.92/2</f>
        <v>36389.46</v>
      </c>
      <c r="H24" s="2">
        <f>+C24-F24</f>
        <v>36389.46</v>
      </c>
      <c r="J24" s="28"/>
      <c r="K24" s="51">
        <v>0.221506</v>
      </c>
      <c r="L24" s="2">
        <f>+K24*C24</f>
        <v>8060.4837267600005</v>
      </c>
      <c r="M24" s="24">
        <f>+'2002PILRecoveryAmt'!M24</f>
        <v>0</v>
      </c>
      <c r="N24" s="24">
        <f>+L24+M24</f>
        <v>8060.4837267600005</v>
      </c>
      <c r="O24" s="24"/>
      <c r="Q24" s="22"/>
      <c r="R24" s="22"/>
    </row>
    <row r="25" spans="1:15" ht="12.75">
      <c r="A25" t="s">
        <v>104</v>
      </c>
      <c r="C25" s="2">
        <f>(827.1+3573.48)/2</f>
        <v>2200.29</v>
      </c>
      <c r="H25" s="2">
        <f>+C25-F25</f>
        <v>2200.29</v>
      </c>
      <c r="J25" s="28"/>
      <c r="K25" s="51">
        <v>0.221506</v>
      </c>
      <c r="L25" s="2">
        <f>+K25*C25</f>
        <v>487.37743674</v>
      </c>
      <c r="M25" s="24">
        <f>+'2002PILRecoveryAmt'!M25</f>
        <v>0</v>
      </c>
      <c r="N25" s="24">
        <f>+L25+M25</f>
        <v>487.37743674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f>12773.91/2</f>
        <v>6386.955</v>
      </c>
      <c r="F30" s="2">
        <f>86687/12</f>
        <v>7223.916666666667</v>
      </c>
      <c r="H30" s="2">
        <f>+C30-F30</f>
        <v>-836.961666666667</v>
      </c>
      <c r="J30" s="28"/>
      <c r="K30" s="51">
        <v>0.064863</v>
      </c>
      <c r="L30" s="2">
        <f>+K30*C30</f>
        <v>414.277062165</v>
      </c>
      <c r="M30" s="24">
        <v>0</v>
      </c>
      <c r="N30" s="24">
        <f>+L30+M30</f>
        <v>414.277062165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f>5820.83/2</f>
        <v>2910.415</v>
      </c>
      <c r="F34" s="2">
        <f>38916/12</f>
        <v>3243</v>
      </c>
      <c r="H34" s="2">
        <f>+C34-F34</f>
        <v>-332.58500000000004</v>
      </c>
      <c r="J34" s="28"/>
      <c r="K34" s="51">
        <v>0.615519</v>
      </c>
      <c r="L34" s="2">
        <f>+K34*C34</f>
        <v>1791.4157303850002</v>
      </c>
      <c r="M34" s="24">
        <v>0</v>
      </c>
      <c r="N34" s="24">
        <f>+L34+M34</f>
        <v>1791.4157303850002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f>725.41/2</f>
        <v>362.705</v>
      </c>
      <c r="F37" s="2">
        <v>2125.5833333333335</v>
      </c>
      <c r="H37" s="2">
        <f>+C37-F37</f>
        <v>-1762.8783333333336</v>
      </c>
      <c r="J37" s="28"/>
      <c r="K37" s="51">
        <v>1.163755</v>
      </c>
      <c r="L37" s="2">
        <f>+K37*C37</f>
        <v>422.099757275</v>
      </c>
      <c r="M37" s="24">
        <v>0</v>
      </c>
      <c r="N37" s="24">
        <f>+L37+M37</f>
        <v>422.099757275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f>1758.22/2</f>
        <v>879.11</v>
      </c>
      <c r="D41" s="2">
        <v>0</v>
      </c>
      <c r="F41" s="2">
        <v>873.0833333333334</v>
      </c>
      <c r="H41" s="2">
        <f>+C41-F41</f>
        <v>6.026666666666642</v>
      </c>
      <c r="J41" s="28"/>
      <c r="K41" s="51">
        <v>0.631601</v>
      </c>
      <c r="L41" s="2">
        <f>+K41*C41</f>
        <v>555.24675511</v>
      </c>
      <c r="M41" s="24">
        <v>0</v>
      </c>
      <c r="N41" s="24">
        <f>+L41+M41</f>
        <v>555.24675511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79218.98874999999</v>
      </c>
      <c r="D45" s="14">
        <f>SUM(D9:D44)</f>
        <v>21368590</v>
      </c>
      <c r="E45" s="14"/>
      <c r="F45" s="14">
        <f>SUM(F9:F43)</f>
        <v>84359</v>
      </c>
      <c r="G45" s="14">
        <f>SUM(G9:G43)</f>
        <v>18066897.5</v>
      </c>
      <c r="H45" s="14">
        <f>SUM(H9:H44)</f>
        <v>-5140.011250000003</v>
      </c>
      <c r="I45" s="14">
        <f>SUM(I9:I43)</f>
        <v>3301692.5000000005</v>
      </c>
      <c r="J45" s="28"/>
      <c r="K45" s="52"/>
      <c r="L45" s="14">
        <f>SUM(L9:L43)</f>
        <v>115002.5388246925</v>
      </c>
      <c r="M45" s="14">
        <f>SUM(M9:M43)</f>
        <v>0</v>
      </c>
      <c r="N45" s="14">
        <f>SUM(N9:N43)</f>
        <v>115002.5388246925</v>
      </c>
      <c r="O45" s="24"/>
    </row>
    <row r="46" spans="3:15" ht="12.75">
      <c r="C46" s="2">
        <v>158363.71</v>
      </c>
      <c r="D46" s="2">
        <v>42737180</v>
      </c>
      <c r="G46" s="2"/>
      <c r="H46" s="2">
        <f>+C45-F45</f>
        <v>-5140.0112500000105</v>
      </c>
      <c r="I46" s="2">
        <f>+D45-G45</f>
        <v>3301692.5</v>
      </c>
      <c r="J46" s="28"/>
      <c r="K46" s="51"/>
      <c r="L46" s="2"/>
      <c r="M46" s="24"/>
      <c r="N46" s="24"/>
      <c r="O46" s="24"/>
    </row>
    <row r="47" spans="3:15" ht="12.75">
      <c r="C47" s="2">
        <f>+C46/2</f>
        <v>79181.855</v>
      </c>
      <c r="D47" s="2">
        <f>+D46/2</f>
        <v>21368590</v>
      </c>
      <c r="E47" s="2" t="s">
        <v>138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+C45-C47</f>
        <v>37.1337499999936</v>
      </c>
      <c r="D48" s="25">
        <f>+D45-D47</f>
        <v>0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0">
      <selection activeCell="F12" sqref="F12:J1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151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f>26960265/2</f>
        <v>13480132.5</v>
      </c>
      <c r="G9" s="2">
        <f>132815003/12</f>
        <v>11067916.916666666</v>
      </c>
      <c r="I9" s="2">
        <f>+D9-G9</f>
        <v>2412215.583333334</v>
      </c>
      <c r="J9" s="28"/>
      <c r="K9" s="51">
        <v>0.005341</v>
      </c>
      <c r="L9" s="2">
        <f>+K9*D9</f>
        <v>71997.3876825</v>
      </c>
      <c r="M9" s="24">
        <v>0</v>
      </c>
      <c r="N9" s="24">
        <f>+L9+M9</f>
        <v>71997.3876825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f>1564822/2</f>
        <v>782411</v>
      </c>
      <c r="G10" s="2">
        <f>8045508/12</f>
        <v>670459</v>
      </c>
      <c r="I10" s="2">
        <f>+D10-G10</f>
        <v>111952</v>
      </c>
      <c r="J10" s="28"/>
      <c r="K10" s="51">
        <v>0.002988</v>
      </c>
      <c r="L10" s="2">
        <f>+K10*D10</f>
        <v>2337.8440680000003</v>
      </c>
      <c r="M10" s="24">
        <v>0</v>
      </c>
      <c r="N10" s="24">
        <f>+L10+M10</f>
        <v>2337.8440680000003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f>884431/2</f>
        <v>442215.5</v>
      </c>
      <c r="G11" s="2">
        <f>4425148/12</f>
        <v>368762.3333333333</v>
      </c>
      <c r="I11" s="2">
        <f>+D11-G11</f>
        <v>73453.16666666669</v>
      </c>
      <c r="J11" s="28"/>
      <c r="K11" s="51">
        <v>0.001391</v>
      </c>
      <c r="L11" s="2">
        <f>+K11*D11</f>
        <v>615.1217605</v>
      </c>
      <c r="M11" s="24">
        <v>0</v>
      </c>
      <c r="N11" s="24">
        <f>+L11+M11</f>
        <v>615.1217605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13075477/2</f>
        <v>6537738.5</v>
      </c>
      <c r="G15" s="2">
        <f>71517111/12</f>
        <v>5959759.25</v>
      </c>
      <c r="I15" s="2">
        <f>+D15-G15</f>
        <v>577979.25</v>
      </c>
      <c r="J15" s="28"/>
      <c r="K15" s="51">
        <v>0.003241</v>
      </c>
      <c r="L15" s="2">
        <f>+K15*D15</f>
        <v>21188.8104785</v>
      </c>
      <c r="M15" s="24">
        <v>0</v>
      </c>
      <c r="N15" s="24">
        <f>+L15+M15</f>
        <v>21188.8104785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f>154753/2</f>
        <v>77376.5</v>
      </c>
      <c r="G16" s="2">
        <f>+'[1]PILRecoveryAmt'!K16</f>
        <v>0</v>
      </c>
      <c r="I16" s="2">
        <f>+D16-G16</f>
        <v>77376.5</v>
      </c>
      <c r="J16" s="28"/>
      <c r="K16" s="51">
        <v>0.003241</v>
      </c>
      <c r="L16" s="2">
        <f>+K16*D16</f>
        <v>250.7772365</v>
      </c>
      <c r="M16" s="24">
        <f>+'2002PILRecoveryAmt'!M16</f>
        <v>0</v>
      </c>
      <c r="N16" s="24">
        <f>+L16+M16</f>
        <v>250.7772365</v>
      </c>
      <c r="O16" s="24"/>
      <c r="Q16" s="22"/>
      <c r="R16" s="22"/>
    </row>
    <row r="17" spans="1:18" ht="12.75">
      <c r="A17" t="s">
        <v>149</v>
      </c>
      <c r="B17" t="s">
        <v>17</v>
      </c>
      <c r="C17" s="2">
        <v>0</v>
      </c>
      <c r="D17" s="2">
        <f>97432/2</f>
        <v>48716</v>
      </c>
      <c r="G17" s="2">
        <f>+'[1]PILRecoveryAmt'!K17</f>
        <v>0</v>
      </c>
      <c r="I17" s="2">
        <f>+D17-G17</f>
        <v>48716</v>
      </c>
      <c r="J17" s="28"/>
      <c r="K17" s="51">
        <v>0.003241</v>
      </c>
      <c r="L17" s="2">
        <f>+K17*D17</f>
        <v>157.888556</v>
      </c>
      <c r="M17" s="24">
        <f>+'2002PILRecoveryAmt'!M17</f>
        <v>0</v>
      </c>
      <c r="N17" s="24">
        <f>+L17+M17</f>
        <v>157.888556</v>
      </c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f>27231.11/2</f>
        <v>13615.555</v>
      </c>
      <c r="F22" s="2">
        <f>850185/12</f>
        <v>70848.75</v>
      </c>
      <c r="H22" s="2">
        <f>+C22-F22</f>
        <v>-57233.195</v>
      </c>
      <c r="J22" s="28"/>
      <c r="K22" s="51">
        <v>0.221506</v>
      </c>
      <c r="L22" s="2">
        <f>+K22*C22</f>
        <v>3015.92712583</v>
      </c>
      <c r="M22" s="24">
        <v>0</v>
      </c>
      <c r="N22" s="24">
        <f>+L22+M22</f>
        <v>3015.92712583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f>32874.73/2</f>
        <v>16437.365</v>
      </c>
      <c r="H23" s="2">
        <f>+C23-F23</f>
        <v>16437.365</v>
      </c>
      <c r="J23" s="28"/>
      <c r="K23" s="51">
        <v>0.221506</v>
      </c>
      <c r="L23" s="2">
        <f>+K23*C23</f>
        <v>3640.9749716900005</v>
      </c>
      <c r="M23" s="24">
        <f>+'2002PILRecoveryAmt'!M23</f>
        <v>0</v>
      </c>
      <c r="N23" s="24">
        <f>+L23+M23</f>
        <v>3640.9749716900005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f>72778.92/2</f>
        <v>36389.46</v>
      </c>
      <c r="H24" s="2">
        <f>+C24-F24</f>
        <v>36389.46</v>
      </c>
      <c r="J24" s="28"/>
      <c r="K24" s="51">
        <v>0.221506</v>
      </c>
      <c r="L24" s="2">
        <f>+K24*C24</f>
        <v>8060.4837267600005</v>
      </c>
      <c r="M24" s="24">
        <f>+'2002PILRecoveryAmt'!M24</f>
        <v>0</v>
      </c>
      <c r="N24" s="24">
        <f>+L24+M24</f>
        <v>8060.4837267600005</v>
      </c>
      <c r="O24" s="24"/>
      <c r="Q24" s="22"/>
      <c r="R24" s="22"/>
    </row>
    <row r="25" spans="1:15" ht="12.75">
      <c r="A25" t="s">
        <v>104</v>
      </c>
      <c r="C25" s="2">
        <f>(827.1+3573.48)/2</f>
        <v>2200.29</v>
      </c>
      <c r="H25" s="2">
        <f>+C25-F25</f>
        <v>2200.29</v>
      </c>
      <c r="J25" s="28"/>
      <c r="K25" s="51">
        <v>0.221506</v>
      </c>
      <c r="L25" s="2">
        <f>+K25*C25</f>
        <v>487.37743674</v>
      </c>
      <c r="M25" s="24">
        <f>+'2002PILRecoveryAmt'!M25</f>
        <v>0</v>
      </c>
      <c r="N25" s="24">
        <f>+L25+M25</f>
        <v>487.37743674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f>12773.91/2</f>
        <v>6386.955</v>
      </c>
      <c r="F30" s="2">
        <f>86687/12</f>
        <v>7223.916666666667</v>
      </c>
      <c r="H30" s="2">
        <f>+C30-F30</f>
        <v>-836.961666666667</v>
      </c>
      <c r="J30" s="28"/>
      <c r="K30" s="51">
        <v>0.064863</v>
      </c>
      <c r="L30" s="2">
        <f>+K30*C30</f>
        <v>414.277062165</v>
      </c>
      <c r="M30" s="24">
        <v>0</v>
      </c>
      <c r="N30" s="24">
        <f>+L30+M30</f>
        <v>414.277062165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f>5820.83/2</f>
        <v>2910.415</v>
      </c>
      <c r="F34" s="2">
        <f>38916/12</f>
        <v>3243</v>
      </c>
      <c r="H34" s="2">
        <f>+C34-F34</f>
        <v>-332.58500000000004</v>
      </c>
      <c r="J34" s="28"/>
      <c r="K34" s="51">
        <v>0.615519</v>
      </c>
      <c r="L34" s="2">
        <f>+K34*C34</f>
        <v>1791.4157303850002</v>
      </c>
      <c r="M34" s="24">
        <v>0</v>
      </c>
      <c r="N34" s="24">
        <f>+L34+M34</f>
        <v>1791.4157303850002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f>725.41/2</f>
        <v>362.705</v>
      </c>
      <c r="F37" s="2">
        <v>2125.5833333333335</v>
      </c>
      <c r="H37" s="2">
        <f>+C37-F37</f>
        <v>-1762.8783333333336</v>
      </c>
      <c r="J37" s="28"/>
      <c r="K37" s="51">
        <v>1.163755</v>
      </c>
      <c r="L37" s="2">
        <f>+K37*C37</f>
        <v>422.099757275</v>
      </c>
      <c r="M37" s="24">
        <v>0</v>
      </c>
      <c r="N37" s="24">
        <f>+L37+M37</f>
        <v>422.099757275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f>1758.22/2</f>
        <v>879.11</v>
      </c>
      <c r="D41" s="2">
        <v>0</v>
      </c>
      <c r="F41" s="2">
        <v>873.0833333333334</v>
      </c>
      <c r="H41" s="2">
        <f>+C41-F41</f>
        <v>6.026666666666642</v>
      </c>
      <c r="J41" s="28"/>
      <c r="K41" s="51">
        <v>0.631601</v>
      </c>
      <c r="L41" s="2">
        <f>+K41*C41</f>
        <v>555.24675511</v>
      </c>
      <c r="M41" s="24">
        <v>0</v>
      </c>
      <c r="N41" s="24">
        <f>+L41+M41</f>
        <v>555.24675511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79218.98874999999</v>
      </c>
      <c r="D45" s="14">
        <f>SUM(D9:D44)</f>
        <v>21368590</v>
      </c>
      <c r="E45" s="14"/>
      <c r="F45" s="14">
        <f>SUM(F9:F43)</f>
        <v>84359</v>
      </c>
      <c r="G45" s="14">
        <f>SUM(G9:G43)</f>
        <v>18066897.5</v>
      </c>
      <c r="H45" s="14">
        <f>SUM(H9:H44)</f>
        <v>-5140.011250000003</v>
      </c>
      <c r="I45" s="14">
        <f>SUM(I9:I43)</f>
        <v>3301692.5000000005</v>
      </c>
      <c r="J45" s="28"/>
      <c r="K45" s="52"/>
      <c r="L45" s="14">
        <f>SUM(L9:L43)</f>
        <v>115002.5388246925</v>
      </c>
      <c r="M45" s="14">
        <f>SUM(M9:M43)</f>
        <v>0</v>
      </c>
      <c r="N45" s="14">
        <f>SUM(N9:N43)</f>
        <v>115002.5388246925</v>
      </c>
      <c r="O45" s="24"/>
    </row>
    <row r="46" spans="3:15" ht="12.75">
      <c r="C46" s="2">
        <v>158363.71</v>
      </c>
      <c r="D46" s="2">
        <v>42737180</v>
      </c>
      <c r="G46" s="2"/>
      <c r="H46" s="2">
        <f>+C45-F45</f>
        <v>-5140.0112500000105</v>
      </c>
      <c r="I46" s="2">
        <f>+D45-G45</f>
        <v>3301692.5</v>
      </c>
      <c r="J46" s="28"/>
      <c r="K46" s="51"/>
      <c r="L46" s="2"/>
      <c r="M46" s="24"/>
      <c r="N46" s="24"/>
      <c r="O46" s="24"/>
    </row>
    <row r="47" spans="3:15" ht="12.75">
      <c r="C47" s="2">
        <f>+C46/2</f>
        <v>79181.855</v>
      </c>
      <c r="D47" s="2">
        <f>+D46/2</f>
        <v>21368590</v>
      </c>
      <c r="E47" s="2" t="s">
        <v>138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+C45-C47</f>
        <v>37.1337499999936</v>
      </c>
      <c r="D48" s="25">
        <f>+D45-D47</f>
        <v>0</v>
      </c>
      <c r="H48" s="24"/>
      <c r="I48" s="24"/>
      <c r="J48" s="28"/>
      <c r="K48" s="24"/>
      <c r="L48" s="29"/>
      <c r="M48" s="24"/>
      <c r="N48" s="24"/>
      <c r="O48" s="24"/>
    </row>
    <row r="49" spans="4:15" ht="13.5" thickTop="1">
      <c r="D49" s="2">
        <f>+D47-D43</f>
        <v>21368590</v>
      </c>
      <c r="E49" s="2" t="s">
        <v>150</v>
      </c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4" sqref="F14:J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143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10708903</v>
      </c>
      <c r="G9" s="2">
        <f>132815003/12</f>
        <v>11067916.916666666</v>
      </c>
      <c r="I9" s="2">
        <f>+D9-G9</f>
        <v>-359013.91666666605</v>
      </c>
      <c r="J9" s="28"/>
      <c r="K9" s="51">
        <v>0.005341</v>
      </c>
      <c r="L9" s="2">
        <f>+K9*D9</f>
        <v>57196.250923</v>
      </c>
      <c r="M9" s="24">
        <v>0</v>
      </c>
      <c r="N9" s="24">
        <f>+L9+M9</f>
        <v>57196.250923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624967</v>
      </c>
      <c r="G10" s="2">
        <f>8045508/12</f>
        <v>670459</v>
      </c>
      <c r="I10" s="2">
        <f>+D10-G10</f>
        <v>-45492</v>
      </c>
      <c r="J10" s="28"/>
      <c r="K10" s="51">
        <v>0.002988</v>
      </c>
      <c r="L10" s="2">
        <f>+K10*D10</f>
        <v>1867.4013960000002</v>
      </c>
      <c r="M10" s="24">
        <v>0</v>
      </c>
      <c r="N10" s="24">
        <f>+L10+M10</f>
        <v>1867.4013960000002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315632</v>
      </c>
      <c r="G11" s="2">
        <f>4425148/12</f>
        <v>368762.3333333333</v>
      </c>
      <c r="I11" s="2">
        <f>+D11-G11</f>
        <v>-53130.333333333314</v>
      </c>
      <c r="J11" s="28"/>
      <c r="K11" s="51">
        <v>0.001391</v>
      </c>
      <c r="L11" s="2">
        <f>+K11*D11</f>
        <v>439.04411200000004</v>
      </c>
      <c r="M11" s="24">
        <v>0</v>
      </c>
      <c r="N11" s="24">
        <f>+L11+M11</f>
        <v>439.04411200000004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5568884+46913</f>
        <v>5615797</v>
      </c>
      <c r="G15" s="2">
        <f>71517111/12</f>
        <v>5959759.25</v>
      </c>
      <c r="I15" s="2">
        <f>+D15-G15</f>
        <v>-343962.25</v>
      </c>
      <c r="J15" s="28"/>
      <c r="K15" s="51">
        <v>0.003241</v>
      </c>
      <c r="L15" s="2">
        <f>+K15*D15</f>
        <v>18200.798077</v>
      </c>
      <c r="M15" s="24">
        <v>0</v>
      </c>
      <c r="N15" s="24">
        <f>+L15+M15</f>
        <v>18200.798077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76996</v>
      </c>
      <c r="G16" s="2">
        <f>+'[1]PILRecoveryAmt'!K16</f>
        <v>0</v>
      </c>
      <c r="I16" s="2">
        <f>+D16-G16</f>
        <v>76996</v>
      </c>
      <c r="J16" s="28"/>
      <c r="K16" s="51">
        <v>0.003241</v>
      </c>
      <c r="L16" s="2">
        <f>+K16*D16</f>
        <v>249.544036</v>
      </c>
      <c r="M16" s="24">
        <f>+'2002PILRecoveryAmt'!M16</f>
        <v>0</v>
      </c>
      <c r="N16" s="24">
        <f>+L16+M16</f>
        <v>249.544036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13158</v>
      </c>
      <c r="F22" s="2">
        <f>850185/12</f>
        <v>70848.75</v>
      </c>
      <c r="H22" s="2">
        <f>+C22-F22</f>
        <v>-57690.75</v>
      </c>
      <c r="J22" s="28"/>
      <c r="K22" s="51">
        <v>0.221506</v>
      </c>
      <c r="L22" s="2">
        <f>+K22*C22</f>
        <v>2914.575948</v>
      </c>
      <c r="M22" s="24">
        <v>0</v>
      </c>
      <c r="N22" s="24">
        <f>+L22+M22</f>
        <v>2914.575948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16993.94</v>
      </c>
      <c r="H23" s="2">
        <f>+C23-F23</f>
        <v>16993.94</v>
      </c>
      <c r="J23" s="28"/>
      <c r="K23" s="51">
        <v>0.221506</v>
      </c>
      <c r="L23" s="2">
        <f>+K23*C23</f>
        <v>3764.25967364</v>
      </c>
      <c r="M23" s="24">
        <f>+'2002PILRecoveryAmt'!M23</f>
        <v>0</v>
      </c>
      <c r="N23" s="24">
        <f>+L23+M23</f>
        <v>3764.25967364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37527.19</v>
      </c>
      <c r="H24" s="2">
        <f>+C24-F24</f>
        <v>37527.19</v>
      </c>
      <c r="J24" s="28"/>
      <c r="K24" s="51">
        <v>0.221506</v>
      </c>
      <c r="L24" s="2">
        <f>+K24*C24</f>
        <v>8312.49774814</v>
      </c>
      <c r="M24" s="24">
        <f>+'2002PILRecoveryAmt'!M24</f>
        <v>0</v>
      </c>
      <c r="N24" s="24">
        <f>+L24+M24</f>
        <v>8312.49774814</v>
      </c>
      <c r="O24" s="24"/>
      <c r="Q24" s="22"/>
      <c r="R24" s="22"/>
    </row>
    <row r="25" spans="1:15" ht="12.75">
      <c r="A25" t="s">
        <v>104</v>
      </c>
      <c r="C25" s="2">
        <f>423.28+1903.06</f>
        <v>2326.34</v>
      </c>
      <c r="H25" s="2">
        <f>+C25-F25</f>
        <v>2326.34</v>
      </c>
      <c r="J25" s="28"/>
      <c r="K25" s="51">
        <v>0.221506</v>
      </c>
      <c r="L25" s="2">
        <f>+K25*C25</f>
        <v>515.29826804</v>
      </c>
      <c r="M25" s="24">
        <f>+'2002PILRecoveryAmt'!M25</f>
        <v>0</v>
      </c>
      <c r="N25" s="24">
        <f>+L25+M25</f>
        <v>515.29826804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6543.37</v>
      </c>
      <c r="F30" s="2">
        <f>86687/12</f>
        <v>7223.916666666667</v>
      </c>
      <c r="H30" s="2">
        <f>+C30-F30</f>
        <v>-680.5466666666671</v>
      </c>
      <c r="J30" s="28"/>
      <c r="K30" s="51">
        <v>0.064863</v>
      </c>
      <c r="L30" s="2">
        <f>+K30*C30</f>
        <v>424.42260831000004</v>
      </c>
      <c r="M30" s="24">
        <v>0</v>
      </c>
      <c r="N30" s="24">
        <f>+L30+M30</f>
        <v>424.42260831000004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3234.83</v>
      </c>
      <c r="F34" s="2">
        <f>38916/12</f>
        <v>3243</v>
      </c>
      <c r="H34" s="2">
        <f>+C34-F34</f>
        <v>-8.170000000000073</v>
      </c>
      <c r="J34" s="28"/>
      <c r="K34" s="51">
        <v>0.615519</v>
      </c>
      <c r="L34" s="2">
        <f>+K34*C34</f>
        <v>1991.09932677</v>
      </c>
      <c r="M34" s="24">
        <v>0</v>
      </c>
      <c r="N34" s="24">
        <f>+L34+M34</f>
        <v>1991.09932677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503.35</v>
      </c>
      <c r="F37" s="2">
        <v>2125.5833333333335</v>
      </c>
      <c r="H37" s="2">
        <f>+C37-F37</f>
        <v>-1622.2333333333336</v>
      </c>
      <c r="J37" s="28"/>
      <c r="K37" s="51">
        <v>1.163755</v>
      </c>
      <c r="L37" s="2">
        <f>+K37*C37</f>
        <v>585.7760792500001</v>
      </c>
      <c r="M37" s="24">
        <v>0</v>
      </c>
      <c r="N37" s="24">
        <f>+L37+M37</f>
        <v>585.7760792500001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878.75</v>
      </c>
      <c r="D41" s="2">
        <v>0</v>
      </c>
      <c r="F41" s="2">
        <v>873.0833333333334</v>
      </c>
      <c r="H41" s="2">
        <f>+C41-F41</f>
        <v>5.666666666666629</v>
      </c>
      <c r="J41" s="28"/>
      <c r="K41" s="51">
        <v>0.631601</v>
      </c>
      <c r="L41" s="2">
        <f>+K41*C41</f>
        <v>555.01937875</v>
      </c>
      <c r="M41" s="24">
        <v>0</v>
      </c>
      <c r="N41" s="24">
        <f>+L41+M41</f>
        <v>555.01937875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81202.90375</v>
      </c>
      <c r="D45" s="14">
        <f>SUM(D9:D44)</f>
        <v>17342295</v>
      </c>
      <c r="E45" s="14"/>
      <c r="F45" s="14">
        <f>SUM(F9:F43)</f>
        <v>84359</v>
      </c>
      <c r="G45" s="14">
        <f>SUM(G9:G43)</f>
        <v>18066897.5</v>
      </c>
      <c r="H45" s="14">
        <f>SUM(H9:H44)</f>
        <v>-3156.096249999996</v>
      </c>
      <c r="I45" s="14">
        <f>SUM(I9:I43)</f>
        <v>-724602.4999999993</v>
      </c>
      <c r="J45" s="28"/>
      <c r="K45" s="52"/>
      <c r="L45" s="14">
        <f>SUM(L9:L43)</f>
        <v>97082.8940516375</v>
      </c>
      <c r="M45" s="14">
        <f>SUM(M9:M43)</f>
        <v>0</v>
      </c>
      <c r="N45" s="14">
        <f>SUM(N9:N43)</f>
        <v>97082.8940516375</v>
      </c>
      <c r="O45" s="24"/>
    </row>
    <row r="46" spans="3:15" ht="12.75">
      <c r="C46" s="2">
        <f>+C45</f>
        <v>81202.90375</v>
      </c>
      <c r="D46" s="2">
        <f>+D45</f>
        <v>17342295</v>
      </c>
      <c r="G46" s="2"/>
      <c r="H46" s="2">
        <f>+C45-F45</f>
        <v>-3156.0962500000023</v>
      </c>
      <c r="I46" s="2">
        <f>+D45-G45</f>
        <v>-724602.5</v>
      </c>
      <c r="J46" s="28"/>
      <c r="K46" s="51"/>
      <c r="L46" s="2"/>
      <c r="M46" s="24"/>
      <c r="N46" s="24"/>
      <c r="O46" s="24"/>
    </row>
    <row r="47" spans="3:15" ht="12.75">
      <c r="C47" s="2">
        <f>-C43</f>
        <v>-37.13375</v>
      </c>
      <c r="D47" s="2">
        <v>174</v>
      </c>
      <c r="E47" s="2" t="s">
        <v>138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81165.77</v>
      </c>
      <c r="D48" s="25">
        <f>+D47+D46</f>
        <v>17342469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0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142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9126833</v>
      </c>
      <c r="G9" s="2">
        <f>132815003/12</f>
        <v>11067916.916666666</v>
      </c>
      <c r="I9" s="2">
        <f>+D9-G9</f>
        <v>-1941083.916666666</v>
      </c>
      <c r="J9" s="28"/>
      <c r="K9" s="51">
        <v>0.005341</v>
      </c>
      <c r="L9" s="2">
        <f>+K9*D9</f>
        <v>48746.415053000004</v>
      </c>
      <c r="M9" s="24">
        <v>0</v>
      </c>
      <c r="N9" s="24">
        <f>+L9+M9</f>
        <v>48746.415053000004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575756</v>
      </c>
      <c r="G10" s="2">
        <f>8045508/12</f>
        <v>670459</v>
      </c>
      <c r="I10" s="2">
        <f>+D10-G10</f>
        <v>-94703</v>
      </c>
      <c r="J10" s="28"/>
      <c r="K10" s="51">
        <v>0.002988</v>
      </c>
      <c r="L10" s="2">
        <f>+K10*D10</f>
        <v>1720.358928</v>
      </c>
      <c r="M10" s="24">
        <v>0</v>
      </c>
      <c r="N10" s="24">
        <f>+L10+M10</f>
        <v>1720.358928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294836</v>
      </c>
      <c r="G11" s="2">
        <f>4425148/12</f>
        <v>368762.3333333333</v>
      </c>
      <c r="I11" s="2">
        <f>+D11-G11</f>
        <v>-73926.33333333331</v>
      </c>
      <c r="J11" s="28"/>
      <c r="K11" s="51">
        <v>0.001391</v>
      </c>
      <c r="L11" s="2">
        <f>+K11*D11</f>
        <v>410.11687600000005</v>
      </c>
      <c r="M11" s="24">
        <v>0</v>
      </c>
      <c r="N11" s="24">
        <f>+L11+M11</f>
        <v>410.11687600000005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5243569+26483</f>
        <v>5270052</v>
      </c>
      <c r="G15" s="2">
        <f>71517111/12</f>
        <v>5959759.25</v>
      </c>
      <c r="I15" s="2">
        <f>+D15-G15</f>
        <v>-689707.25</v>
      </c>
      <c r="J15" s="28"/>
      <c r="K15" s="51">
        <v>0.003241</v>
      </c>
      <c r="L15" s="2">
        <f>+K15*D15</f>
        <v>17080.238532</v>
      </c>
      <c r="M15" s="24">
        <v>0</v>
      </c>
      <c r="N15" s="24">
        <f>+L15+M15</f>
        <v>17080.238532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13099.31</v>
      </c>
      <c r="F22" s="2">
        <f>850185/12</f>
        <v>70848.75</v>
      </c>
      <c r="H22" s="2">
        <f>+C22-F22</f>
        <v>-57749.44</v>
      </c>
      <c r="J22" s="28"/>
      <c r="K22" s="51">
        <v>0.221506</v>
      </c>
      <c r="L22" s="2">
        <f>+K22*C22</f>
        <v>2901.57576086</v>
      </c>
      <c r="M22" s="24">
        <v>0</v>
      </c>
      <c r="N22" s="24">
        <f>+L22+M22</f>
        <v>2901.57576086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16807.68</v>
      </c>
      <c r="H23" s="2">
        <f>+C23-F23</f>
        <v>16807.68</v>
      </c>
      <c r="J23" s="28"/>
      <c r="K23" s="51">
        <v>0.221506</v>
      </c>
      <c r="L23" s="2">
        <f>+K23*C23</f>
        <v>3723.0019660800003</v>
      </c>
      <c r="M23" s="24">
        <f>+'2002PILRecoveryAmt'!M23</f>
        <v>0</v>
      </c>
      <c r="N23" s="24">
        <f>+L23+M23</f>
        <v>3723.0019660800003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39517.09</v>
      </c>
      <c r="H24" s="2">
        <f>+C24-F24</f>
        <v>39517.09</v>
      </c>
      <c r="J24" s="28"/>
      <c r="K24" s="51">
        <v>0.221506</v>
      </c>
      <c r="L24" s="2">
        <f>+K24*C24</f>
        <v>8753.272537539999</v>
      </c>
      <c r="M24" s="24">
        <f>+'2002PILRecoveryAmt'!M24</f>
        <v>0</v>
      </c>
      <c r="N24" s="24">
        <f>+L24+M24</f>
        <v>8753.272537539999</v>
      </c>
      <c r="O24" s="24"/>
      <c r="Q24" s="22"/>
      <c r="R24" s="22"/>
    </row>
    <row r="25" spans="1:15" ht="12.75">
      <c r="A25" t="s">
        <v>104</v>
      </c>
      <c r="C25" s="2">
        <f>408.94+1992.35</f>
        <v>2401.29</v>
      </c>
      <c r="H25" s="2">
        <f>+C25-F25</f>
        <v>2401.29</v>
      </c>
      <c r="J25" s="28"/>
      <c r="K25" s="51">
        <v>0.221506</v>
      </c>
      <c r="L25" s="2">
        <f>+K25*C25</f>
        <v>531.90014274</v>
      </c>
      <c r="M25" s="24">
        <f>+'2002PILRecoveryAmt'!M25</f>
        <v>0</v>
      </c>
      <c r="N25" s="24">
        <f>+L25+M25</f>
        <v>531.90014274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7192.31</v>
      </c>
      <c r="F30" s="2">
        <f>86687/12</f>
        <v>7223.916666666667</v>
      </c>
      <c r="H30" s="2">
        <f>+C30-F30</f>
        <v>-31.60666666666657</v>
      </c>
      <c r="J30" s="28"/>
      <c r="K30" s="51">
        <v>0.064863</v>
      </c>
      <c r="L30" s="2">
        <f>+K30*C30</f>
        <v>466.51480353000005</v>
      </c>
      <c r="M30" s="24">
        <v>0</v>
      </c>
      <c r="N30" s="24">
        <f>+L30+M30</f>
        <v>466.51480353000005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3039.56</v>
      </c>
      <c r="F34" s="2">
        <f>38916/12</f>
        <v>3243</v>
      </c>
      <c r="H34" s="2">
        <f>+C34-F34</f>
        <v>-203.44000000000005</v>
      </c>
      <c r="J34" s="28"/>
      <c r="K34" s="51">
        <v>0.615519</v>
      </c>
      <c r="L34" s="2">
        <f>+K34*C34</f>
        <v>1870.90693164</v>
      </c>
      <c r="M34" s="24">
        <v>0</v>
      </c>
      <c r="N34" s="24">
        <f>+L34+M34</f>
        <v>1870.90693164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516.82</v>
      </c>
      <c r="F37" s="2">
        <v>2125.5833333333335</v>
      </c>
      <c r="H37" s="2">
        <f>+C37-F37</f>
        <v>-1608.7633333333333</v>
      </c>
      <c r="J37" s="28"/>
      <c r="K37" s="51">
        <v>1.163755</v>
      </c>
      <c r="L37" s="2">
        <f>+K37*C37</f>
        <v>601.4518591000001</v>
      </c>
      <c r="M37" s="24">
        <v>0</v>
      </c>
      <c r="N37" s="24">
        <f>+L37+M37</f>
        <v>601.4518591000001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878.75</v>
      </c>
      <c r="D41" s="2">
        <v>0</v>
      </c>
      <c r="F41" s="2">
        <v>873.0833333333334</v>
      </c>
      <c r="H41" s="2">
        <f>+C41-F41</f>
        <v>5.666666666666629</v>
      </c>
      <c r="J41" s="28"/>
      <c r="K41" s="51">
        <v>0.631601</v>
      </c>
      <c r="L41" s="2">
        <f>+K41*C41</f>
        <v>555.01937875</v>
      </c>
      <c r="M41" s="24">
        <v>0</v>
      </c>
      <c r="N41" s="24">
        <f>+L41+M41</f>
        <v>555.01937875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83489.94374999998</v>
      </c>
      <c r="D45" s="14">
        <f>SUM(D9:D44)</f>
        <v>15346273</v>
      </c>
      <c r="E45" s="14"/>
      <c r="F45" s="14">
        <f>SUM(F9:F43)</f>
        <v>84359</v>
      </c>
      <c r="G45" s="14">
        <f>SUM(G9:G43)</f>
        <v>18066897.5</v>
      </c>
      <c r="H45" s="14">
        <f>SUM(H9:H44)</f>
        <v>-869.0562500000055</v>
      </c>
      <c r="I45" s="14">
        <f>SUM(I9:I43)</f>
        <v>-2720624.4999999995</v>
      </c>
      <c r="J45" s="28"/>
      <c r="K45" s="52"/>
      <c r="L45" s="14">
        <f>SUM(L9:L43)</f>
        <v>87683.0570819775</v>
      </c>
      <c r="M45" s="14">
        <f>SUM(M9:M43)</f>
        <v>0</v>
      </c>
      <c r="N45" s="14">
        <f>SUM(N9:N43)</f>
        <v>87683.0570819775</v>
      </c>
      <c r="O45" s="24"/>
    </row>
    <row r="46" spans="3:15" ht="12.75">
      <c r="C46" s="2">
        <f>+C45</f>
        <v>83489.94374999998</v>
      </c>
      <c r="D46" s="2">
        <f>+D45</f>
        <v>15346273</v>
      </c>
      <c r="G46" s="2"/>
      <c r="H46" s="2">
        <f>+C45-F45</f>
        <v>-869.0562500000233</v>
      </c>
      <c r="I46" s="2">
        <f>+D45-G45</f>
        <v>-2720624.5</v>
      </c>
      <c r="J46" s="28"/>
      <c r="K46" s="51"/>
      <c r="L46" s="2"/>
      <c r="M46" s="24"/>
      <c r="N46" s="24"/>
      <c r="O46" s="24"/>
    </row>
    <row r="47" spans="3:15" ht="12.75">
      <c r="C47" s="2">
        <f>-C43</f>
        <v>-37.13375</v>
      </c>
      <c r="D47" s="2">
        <v>174</v>
      </c>
      <c r="E47" s="2" t="s">
        <v>138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83452.80999999998</v>
      </c>
      <c r="D48" s="25">
        <f>+D47+D46</f>
        <v>15346447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145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9359549</v>
      </c>
      <c r="G9" s="2">
        <f>132815003/12</f>
        <v>11067916.916666666</v>
      </c>
      <c r="I9" s="2">
        <f>+D9-G9</f>
        <v>-1708367.916666666</v>
      </c>
      <c r="J9" s="28"/>
      <c r="K9" s="51">
        <v>0.005341</v>
      </c>
      <c r="L9" s="2">
        <f>+K9*D9</f>
        <v>49989.351209</v>
      </c>
      <c r="M9" s="24">
        <v>0</v>
      </c>
      <c r="N9" s="24">
        <f>+L9+M9</f>
        <v>49989.351209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583574</v>
      </c>
      <c r="G10" s="2">
        <f>8045508/12</f>
        <v>670459</v>
      </c>
      <c r="I10" s="2">
        <f>+D10-G10</f>
        <v>-86885</v>
      </c>
      <c r="J10" s="28"/>
      <c r="K10" s="51">
        <v>0.002988</v>
      </c>
      <c r="L10" s="2">
        <f>+K10*D10</f>
        <v>1743.7191120000002</v>
      </c>
      <c r="M10" s="24">
        <v>0</v>
      </c>
      <c r="N10" s="24">
        <f>+L10+M10</f>
        <v>1743.7191120000002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292605</v>
      </c>
      <c r="G11" s="2">
        <f>4425148/12</f>
        <v>368762.3333333333</v>
      </c>
      <c r="I11" s="2">
        <f>+D11-G11</f>
        <v>-76157.33333333331</v>
      </c>
      <c r="J11" s="28"/>
      <c r="K11" s="51">
        <v>0.001391</v>
      </c>
      <c r="L11" s="2">
        <f>+K11*D11</f>
        <v>407.01355500000005</v>
      </c>
      <c r="M11" s="24">
        <v>0</v>
      </c>
      <c r="N11" s="24">
        <f>+L11+M11</f>
        <v>407.01355500000005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5618275+25463</f>
        <v>5643738</v>
      </c>
      <c r="G15" s="2">
        <f>71517111/12</f>
        <v>5959759.25</v>
      </c>
      <c r="I15" s="2">
        <f>+D15-G15</f>
        <v>-316021.25</v>
      </c>
      <c r="J15" s="28"/>
      <c r="K15" s="51">
        <v>0.003241</v>
      </c>
      <c r="L15" s="2">
        <f>+K15*D15</f>
        <v>18291.354858</v>
      </c>
      <c r="M15" s="24">
        <v>0</v>
      </c>
      <c r="N15" s="24">
        <f>+L15+M15</f>
        <v>18291.354858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13784.23</v>
      </c>
      <c r="F22" s="2">
        <f>850185/12</f>
        <v>70848.75</v>
      </c>
      <c r="H22" s="2">
        <f>+C22-F22</f>
        <v>-57064.520000000004</v>
      </c>
      <c r="J22" s="28"/>
      <c r="K22" s="51">
        <v>0.221506</v>
      </c>
      <c r="L22" s="2">
        <f>+K22*C22</f>
        <v>3053.2896503800002</v>
      </c>
      <c r="M22" s="24">
        <v>0</v>
      </c>
      <c r="N22" s="24">
        <f>+L22+M22</f>
        <v>3053.2896503800002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17255.45</v>
      </c>
      <c r="H23" s="2">
        <f>+C23-F23</f>
        <v>17255.45</v>
      </c>
      <c r="J23" s="28"/>
      <c r="K23" s="51">
        <v>0.221506</v>
      </c>
      <c r="L23" s="2">
        <f>+K23*C23</f>
        <v>3822.1857077000004</v>
      </c>
      <c r="M23" s="24">
        <f>+'2002PILRecoveryAmt'!M23</f>
        <v>0</v>
      </c>
      <c r="N23" s="24">
        <f>+L23+M23</f>
        <v>3822.1857077000004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40242.41</v>
      </c>
      <c r="H24" s="2">
        <f>+C24-F24</f>
        <v>40242.41</v>
      </c>
      <c r="J24" s="28"/>
      <c r="K24" s="51">
        <v>0.221506</v>
      </c>
      <c r="L24" s="2">
        <f>+K24*C24</f>
        <v>8913.935269460002</v>
      </c>
      <c r="M24" s="24">
        <f>+'2002PILRecoveryAmt'!M24</f>
        <v>0</v>
      </c>
      <c r="N24" s="24">
        <f>+L24+M24</f>
        <v>8913.935269460002</v>
      </c>
      <c r="O24" s="24"/>
      <c r="Q24" s="22"/>
      <c r="R24" s="22"/>
    </row>
    <row r="25" spans="1:15" ht="12.75">
      <c r="A25" t="s">
        <v>104</v>
      </c>
      <c r="C25" s="2">
        <f>409.89+2081.08</f>
        <v>2490.97</v>
      </c>
      <c r="H25" s="2">
        <f>+C25-F25</f>
        <v>2490.97</v>
      </c>
      <c r="J25" s="28"/>
      <c r="K25" s="51">
        <v>0.221506</v>
      </c>
      <c r="L25" s="2">
        <f>+K25*C25</f>
        <v>551.76480082</v>
      </c>
      <c r="M25" s="24">
        <f>+'2002PILRecoveryAmt'!M25</f>
        <v>0</v>
      </c>
      <c r="N25" s="24">
        <f>+L25+M25</f>
        <v>551.76480082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7262.08</v>
      </c>
      <c r="F30" s="2">
        <f>86687/12</f>
        <v>7223.916666666667</v>
      </c>
      <c r="H30" s="2">
        <f>+C30-F30</f>
        <v>38.16333333333296</v>
      </c>
      <c r="J30" s="28"/>
      <c r="K30" s="51">
        <v>0.064863</v>
      </c>
      <c r="L30" s="2">
        <f>+K30*C30</f>
        <v>471.04029504000005</v>
      </c>
      <c r="M30" s="24">
        <v>0</v>
      </c>
      <c r="N30" s="24">
        <f>+L30+M30</f>
        <v>471.04029504000005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3061.64</v>
      </c>
      <c r="F34" s="2">
        <f>38916/12</f>
        <v>3243</v>
      </c>
      <c r="H34" s="2">
        <f>+C34-F34</f>
        <v>-181.36000000000013</v>
      </c>
      <c r="J34" s="28"/>
      <c r="K34" s="51">
        <v>0.615519</v>
      </c>
      <c r="L34" s="2">
        <f>+K34*C34</f>
        <v>1884.49759116</v>
      </c>
      <c r="M34" s="24">
        <v>0</v>
      </c>
      <c r="N34" s="24">
        <f>+L34+M34</f>
        <v>1884.49759116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355.19</v>
      </c>
      <c r="F37" s="2">
        <v>2125.5833333333335</v>
      </c>
      <c r="H37" s="2">
        <f>+C37-F37</f>
        <v>-1770.3933333333334</v>
      </c>
      <c r="J37" s="28"/>
      <c r="K37" s="51">
        <v>1.163755</v>
      </c>
      <c r="L37" s="2">
        <f>+K37*C37</f>
        <v>413.35413845000005</v>
      </c>
      <c r="M37" s="24">
        <v>0</v>
      </c>
      <c r="N37" s="24">
        <f>+L37+M37</f>
        <v>413.35413845000005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878.62</v>
      </c>
      <c r="D41" s="2">
        <v>0</v>
      </c>
      <c r="F41" s="2">
        <v>873.0833333333334</v>
      </c>
      <c r="H41" s="2">
        <f>+C41-F41</f>
        <v>5.536666666666633</v>
      </c>
      <c r="J41" s="28"/>
      <c r="K41" s="51">
        <v>0.631601</v>
      </c>
      <c r="L41" s="2">
        <f>+K41*C41</f>
        <v>554.9372706199999</v>
      </c>
      <c r="M41" s="24">
        <v>0</v>
      </c>
      <c r="N41" s="24">
        <f>+L41+M41</f>
        <v>554.9372706199999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(13194.15+174)/360</f>
        <v>37.13375</v>
      </c>
      <c r="D43" s="2">
        <v>0</v>
      </c>
      <c r="F43" s="2">
        <v>44.666666666666664</v>
      </c>
      <c r="H43" s="2">
        <f>+C43-F43</f>
        <v>-7.532916666666665</v>
      </c>
      <c r="J43" s="28"/>
      <c r="K43" s="51">
        <v>1.80177</v>
      </c>
      <c r="L43" s="2">
        <f>+K43*C43</f>
        <v>66.9064767375</v>
      </c>
      <c r="M43" s="24">
        <v>0</v>
      </c>
      <c r="N43" s="24">
        <f>+L43+M43</f>
        <v>66.9064767375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85367.72374999999</v>
      </c>
      <c r="D45" s="14">
        <f>SUM(D9:D44)</f>
        <v>15958262</v>
      </c>
      <c r="E45" s="14"/>
      <c r="F45" s="14">
        <f>SUM(F9:F43)</f>
        <v>84359</v>
      </c>
      <c r="G45" s="14">
        <f>SUM(G9:G43)</f>
        <v>18066897.5</v>
      </c>
      <c r="H45" s="14">
        <f>SUM(H9:H44)</f>
        <v>1008.7237499999957</v>
      </c>
      <c r="I45" s="14">
        <f>SUM(I9:I43)</f>
        <v>-2108635.499999999</v>
      </c>
      <c r="J45" s="28"/>
      <c r="K45" s="52"/>
      <c r="L45" s="14">
        <f>SUM(L9:L43)</f>
        <v>90418.72777036749</v>
      </c>
      <c r="M45" s="14">
        <f>SUM(M9:M43)</f>
        <v>0</v>
      </c>
      <c r="N45" s="14">
        <f>SUM(N9:N43)</f>
        <v>90418.72777036749</v>
      </c>
      <c r="O45" s="24"/>
    </row>
    <row r="46" spans="3:15" ht="12.75">
      <c r="C46" s="2">
        <f>+C45</f>
        <v>85367.72374999999</v>
      </c>
      <c r="D46" s="2">
        <f>+D45</f>
        <v>15958262</v>
      </c>
      <c r="G46" s="2"/>
      <c r="H46" s="2">
        <f>+C45-F45</f>
        <v>1008.7237499999901</v>
      </c>
      <c r="I46" s="2">
        <f>+D45-G45</f>
        <v>-2108635.5</v>
      </c>
      <c r="J46" s="28"/>
      <c r="K46" s="51"/>
      <c r="L46" s="2"/>
      <c r="M46" s="24"/>
      <c r="N46" s="24"/>
      <c r="O46" s="24"/>
    </row>
    <row r="47" spans="3:15" ht="12.75">
      <c r="C47" s="2">
        <f>-C43</f>
        <v>-37.13375</v>
      </c>
      <c r="D47" s="2">
        <v>174</v>
      </c>
      <c r="E47" s="2" t="s">
        <v>138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85330.59</v>
      </c>
      <c r="D48" s="25">
        <f>+D47+D46</f>
        <v>15958436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21" sqref="F21:J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137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9784948</v>
      </c>
      <c r="G9" s="2">
        <f>132815003/12</f>
        <v>11067916.916666666</v>
      </c>
      <c r="I9" s="2">
        <f>+D9-G9</f>
        <v>-1282968.916666666</v>
      </c>
      <c r="J9" s="28"/>
      <c r="K9" s="51">
        <v>0.005341</v>
      </c>
      <c r="L9" s="2">
        <f>+K9*D9</f>
        <v>52261.407268</v>
      </c>
      <c r="M9" s="24">
        <v>0</v>
      </c>
      <c r="N9" s="24">
        <f>+L9+M9</f>
        <v>52261.407268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615337</v>
      </c>
      <c r="G10" s="2">
        <f>8045508/12</f>
        <v>670459</v>
      </c>
      <c r="I10" s="2">
        <f>+D10-G10</f>
        <v>-55122</v>
      </c>
      <c r="J10" s="28"/>
      <c r="K10" s="51">
        <v>0.002988</v>
      </c>
      <c r="L10" s="2">
        <f>+K10*D10</f>
        <v>1838.626956</v>
      </c>
      <c r="M10" s="24">
        <v>0</v>
      </c>
      <c r="N10" s="24">
        <f>+L10+M10</f>
        <v>1838.626956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315152</v>
      </c>
      <c r="G11" s="2">
        <f>4425148/12</f>
        <v>368762.3333333333</v>
      </c>
      <c r="I11" s="2">
        <f>+D11-G11</f>
        <v>-53610.333333333314</v>
      </c>
      <c r="J11" s="28"/>
      <c r="K11" s="51">
        <v>0.001391</v>
      </c>
      <c r="L11" s="2">
        <f>+K11*D11</f>
        <v>438.376432</v>
      </c>
      <c r="M11" s="24">
        <v>0</v>
      </c>
      <c r="N11" s="24">
        <f>+L11+M11</f>
        <v>438.376432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v>5834134</v>
      </c>
      <c r="G15" s="2">
        <f>71517111/12</f>
        <v>5959759.25</v>
      </c>
      <c r="I15" s="2">
        <f>+D15-G15</f>
        <v>-125625.25</v>
      </c>
      <c r="J15" s="28"/>
      <c r="K15" s="51">
        <v>0.003241</v>
      </c>
      <c r="L15" s="2">
        <f>+K15*D15</f>
        <v>18908.428294</v>
      </c>
      <c r="M15" s="24">
        <v>0</v>
      </c>
      <c r="N15" s="24">
        <f>+L15+M15</f>
        <v>18908.428294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13304.01</v>
      </c>
      <c r="F22" s="2">
        <f>850185/12</f>
        <v>70848.75</v>
      </c>
      <c r="H22" s="2">
        <f>+C22-F22</f>
        <v>-57544.74</v>
      </c>
      <c r="J22" s="28"/>
      <c r="K22" s="51">
        <v>0.221506</v>
      </c>
      <c r="L22" s="2">
        <f>+K22*C22</f>
        <v>2946.91803906</v>
      </c>
      <c r="M22" s="24">
        <v>0</v>
      </c>
      <c r="N22" s="24">
        <f>+L22+M22</f>
        <v>2946.91803906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16792.93</v>
      </c>
      <c r="H23" s="2">
        <f>+C23-F23</f>
        <v>16792.93</v>
      </c>
      <c r="J23" s="28"/>
      <c r="K23" s="51">
        <v>0.221506</v>
      </c>
      <c r="L23" s="2">
        <f>+K23*C23</f>
        <v>3719.73475258</v>
      </c>
      <c r="M23" s="24">
        <f>+'2002PILRecoveryAmt'!M23</f>
        <v>0</v>
      </c>
      <c r="N23" s="24">
        <f>+L23+M23</f>
        <v>3719.73475258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40029.5</v>
      </c>
      <c r="H24" s="2">
        <f>+C24-F24</f>
        <v>40029.5</v>
      </c>
      <c r="J24" s="28"/>
      <c r="K24" s="51">
        <v>0.221506</v>
      </c>
      <c r="L24" s="2">
        <f>+K24*C24</f>
        <v>8866.774427</v>
      </c>
      <c r="M24" s="24">
        <f>+'2002PILRecoveryAmt'!M24</f>
        <v>0</v>
      </c>
      <c r="N24" s="24">
        <f>+L24+M24</f>
        <v>8866.774427</v>
      </c>
      <c r="O24" s="24"/>
      <c r="Q24" s="22"/>
      <c r="R24" s="22"/>
    </row>
    <row r="25" spans="1:15" ht="12.75">
      <c r="A25" t="s">
        <v>104</v>
      </c>
      <c r="C25" s="2">
        <f>414.09+2055.32</f>
        <v>2469.4100000000003</v>
      </c>
      <c r="H25" s="2">
        <f>+C25-F25</f>
        <v>2469.4100000000003</v>
      </c>
      <c r="J25" s="28"/>
      <c r="K25" s="51">
        <v>0.221506</v>
      </c>
      <c r="L25" s="2">
        <f>+K25*C25</f>
        <v>546.9891314600001</v>
      </c>
      <c r="M25" s="24">
        <f>+'2002PILRecoveryAmt'!M25</f>
        <v>0</v>
      </c>
      <c r="N25" s="24">
        <f>+L25+M25</f>
        <v>546.9891314600001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7368.03</v>
      </c>
      <c r="F30" s="2">
        <f>86687/12</f>
        <v>7223.916666666667</v>
      </c>
      <c r="H30" s="2">
        <f>+C30-F30</f>
        <v>144.11333333333278</v>
      </c>
      <c r="J30" s="28"/>
      <c r="K30" s="51">
        <v>0.064863</v>
      </c>
      <c r="L30" s="2">
        <f>+K30*C30</f>
        <v>477.91252989000003</v>
      </c>
      <c r="M30" s="24">
        <v>0</v>
      </c>
      <c r="N30" s="24">
        <f>+L30+M30</f>
        <v>477.91252989000003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3017.83</v>
      </c>
      <c r="F34" s="2">
        <f>38916/12</f>
        <v>3243</v>
      </c>
      <c r="H34" s="2">
        <f>+C34-F34</f>
        <v>-225.17000000000007</v>
      </c>
      <c r="J34" s="28"/>
      <c r="K34" s="51">
        <v>0.615519</v>
      </c>
      <c r="L34" s="2">
        <f>+K34*C34</f>
        <v>1857.5317037700001</v>
      </c>
      <c r="M34" s="24">
        <v>0</v>
      </c>
      <c r="N34" s="24">
        <f>+L34+M34</f>
        <v>1857.5317037700001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403.2</v>
      </c>
      <c r="F37" s="2">
        <v>2125.5833333333335</v>
      </c>
      <c r="H37" s="2">
        <f>+C37-F37</f>
        <v>-1722.3833333333334</v>
      </c>
      <c r="J37" s="28"/>
      <c r="K37" s="51">
        <v>1.163755</v>
      </c>
      <c r="L37" s="2">
        <f>+K37*C37</f>
        <v>469.226016</v>
      </c>
      <c r="M37" s="24">
        <v>0</v>
      </c>
      <c r="N37" s="24">
        <f>+L37+M37</f>
        <v>469.226016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872.63</v>
      </c>
      <c r="D41" s="2">
        <v>0</v>
      </c>
      <c r="F41" s="2">
        <v>873.0833333333334</v>
      </c>
      <c r="H41" s="2">
        <f>+C41-F41</f>
        <v>-0.4533333333333758</v>
      </c>
      <c r="J41" s="28"/>
      <c r="K41" s="51">
        <v>0.631601</v>
      </c>
      <c r="L41" s="2">
        <f>+K41*C41</f>
        <v>551.15398063</v>
      </c>
      <c r="M41" s="24">
        <v>0</v>
      </c>
      <c r="N41" s="24">
        <f>+L41+M41</f>
        <v>551.15398063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-13357.5/360</f>
        <v>-37.104166666666664</v>
      </c>
      <c r="D43" s="2">
        <v>0</v>
      </c>
      <c r="F43" s="2">
        <v>44.666666666666664</v>
      </c>
      <c r="H43" s="2">
        <f>+C43-F43</f>
        <v>-81.77083333333333</v>
      </c>
      <c r="J43" s="28"/>
      <c r="K43" s="51">
        <v>1.80177</v>
      </c>
      <c r="L43" s="2">
        <f>+K43*C43</f>
        <v>-66.853174375</v>
      </c>
      <c r="M43" s="24">
        <v>0</v>
      </c>
      <c r="N43" s="24">
        <f>+L43+M43</f>
        <v>-66.853174375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84220.43583333334</v>
      </c>
      <c r="D45" s="14">
        <f>SUM(D9:D44)</f>
        <v>16628367</v>
      </c>
      <c r="E45" s="14"/>
      <c r="F45" s="14">
        <f>SUM(F9:F43)</f>
        <v>84359</v>
      </c>
      <c r="G45" s="14">
        <f>SUM(G9:G43)</f>
        <v>18066897.5</v>
      </c>
      <c r="H45" s="14">
        <f>SUM(H9:H44)</f>
        <v>-138.5641666666648</v>
      </c>
      <c r="I45" s="14">
        <f>SUM(I9:I43)</f>
        <v>-1438530.4999999993</v>
      </c>
      <c r="J45" s="28"/>
      <c r="K45" s="52"/>
      <c r="L45" s="14">
        <f>SUM(L9:L43)</f>
        <v>93071.60419201499</v>
      </c>
      <c r="M45" s="14">
        <f>SUM(M9:M43)</f>
        <v>0</v>
      </c>
      <c r="N45" s="14">
        <f>SUM(N9:N43)</f>
        <v>93071.60419201499</v>
      </c>
      <c r="O45" s="24"/>
    </row>
    <row r="46" spans="3:15" ht="12.75">
      <c r="C46" s="2">
        <v>84257.54</v>
      </c>
      <c r="G46" s="2"/>
      <c r="H46" s="2">
        <f>+C45-F45</f>
        <v>-138.56416666666337</v>
      </c>
      <c r="I46" s="2">
        <f>+D45-G45</f>
        <v>-1438530.5</v>
      </c>
      <c r="J46" s="28"/>
      <c r="K46" s="51"/>
      <c r="L46" s="2"/>
      <c r="M46" s="24"/>
      <c r="N46" s="24"/>
      <c r="O46" s="24"/>
    </row>
    <row r="47" spans="3:15" ht="12.75">
      <c r="C47" s="2">
        <f>+C43</f>
        <v>-37.104166666666664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84220.43583333332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5" sqref="F15:J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8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57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141</v>
      </c>
    </row>
    <row r="3" ht="12.75">
      <c r="A3" s="1" t="s">
        <v>132</v>
      </c>
    </row>
    <row r="5" spans="2:15" ht="12.75">
      <c r="B5" s="1" t="s">
        <v>1</v>
      </c>
      <c r="C5" s="15" t="s">
        <v>51</v>
      </c>
      <c r="F5" s="15" t="s">
        <v>52</v>
      </c>
      <c r="H5" s="15" t="s">
        <v>54</v>
      </c>
      <c r="J5" s="28"/>
      <c r="K5" s="3"/>
      <c r="L5" s="16" t="s">
        <v>27</v>
      </c>
      <c r="M5" s="30"/>
      <c r="N5" s="24"/>
      <c r="O5" s="24"/>
    </row>
    <row r="6" spans="2:17" ht="12.75">
      <c r="B6" s="5"/>
      <c r="C6" s="6"/>
      <c r="D6" s="6"/>
      <c r="E6" s="7"/>
      <c r="F6" s="7"/>
      <c r="G6" s="19"/>
      <c r="H6" s="6"/>
      <c r="I6" s="6"/>
      <c r="J6" s="8"/>
      <c r="K6" s="8" t="s">
        <v>56</v>
      </c>
      <c r="L6" s="6" t="s">
        <v>55</v>
      </c>
      <c r="M6" s="30" t="s">
        <v>98</v>
      </c>
      <c r="N6" s="6" t="s">
        <v>99</v>
      </c>
      <c r="O6" s="6"/>
      <c r="Q6" s="21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100</v>
      </c>
      <c r="N7" s="11" t="s">
        <v>100</v>
      </c>
      <c r="O7" s="6"/>
      <c r="Q7" s="21"/>
      <c r="R7" s="21"/>
    </row>
    <row r="8" spans="10:15" ht="12.75">
      <c r="J8" s="28"/>
      <c r="K8" s="3"/>
      <c r="L8" s="2"/>
      <c r="M8" s="24"/>
      <c r="N8" s="24"/>
      <c r="O8" s="24"/>
    </row>
    <row r="9" spans="1:18" ht="12.75">
      <c r="A9" t="s">
        <v>7</v>
      </c>
      <c r="B9" t="s">
        <v>8</v>
      </c>
      <c r="D9" s="2">
        <v>10175744</v>
      </c>
      <c r="G9" s="2">
        <f>132815003/12</f>
        <v>11067916.916666666</v>
      </c>
      <c r="I9" s="2">
        <f>+D9-G9</f>
        <v>-892172.916666666</v>
      </c>
      <c r="J9" s="28"/>
      <c r="K9" s="51">
        <v>0.005341</v>
      </c>
      <c r="L9" s="2">
        <f>+K9*D9</f>
        <v>54348.648704</v>
      </c>
      <c r="M9" s="24">
        <v>0</v>
      </c>
      <c r="N9" s="24">
        <f>+L9+M9</f>
        <v>54348.648704</v>
      </c>
      <c r="O9" s="24"/>
      <c r="Q9" s="22"/>
      <c r="R9" s="22"/>
    </row>
    <row r="10" spans="1:18" ht="12.75">
      <c r="A10" t="s">
        <v>9</v>
      </c>
      <c r="B10" t="s">
        <v>10</v>
      </c>
      <c r="D10" s="2">
        <v>551721</v>
      </c>
      <c r="G10" s="2">
        <f>8045508/12</f>
        <v>670459</v>
      </c>
      <c r="I10" s="2">
        <f>+D10-G10</f>
        <v>-118738</v>
      </c>
      <c r="J10" s="28"/>
      <c r="K10" s="51">
        <v>0.002988</v>
      </c>
      <c r="L10" s="2">
        <f>+K10*D10</f>
        <v>1648.5423480000002</v>
      </c>
      <c r="M10" s="24">
        <v>0</v>
      </c>
      <c r="N10" s="24">
        <f>+L10+M10</f>
        <v>1648.5423480000002</v>
      </c>
      <c r="O10" s="24"/>
      <c r="Q10" s="22"/>
      <c r="R10" s="22"/>
    </row>
    <row r="11" spans="1:18" ht="12.75">
      <c r="A11" t="s">
        <v>11</v>
      </c>
      <c r="B11" t="s">
        <v>12</v>
      </c>
      <c r="D11" s="2">
        <v>301781</v>
      </c>
      <c r="G11" s="2">
        <f>4425148/12</f>
        <v>368762.3333333333</v>
      </c>
      <c r="I11" s="2">
        <f>+D11-G11</f>
        <v>-66981.33333333331</v>
      </c>
      <c r="J11" s="28"/>
      <c r="K11" s="51">
        <v>0.001391</v>
      </c>
      <c r="L11" s="2">
        <f>+K11*D11</f>
        <v>419.777371</v>
      </c>
      <c r="M11" s="24">
        <v>0</v>
      </c>
      <c r="N11" s="24">
        <f>+L11+M11</f>
        <v>419.777371</v>
      </c>
      <c r="O11" s="24"/>
      <c r="Q11" s="22"/>
      <c r="R11" s="22"/>
    </row>
    <row r="12" spans="1:18" ht="12.75">
      <c r="A12" t="s">
        <v>13</v>
      </c>
      <c r="B12" t="s">
        <v>10</v>
      </c>
      <c r="D12" s="2">
        <v>0</v>
      </c>
      <c r="G12" s="2"/>
      <c r="J12" s="28"/>
      <c r="K12" s="51"/>
      <c r="L12" s="2">
        <f>+K12*D12</f>
        <v>0</v>
      </c>
      <c r="M12" s="24"/>
      <c r="N12" s="24">
        <f>+L12+M12</f>
        <v>0</v>
      </c>
      <c r="O12" s="24"/>
      <c r="Q12" s="22"/>
      <c r="R12" s="22"/>
    </row>
    <row r="13" spans="1:18" ht="12.75">
      <c r="A13" t="s">
        <v>14</v>
      </c>
      <c r="B13" t="s">
        <v>15</v>
      </c>
      <c r="D13" s="2">
        <v>0</v>
      </c>
      <c r="G13" s="2"/>
      <c r="J13" s="28"/>
      <c r="K13" s="51"/>
      <c r="L13" s="2">
        <f>+K13*D13</f>
        <v>0</v>
      </c>
      <c r="M13" s="24"/>
      <c r="N13" s="24">
        <f>+L13+M13</f>
        <v>0</v>
      </c>
      <c r="O13" s="24">
        <f>1196374+24043+6155</f>
        <v>1226572</v>
      </c>
      <c r="Q13" s="22"/>
      <c r="R13" s="22"/>
    </row>
    <row r="14" spans="10:18" ht="12.75">
      <c r="J14" s="28"/>
      <c r="K14" s="51"/>
      <c r="L14" s="2"/>
      <c r="M14" s="24"/>
      <c r="O14" s="24">
        <f>+O13/12</f>
        <v>102214.33333333333</v>
      </c>
      <c r="Q14" s="22"/>
      <c r="R14" s="22"/>
    </row>
    <row r="15" spans="1:18" ht="12.75">
      <c r="A15" t="s">
        <v>130</v>
      </c>
      <c r="B15" t="s">
        <v>17</v>
      </c>
      <c r="D15" s="2">
        <f>5920824.5+0</f>
        <v>5920824.5</v>
      </c>
      <c r="G15" s="2">
        <f>71517111/12</f>
        <v>5959759.25</v>
      </c>
      <c r="I15" s="2">
        <f>+D15-G15</f>
        <v>-38934.75</v>
      </c>
      <c r="J15" s="28"/>
      <c r="K15" s="51">
        <v>0.003241</v>
      </c>
      <c r="L15" s="2">
        <f>+K15*D15</f>
        <v>19189.3922045</v>
      </c>
      <c r="M15" s="24">
        <v>0</v>
      </c>
      <c r="N15" s="24">
        <f>+L15+M15</f>
        <v>19189.3922045</v>
      </c>
      <c r="O15" s="24"/>
      <c r="Q15" s="22"/>
      <c r="R15" s="22"/>
    </row>
    <row r="16" spans="1:18" ht="12.75">
      <c r="A16" t="s">
        <v>25</v>
      </c>
      <c r="B16" t="s">
        <v>17</v>
      </c>
      <c r="D16" s="2">
        <v>78796</v>
      </c>
      <c r="G16" s="2">
        <f>+'[1]PILRecoveryAmt'!K16</f>
        <v>0</v>
      </c>
      <c r="I16" s="2">
        <f>+D16-G16</f>
        <v>78796</v>
      </c>
      <c r="J16" s="28"/>
      <c r="K16" s="51">
        <v>0.003241</v>
      </c>
      <c r="L16" s="2">
        <f>+K16*D16</f>
        <v>255.377836</v>
      </c>
      <c r="M16" s="24">
        <f>+'2002PILRecoveryAmt'!M16</f>
        <v>0</v>
      </c>
      <c r="N16" s="24">
        <f>+L16+M16</f>
        <v>255.377836</v>
      </c>
      <c r="O16" s="24"/>
      <c r="Q16" s="22"/>
      <c r="R16" s="22"/>
    </row>
    <row r="17" spans="1:18" ht="12.75">
      <c r="A17" t="s">
        <v>16</v>
      </c>
      <c r="B17" t="s">
        <v>17</v>
      </c>
      <c r="C17" s="2">
        <v>0</v>
      </c>
      <c r="G17" s="2">
        <f>+'[1]PILRecoveryAmt'!K17</f>
        <v>0</v>
      </c>
      <c r="I17" s="2">
        <f>+D17-G17</f>
        <v>0</v>
      </c>
      <c r="J17" s="28"/>
      <c r="K17" s="51">
        <v>0.003241</v>
      </c>
      <c r="L17" s="2"/>
      <c r="M17" s="24">
        <f>+'2002PILRecoveryAmt'!M17</f>
        <v>0</v>
      </c>
      <c r="N17" s="24"/>
      <c r="O17" s="24"/>
      <c r="Q17" s="22"/>
      <c r="R17" s="22"/>
    </row>
    <row r="18" spans="10:18" ht="12.75">
      <c r="J18" s="28"/>
      <c r="K18" s="51"/>
      <c r="L18" s="2"/>
      <c r="M18" s="24"/>
      <c r="N18" s="24"/>
      <c r="O18" s="24"/>
      <c r="Q18" s="22"/>
      <c r="R18" s="22"/>
    </row>
    <row r="19" spans="1:18" ht="12.75">
      <c r="A19" t="s">
        <v>18</v>
      </c>
      <c r="B19" t="s">
        <v>19</v>
      </c>
      <c r="D19" s="2">
        <v>0</v>
      </c>
      <c r="J19" s="28"/>
      <c r="K19" s="51"/>
      <c r="L19" s="2"/>
      <c r="M19" s="24"/>
      <c r="N19" s="24"/>
      <c r="O19" s="24"/>
      <c r="Q19" s="22"/>
      <c r="R19" s="22"/>
    </row>
    <row r="20" spans="1:18" ht="12.75">
      <c r="A20" t="s">
        <v>29</v>
      </c>
      <c r="B20" t="s">
        <v>19</v>
      </c>
      <c r="D20" s="2">
        <v>0</v>
      </c>
      <c r="J20" s="28"/>
      <c r="K20" s="51"/>
      <c r="L20" s="2"/>
      <c r="M20" s="24"/>
      <c r="N20" s="24"/>
      <c r="O20" s="24"/>
      <c r="Q20" s="22"/>
      <c r="R20" s="22"/>
    </row>
    <row r="21" spans="1:18" ht="12.75">
      <c r="A21" t="s">
        <v>30</v>
      </c>
      <c r="B21" t="s">
        <v>19</v>
      </c>
      <c r="D21" s="2">
        <v>0</v>
      </c>
      <c r="J21" s="28"/>
      <c r="K21" s="51"/>
      <c r="L21" s="2"/>
      <c r="M21" s="24"/>
      <c r="N21" s="24"/>
      <c r="O21" s="24"/>
      <c r="Q21" s="22"/>
      <c r="R21" s="22"/>
    </row>
    <row r="22" spans="1:18" ht="12.75">
      <c r="A22" t="s">
        <v>18</v>
      </c>
      <c r="B22" t="s">
        <v>19</v>
      </c>
      <c r="C22" s="2">
        <v>12746.38</v>
      </c>
      <c r="F22" s="2">
        <f>850185/12</f>
        <v>70848.75</v>
      </c>
      <c r="H22" s="2">
        <f>+C22-F22</f>
        <v>-58102.37</v>
      </c>
      <c r="J22" s="28"/>
      <c r="K22" s="51">
        <v>0.221506</v>
      </c>
      <c r="L22" s="2">
        <f>+K22*C22</f>
        <v>2823.39964828</v>
      </c>
      <c r="M22" s="24">
        <v>0</v>
      </c>
      <c r="N22" s="24">
        <f>+L22+M22</f>
        <v>2823.39964828</v>
      </c>
      <c r="O22" s="24"/>
      <c r="Q22" s="22"/>
      <c r="R22" s="22"/>
    </row>
    <row r="23" spans="1:18" ht="12.75">
      <c r="A23" t="s">
        <v>29</v>
      </c>
      <c r="B23" t="s">
        <v>19</v>
      </c>
      <c r="C23" s="2">
        <v>16228.04</v>
      </c>
      <c r="H23" s="2">
        <f>+C23-F23</f>
        <v>16228.04</v>
      </c>
      <c r="J23" s="28"/>
      <c r="K23" s="51">
        <v>0.221506</v>
      </c>
      <c r="L23" s="2">
        <f>+K23*C23</f>
        <v>3594.6082282400002</v>
      </c>
      <c r="M23" s="24">
        <f>+'2002PILRecoveryAmt'!M23</f>
        <v>0</v>
      </c>
      <c r="N23" s="24">
        <f>+L23+M23</f>
        <v>3594.6082282400002</v>
      </c>
      <c r="O23" s="24"/>
      <c r="Q23" s="22"/>
      <c r="R23" s="22"/>
    </row>
    <row r="24" spans="1:18" ht="12.75">
      <c r="A24" t="s">
        <v>30</v>
      </c>
      <c r="B24" t="s">
        <v>19</v>
      </c>
      <c r="C24" s="2">
        <v>39692.33</v>
      </c>
      <c r="H24" s="2">
        <f>+C24-F24</f>
        <v>39692.33</v>
      </c>
      <c r="J24" s="28"/>
      <c r="K24" s="51">
        <v>0.221506</v>
      </c>
      <c r="L24" s="2">
        <f>+K24*C24</f>
        <v>8792.08924898</v>
      </c>
      <c r="M24" s="24">
        <f>+'2002PILRecoveryAmt'!M24</f>
        <v>0</v>
      </c>
      <c r="N24" s="24">
        <f>+L24+M24</f>
        <v>8792.08924898</v>
      </c>
      <c r="O24" s="24"/>
      <c r="Q24" s="22"/>
      <c r="R24" s="22"/>
    </row>
    <row r="25" spans="1:15" ht="12.75">
      <c r="A25" t="s">
        <v>104</v>
      </c>
      <c r="C25" s="2">
        <f>418.5+2005.7</f>
        <v>2424.2</v>
      </c>
      <c r="H25" s="2">
        <f>+C25-F25</f>
        <v>2424.2</v>
      </c>
      <c r="J25" s="28"/>
      <c r="K25" s="51">
        <v>0.221506</v>
      </c>
      <c r="L25" s="2">
        <f>+K25*C25</f>
        <v>536.9748452</v>
      </c>
      <c r="M25" s="24">
        <f>+'2002PILRecoveryAmt'!M25</f>
        <v>0</v>
      </c>
      <c r="N25" s="24">
        <f>+L25+M25</f>
        <v>536.9748452</v>
      </c>
      <c r="O25" s="24"/>
    </row>
    <row r="26" spans="8:15" ht="12.75">
      <c r="H26" s="2">
        <f>+C26-F26</f>
        <v>0</v>
      </c>
      <c r="J26" s="28"/>
      <c r="K26" s="51"/>
      <c r="L26" s="2"/>
      <c r="M26" s="24"/>
      <c r="N26" s="24"/>
      <c r="O26" s="24"/>
    </row>
    <row r="27" spans="10:15" ht="12.75">
      <c r="J27" s="28"/>
      <c r="K27" s="51"/>
      <c r="L27" s="2"/>
      <c r="M27" s="24"/>
      <c r="N27" s="24"/>
      <c r="O27" s="24"/>
    </row>
    <row r="28" spans="1:15" ht="12.75">
      <c r="A28" t="s">
        <v>28</v>
      </c>
      <c r="B28" t="s">
        <v>33</v>
      </c>
      <c r="D28" s="2">
        <v>0</v>
      </c>
      <c r="J28" s="28"/>
      <c r="K28" s="51"/>
      <c r="L28" s="2"/>
      <c r="M28" s="24"/>
      <c r="N28" s="24"/>
      <c r="O28" s="24"/>
    </row>
    <row r="29" spans="1:15" ht="12.75">
      <c r="A29" t="s">
        <v>36</v>
      </c>
      <c r="B29" t="s">
        <v>34</v>
      </c>
      <c r="J29" s="28"/>
      <c r="K29" s="51"/>
      <c r="L29" s="2"/>
      <c r="M29" s="24"/>
      <c r="N29" s="24"/>
      <c r="O29" s="24"/>
    </row>
    <row r="30" spans="1:15" ht="12.75">
      <c r="A30" t="s">
        <v>28</v>
      </c>
      <c r="B30" t="s">
        <v>26</v>
      </c>
      <c r="C30" s="2">
        <v>7000.62</v>
      </c>
      <c r="F30" s="2">
        <f>86687/12</f>
        <v>7223.916666666667</v>
      </c>
      <c r="H30" s="2">
        <f>+C30-F30</f>
        <v>-223.29666666666708</v>
      </c>
      <c r="J30" s="28"/>
      <c r="K30" s="51">
        <v>0.064863</v>
      </c>
      <c r="L30" s="2">
        <f>+K30*C30</f>
        <v>454.08121506000003</v>
      </c>
      <c r="M30" s="24">
        <v>0</v>
      </c>
      <c r="N30" s="24">
        <f>+L30+M30</f>
        <v>454.08121506000003</v>
      </c>
      <c r="O30" s="24"/>
    </row>
    <row r="31" spans="10:15" ht="12.75">
      <c r="J31" s="28"/>
      <c r="K31" s="51"/>
      <c r="L31" s="2"/>
      <c r="M31" s="24"/>
      <c r="N31" s="24"/>
      <c r="O31" s="24"/>
    </row>
    <row r="32" spans="1:15" ht="12.75">
      <c r="A32" t="s">
        <v>31</v>
      </c>
      <c r="B32" t="s">
        <v>33</v>
      </c>
      <c r="D32" s="2">
        <v>0</v>
      </c>
      <c r="J32" s="28"/>
      <c r="K32" s="51"/>
      <c r="L32" s="2"/>
      <c r="M32" s="24"/>
      <c r="N32" s="24"/>
      <c r="O32" s="24"/>
    </row>
    <row r="33" spans="1:15" ht="12.75">
      <c r="A33" t="s">
        <v>37</v>
      </c>
      <c r="B33" t="s">
        <v>34</v>
      </c>
      <c r="J33" s="28"/>
      <c r="K33" s="51"/>
      <c r="L33" s="2"/>
      <c r="M33" s="24"/>
      <c r="N33" s="24"/>
      <c r="O33" s="24"/>
    </row>
    <row r="34" spans="1:15" ht="12.75">
      <c r="A34" t="s">
        <v>31</v>
      </c>
      <c r="B34" t="s">
        <v>26</v>
      </c>
      <c r="C34" s="2">
        <v>3236.48</v>
      </c>
      <c r="F34" s="2">
        <f>38916/12</f>
        <v>3243</v>
      </c>
      <c r="H34" s="2">
        <f>+C34-F34</f>
        <v>-6.519999999999982</v>
      </c>
      <c r="J34" s="28"/>
      <c r="K34" s="51">
        <v>0.615519</v>
      </c>
      <c r="L34" s="2">
        <f>+K34*C34</f>
        <v>1992.1149331200002</v>
      </c>
      <c r="M34" s="24">
        <v>0</v>
      </c>
      <c r="N34" s="24">
        <f>+L34+M34</f>
        <v>1992.1149331200002</v>
      </c>
      <c r="O34" s="24"/>
    </row>
    <row r="35" spans="10:15" ht="12.75">
      <c r="J35" s="28"/>
      <c r="K35" s="51"/>
      <c r="L35" s="2"/>
      <c r="M35" s="24"/>
      <c r="N35" s="24"/>
      <c r="O35" s="24"/>
    </row>
    <row r="36" spans="1:15" ht="12.75">
      <c r="A36" t="s">
        <v>32</v>
      </c>
      <c r="B36" t="s">
        <v>33</v>
      </c>
      <c r="D36" s="2">
        <v>0</v>
      </c>
      <c r="J36" s="28"/>
      <c r="K36" s="51"/>
      <c r="L36" s="2"/>
      <c r="M36" s="24"/>
      <c r="N36" s="24"/>
      <c r="O36" s="24"/>
    </row>
    <row r="37" spans="1:15" ht="12.75">
      <c r="A37" t="s">
        <v>32</v>
      </c>
      <c r="B37" t="s">
        <v>26</v>
      </c>
      <c r="C37" s="2">
        <v>460.85</v>
      </c>
      <c r="F37" s="2">
        <v>2125.5833333333335</v>
      </c>
      <c r="H37" s="2">
        <f>+C37-F37</f>
        <v>-1664.7333333333336</v>
      </c>
      <c r="J37" s="28"/>
      <c r="K37" s="51">
        <v>1.163755</v>
      </c>
      <c r="L37" s="2">
        <f>+K37*C37</f>
        <v>536.3164917500001</v>
      </c>
      <c r="M37" s="24">
        <v>0</v>
      </c>
      <c r="N37" s="24">
        <f>+L37+M37</f>
        <v>536.3164917500001</v>
      </c>
      <c r="O37" s="24"/>
    </row>
    <row r="38" spans="10:15" ht="12.75">
      <c r="J38" s="28"/>
      <c r="K38" s="51"/>
      <c r="L38" s="2"/>
      <c r="M38" s="24"/>
      <c r="N38" s="24"/>
      <c r="O38" s="24"/>
    </row>
    <row r="39" spans="2:15" ht="12.75">
      <c r="B39" t="s">
        <v>21</v>
      </c>
      <c r="J39" s="28"/>
      <c r="K39" s="51"/>
      <c r="L39" s="2"/>
      <c r="M39" s="24"/>
      <c r="N39" s="24"/>
      <c r="O39" s="24"/>
    </row>
    <row r="40" spans="2:15" ht="12.75">
      <c r="B40" t="s">
        <v>22</v>
      </c>
      <c r="J40" s="28"/>
      <c r="K40" s="51"/>
      <c r="L40" s="2"/>
      <c r="M40" s="24"/>
      <c r="N40" s="24"/>
      <c r="O40" s="24"/>
    </row>
    <row r="41" spans="1:15" ht="12.75">
      <c r="A41" t="s">
        <v>38</v>
      </c>
      <c r="B41" t="s">
        <v>35</v>
      </c>
      <c r="C41" s="2">
        <v>877.19</v>
      </c>
      <c r="D41" s="2">
        <v>0</v>
      </c>
      <c r="F41" s="2">
        <v>873.0833333333334</v>
      </c>
      <c r="H41" s="2">
        <f>+C41-F41</f>
        <v>4.106666666666683</v>
      </c>
      <c r="J41" s="28"/>
      <c r="K41" s="51">
        <v>0.631601</v>
      </c>
      <c r="L41" s="2">
        <f>+K41*C41</f>
        <v>554.03408119</v>
      </c>
      <c r="M41" s="24">
        <v>0</v>
      </c>
      <c r="N41" s="24">
        <f>+L41+M41</f>
        <v>554.03408119</v>
      </c>
      <c r="O41" s="24"/>
    </row>
    <row r="42" spans="10:15" ht="12.75">
      <c r="J42" s="28"/>
      <c r="K42" s="51"/>
      <c r="L42" s="2"/>
      <c r="M42" s="24"/>
      <c r="N42" s="24"/>
      <c r="O42" s="24"/>
    </row>
    <row r="43" spans="2:15" ht="12.75">
      <c r="B43" t="s">
        <v>23</v>
      </c>
      <c r="C43" s="2">
        <f>13224.31/360</f>
        <v>36.73419444444444</v>
      </c>
      <c r="D43" s="2">
        <v>0</v>
      </c>
      <c r="F43" s="2">
        <v>44.666666666666664</v>
      </c>
      <c r="H43" s="2">
        <f>+C43-F43</f>
        <v>-7.9324722222222235</v>
      </c>
      <c r="J43" s="28"/>
      <c r="K43" s="51">
        <v>1.80177</v>
      </c>
      <c r="L43" s="2">
        <f>+K43*C43</f>
        <v>66.18656952416666</v>
      </c>
      <c r="M43" s="24">
        <v>0</v>
      </c>
      <c r="N43" s="24">
        <f>+L43+M43</f>
        <v>66.18656952416666</v>
      </c>
      <c r="O43" s="24"/>
    </row>
    <row r="44" spans="10:15" ht="12.75">
      <c r="J44" s="28"/>
      <c r="K44" s="51"/>
      <c r="L44" s="2"/>
      <c r="M44" s="24"/>
      <c r="N44" s="24"/>
      <c r="O44" s="24"/>
    </row>
    <row r="45" spans="1:15" ht="13.5" thickBot="1">
      <c r="A45" s="13"/>
      <c r="B45" s="13" t="s">
        <v>24</v>
      </c>
      <c r="C45" s="14">
        <f>SUM(C9:C44)</f>
        <v>82702.82419444445</v>
      </c>
      <c r="D45" s="14">
        <f>SUM(D9:D44)</f>
        <v>17028866.5</v>
      </c>
      <c r="E45" s="14"/>
      <c r="F45" s="14">
        <f>SUM(F9:F43)</f>
        <v>84359</v>
      </c>
      <c r="G45" s="14">
        <f>SUM(G9:G43)</f>
        <v>18066897.5</v>
      </c>
      <c r="H45" s="14">
        <f>SUM(H9:H44)</f>
        <v>-1656.1758055555565</v>
      </c>
      <c r="I45" s="14">
        <f>SUM(I9:I43)</f>
        <v>-1038030.9999999993</v>
      </c>
      <c r="J45" s="28"/>
      <c r="K45" s="52"/>
      <c r="L45" s="14">
        <f>SUM(L9:L43)</f>
        <v>95211.54372484416</v>
      </c>
      <c r="M45" s="14">
        <f>SUM(M9:M43)</f>
        <v>0</v>
      </c>
      <c r="N45" s="14">
        <f>SUM(N9:N43)</f>
        <v>95211.54372484416</v>
      </c>
      <c r="O45" s="24"/>
    </row>
    <row r="46" spans="3:15" ht="12.75">
      <c r="C46" s="2">
        <v>82666.09</v>
      </c>
      <c r="G46" s="2"/>
      <c r="H46" s="2">
        <f>+C45-F45</f>
        <v>-1656.1758055555547</v>
      </c>
      <c r="I46" s="2">
        <f>+D45-G45</f>
        <v>-1038031</v>
      </c>
      <c r="J46" s="28"/>
      <c r="K46" s="51"/>
      <c r="L46" s="2"/>
      <c r="M46" s="24"/>
      <c r="N46" s="24"/>
      <c r="O46" s="24"/>
    </row>
    <row r="47" spans="3:15" ht="12.75">
      <c r="C47" s="2">
        <f>+C43</f>
        <v>36.73419444444444</v>
      </c>
      <c r="G47" s="2"/>
      <c r="I47" s="2">
        <f>+I46-I45</f>
        <v>0</v>
      </c>
      <c r="J47" s="28"/>
      <c r="K47" s="24"/>
      <c r="L47" s="29"/>
      <c r="M47" s="24"/>
      <c r="N47" s="24"/>
      <c r="O47" s="24"/>
    </row>
    <row r="48" spans="3:15" ht="13.5" thickBot="1">
      <c r="C48" s="25">
        <f>+C47+C46</f>
        <v>82702.82419444445</v>
      </c>
      <c r="H48" s="24"/>
      <c r="I48" s="24"/>
      <c r="J48" s="28"/>
      <c r="K48" s="24"/>
      <c r="L48" s="29"/>
      <c r="M48" s="24"/>
      <c r="N48" s="24"/>
      <c r="O48" s="24"/>
    </row>
    <row r="49" spans="8:15" ht="13.5" thickTop="1">
      <c r="H49" s="24"/>
      <c r="I49" s="24"/>
      <c r="J49" s="28"/>
      <c r="K49" s="24"/>
      <c r="L49" s="29"/>
      <c r="M49" s="24"/>
      <c r="N49" s="24"/>
      <c r="O49" s="24"/>
    </row>
    <row r="50" spans="8:15" ht="12.75">
      <c r="H50" s="24"/>
      <c r="I50" s="24"/>
      <c r="J50" s="28"/>
      <c r="K50" s="24"/>
      <c r="L50" s="29"/>
      <c r="M50" s="24"/>
      <c r="N50" s="24"/>
      <c r="O50" s="24"/>
    </row>
    <row r="51" spans="8:15" ht="12.75">
      <c r="H51" s="24"/>
      <c r="I51" s="24"/>
      <c r="J51" s="28"/>
      <c r="K51" s="24"/>
      <c r="L51" s="29"/>
      <c r="M51" s="24"/>
      <c r="N51" s="24"/>
      <c r="O51" s="24"/>
    </row>
    <row r="52" spans="8:15" ht="12.75">
      <c r="H52" s="24"/>
      <c r="I52" s="24"/>
      <c r="J52" s="28"/>
      <c r="K52" s="24"/>
      <c r="L52" s="29"/>
      <c r="M52" s="24"/>
      <c r="N52" s="24"/>
      <c r="O52" s="24"/>
    </row>
    <row r="53" spans="8:15" ht="12.75">
      <c r="H53" s="24"/>
      <c r="I53" s="24"/>
      <c r="J53" s="28"/>
      <c r="K53" s="24"/>
      <c r="L53" s="29"/>
      <c r="M53" s="24"/>
      <c r="N53" s="24"/>
      <c r="O53" s="24"/>
    </row>
    <row r="54" spans="8:15" ht="12.75">
      <c r="H54" s="24"/>
      <c r="I54" s="24"/>
      <c r="J54" s="28"/>
      <c r="K54" s="24"/>
      <c r="L54" s="29"/>
      <c r="M54" s="24"/>
      <c r="N54" s="24"/>
      <c r="O54" s="24"/>
    </row>
    <row r="55" spans="8:15" ht="12.75">
      <c r="H55" s="24"/>
      <c r="I55" s="24"/>
      <c r="J55" s="28"/>
      <c r="K55" s="24"/>
      <c r="L55" s="29"/>
      <c r="M55" s="24"/>
      <c r="N55" s="24"/>
      <c r="O55" s="2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Kelly Mccann</cp:lastModifiedBy>
  <cp:lastPrinted>2011-12-02T21:22:25Z</cp:lastPrinted>
  <dcterms:created xsi:type="dcterms:W3CDTF">2002-02-08T04:44:26Z</dcterms:created>
  <dcterms:modified xsi:type="dcterms:W3CDTF">2011-12-02T21:22:39Z</dcterms:modified>
  <cp:category/>
  <cp:version/>
  <cp:contentType/>
  <cp:contentStatus/>
</cp:coreProperties>
</file>