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520" tabRatio="938" activeTab="2"/>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<sst xmlns="http://schemas.openxmlformats.org/spreadsheetml/2006/main" count="1366" uniqueCount="244">
  <si>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</si>
  <si>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</si>
  <si>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</si>
  <si>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</si>
  <si>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</si>
  <si>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</si>
  <si>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</si>
  <si>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</si>
  <si>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</si>
  <si>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</si>
  <si>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</si>
  <si>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</si>
  <si>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</si>
  <si>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</si>
  <si>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</si>
  <si>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</si>
  <si>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</si>
  <si>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</si>
  <si>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</si>
  <si>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</si>
  <si>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</si>
  <si>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</si>
  <si>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</si>
  <si>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</si>
  <si>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</si>
  <si>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</si>
  <si>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</si>
  <si>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</si>
  <si>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</si>
  <si>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</si>
  <si>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</si>
  <si>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</si>
  <si>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</si>
  <si>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</si>
  <si>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</si>
  <si>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</si>
  <si>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</si>
  <si>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</si>
  <si>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</si>
  <si>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</si>
  <si>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</si>
  <si>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</si>
  <si>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</si>
  <si>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</si>
  <si>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</si>
  <si>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</si>
  <si>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</si>
  <si>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</si>
  <si>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</si>
  <si>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</si>
  <si>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</si>
  <si>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</si>
  <si>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</si>
  <si>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</si>
  <si>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</si>
  <si>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</si>
  <si>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</si>
  <si>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</si>
  <si>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</si>
  <si>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</si>
  <si>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</si>
  <si>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</si>
  <si>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</si>
  <si>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</si>
  <si>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</si>
  <si>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</si>
  <si>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</si>
  <si>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</si>
  <si>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</si>
  <si>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</si>
  <si>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</si>
  <si>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</si>
  <si>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</si>
  <si>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</si>
  <si>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</si>
  <si>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</si>
  <si>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</si>
  <si>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</si>
  <si>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</si>
  <si>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</si>
  <si>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</si>
  <si>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</si>
  <si>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</si>
  <si>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</si>
  <si>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</si>
  <si>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</si>
  <si>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</si>
  <si>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</si>
  <si>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</si>
  <si>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</si>
  <si>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</si>
  <si>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</si>
  <si>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</si>
  <si>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</si>
  <si>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</si>
  <si>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</si>
  <si>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</si>
  <si>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</si>
  <si>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</si>
  <si>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</si>
  <si>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</si>
  <si>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</si>
  <si>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</si>
  <si>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</si>
  <si>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</si>
  <si>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</si>
  <si>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</si>
  <si>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</si>
  <si>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</si>
  <si>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</si>
  <si>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</si>
  <si>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</si>
  <si>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</si>
  <si>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</si>
  <si>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</si>
  <si>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</si>
  <si>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</si>
  <si>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</si>
  <si>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</si>
  <si>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</si>
  <si>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</si>
  <si>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</si>
  <si>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</si>
  <si>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</si>
  <si>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</si>
  <si>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</si>
  <si>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</si>
  <si>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</si>
  <si>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</si>
  <si>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</si>
  <si>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</si>
  <si>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</si>
  <si>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</si>
  <si>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</si>
  <si>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</si>
  <si>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</si>
  <si>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</si>
  <si>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</si>
  <si>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</si>
  <si>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</si>
  <si>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</si>
  <si>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</si>
  <si>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</si>
  <si>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</si>
  <si>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</si>
  <si>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</si>
  <si>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</si>
  <si>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</si>
  <si>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</si>
  <si>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</si>
  <si>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</si>
  <si>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</si>
  <si>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</si>
  <si>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</si>
  <si>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</si>
  <si>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</si>
  <si>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</si>
  <si>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</si>
  <si>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</si>
  <si>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</si>
  <si>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</si>
  <si>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</si>
  <si>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</si>
  <si>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</si>
  <si>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</si>
  <si>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</si>
  <si>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</si>
  <si>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</si>
  <si>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</si>
  <si>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</si>
  <si>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</si>
  <si>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</si>
  <si>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</si>
  <si>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</si>
  <si>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</si>
  <si>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</si>
  <si>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</si>
  <si>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</si>
  <si>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</si>
  <si>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</si>
  <si>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</si>
  <si>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</si>
  <si>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</si>
  <si>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</si>
  <si>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</si>
  <si>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</si>
  <si>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</si>
  <si>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</si>
  <si>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</si>
  <si>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</si>
  <si>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</si>
  <si>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</si>
  <si>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</si>
  <si>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</si>
  <si>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</si>
  <si>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</si>
  <si>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</si>
  <si>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</si>
  <si>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</si>
  <si>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</si>
  <si>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</si>
  <si>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</si>
  <si>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</si>
  <si>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</si>
  <si>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</si>
  <si>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</si>
  <si>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</si>
  <si>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</si>
  <si>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</si>
  <si>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</si>
  <si>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</si>
  <si>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</si>
  <si>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</si>
  <si>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</si>
  <si>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</si>
  <si>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</si>
  <si>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</si>
  <si>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</si>
  <si>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</si>
  <si>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</si>
  <si>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</si>
  <si>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</si>
  <si>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</si>
  <si>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</si>
  <si>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</si>
  <si>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</si>
  <si>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</si>
  <si>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</si>
  <si>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</si>
  <si>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</si>
  <si>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RP-2005-0013</t>
  </si>
  <si>
    <t>EB-2005-0027</t>
  </si>
  <si>
    <t>Debbie Reece</t>
  </si>
  <si>
    <t>dreece@festivalhydro.com</t>
  </si>
  <si>
    <t>519-271-4703</t>
  </si>
  <si>
    <t>January 14, 2005</t>
  </si>
  <si>
    <t>General Service &gt; 50 KW Customer 1</t>
  </si>
  <si>
    <t>General Service &gt; 50 KW Customer 2</t>
  </si>
  <si>
    <t>General Service &gt; 50 kW Class (Time of Use) - Customer 1</t>
  </si>
  <si>
    <t>General Service &gt; 50 kW Class (Time of Use) - Customer 2</t>
  </si>
  <si>
    <t>Festival Hydro Inc-Seaforth Residential Rates</t>
  </si>
  <si>
    <t xml:space="preserve">GENERAL SERVICE &gt; 50 KW (TIME OF USE) </t>
  </si>
  <si>
    <t>ED-2002-0153</t>
  </si>
  <si>
    <t>No</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</si>
</sst>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 numFmtId="204" formatCode="_(* #,##0.0000_);_(* \(#,##0.0000\);_(* &quot;-&quot;????_);_(@_)"/>
    <numFmt numFmtId="205" formatCode="&quot;$&quot;#,##0.00000;\-&quot;$&quot;#,##0.00000"/>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0"/>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0"/>
    </font>
    <font>
      <b/>
      <sz val="18"/>
      <name val="Arial"/>
      <family val="0"/>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7">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97" fontId="0" fillId="33" borderId="0" xfId="0" applyNumberFormat="1" applyFill="1" applyAlignment="1">
      <alignment/>
    </xf>
    <xf numFmtId="37" fontId="0" fillId="33" borderId="0" xfId="0" applyNumberFormat="1" applyFill="1" applyBorder="1" applyAlignment="1">
      <alignment/>
    </xf>
    <xf numFmtId="178" fontId="0" fillId="35" borderId="9" xfId="0" applyNumberFormat="1" applyFont="1" applyFill="1" applyBorder="1" applyAlignment="1">
      <alignment/>
    </xf>
    <xf numFmtId="189" fontId="0" fillId="33" borderId="9" xfId="0" applyNumberFormat="1" applyFont="1" applyFill="1" applyBorder="1" applyAlignment="1">
      <alignment horizontal="center" wrapText="1"/>
    </xf>
    <xf numFmtId="178" fontId="0" fillId="33" borderId="9" xfId="45" applyNumberFormat="1" applyFont="1" applyFill="1" applyBorder="1" applyAlignment="1">
      <alignment horizontal="center"/>
    </xf>
    <xf numFmtId="179" fontId="0" fillId="33" borderId="9" xfId="0" applyNumberFormat="1" applyFont="1" applyFill="1" applyBorder="1" applyAlignment="1">
      <alignment horizontal="center" wrapText="1"/>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23" fillId="35" borderId="9" xfId="58" applyFont="1" applyFill="1" applyBorder="1" applyAlignment="1" applyProtection="1">
      <alignment horizontal="left" vertical="center"/>
      <protection locked="0"/>
    </xf>
    <xf numFmtId="0" fontId="17" fillId="33" borderId="0" xfId="0" applyFont="1" applyFill="1" applyAlignment="1" applyProtection="1">
      <alignment horizontal="center"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8" fillId="33" borderId="53" xfId="0" applyFont="1" applyFill="1" applyBorder="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72" activePane="bottomRight" state="frozen"/>
      <selection pane="topLeft" activeCell="A1" sqref="A1"/>
      <selection pane="topRight" activeCell="M1" sqref="M1"/>
      <selection pane="bottomLeft" activeCell="A29" sqref="A29"/>
      <selection pane="bottomRight" activeCell="B12" sqref="B12:E12"/>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98" t="s">
        <v>211</v>
      </c>
      <c r="B1" s="498"/>
      <c r="C1" s="498"/>
      <c r="D1" s="498"/>
      <c r="E1" s="498"/>
      <c r="F1" s="498"/>
      <c r="G1" s="498"/>
    </row>
    <row r="2" spans="1:6" ht="27.75">
      <c r="A2" s="473"/>
      <c r="B2" s="473"/>
      <c r="C2" s="473"/>
      <c r="D2" s="473"/>
      <c r="E2" s="473"/>
      <c r="F2" s="473"/>
    </row>
    <row r="4" spans="1:5" ht="15.75" customHeight="1">
      <c r="A4" s="33" t="s">
        <v>65</v>
      </c>
      <c r="B4" s="495" t="s">
        <v>240</v>
      </c>
      <c r="C4" s="495"/>
      <c r="D4" s="495"/>
      <c r="E4" s="495"/>
    </row>
    <row r="5" spans="1:5" ht="15.75" customHeight="1">
      <c r="A5" s="475"/>
      <c r="B5" s="476"/>
      <c r="C5" s="476"/>
      <c r="D5" s="476"/>
      <c r="E5" s="476"/>
    </row>
    <row r="6" spans="1:5" ht="15.75" customHeight="1">
      <c r="A6" s="33" t="s">
        <v>68</v>
      </c>
      <c r="B6" s="495" t="s">
        <v>242</v>
      </c>
      <c r="C6" s="495"/>
      <c r="D6" s="495"/>
      <c r="E6" s="495"/>
    </row>
    <row r="7" spans="1:5" ht="15.75" customHeight="1">
      <c r="A7" s="33"/>
      <c r="B7" s="477"/>
      <c r="C7" s="477"/>
      <c r="D7" s="477"/>
      <c r="E7" s="477"/>
    </row>
    <row r="8" spans="1:5" ht="15.75" customHeight="1">
      <c r="A8" s="33" t="s">
        <v>223</v>
      </c>
      <c r="B8" s="495" t="s">
        <v>230</v>
      </c>
      <c r="C8" s="495"/>
      <c r="D8" s="495"/>
      <c r="E8" s="495"/>
    </row>
    <row r="9" spans="1:5" ht="15.75" customHeight="1">
      <c r="A9" s="33"/>
      <c r="B9" s="477"/>
      <c r="C9" s="477"/>
      <c r="D9" s="477"/>
      <c r="E9" s="477"/>
    </row>
    <row r="10" spans="1:5" ht="15.75" customHeight="1">
      <c r="A10" s="33"/>
      <c r="B10" s="495" t="s">
        <v>231</v>
      </c>
      <c r="C10" s="495"/>
      <c r="D10" s="495"/>
      <c r="E10" s="495"/>
    </row>
    <row r="11" spans="1:6" ht="15.75" customHeight="1">
      <c r="A11" s="475"/>
      <c r="B11" s="477"/>
      <c r="C11" s="477"/>
      <c r="D11" s="478"/>
      <c r="E11" s="478"/>
      <c r="F11" s="479"/>
    </row>
    <row r="12" spans="1:6" ht="15.75" customHeight="1">
      <c r="A12" s="33" t="s">
        <v>66</v>
      </c>
      <c r="B12" s="495" t="s">
        <v>232</v>
      </c>
      <c r="C12" s="495"/>
      <c r="D12" s="495"/>
      <c r="E12" s="495"/>
      <c r="F12" s="479"/>
    </row>
    <row r="13" spans="1:6" ht="15.75" customHeight="1">
      <c r="A13" s="475"/>
      <c r="B13" s="494"/>
      <c r="C13" s="494"/>
      <c r="D13" s="478"/>
      <c r="E13" s="478"/>
      <c r="F13" s="479"/>
    </row>
    <row r="14" spans="1:6" ht="15.75" customHeight="1">
      <c r="A14" s="33" t="s">
        <v>67</v>
      </c>
      <c r="B14" s="497" t="s">
        <v>233</v>
      </c>
      <c r="C14" s="495"/>
      <c r="D14" s="495"/>
      <c r="E14" s="495"/>
      <c r="F14" s="479"/>
    </row>
    <row r="15" spans="1:6" ht="15.75" customHeight="1">
      <c r="A15" s="475"/>
      <c r="B15" s="477"/>
      <c r="C15" s="478"/>
      <c r="D15" s="478"/>
      <c r="E15" s="478"/>
      <c r="F15" s="479"/>
    </row>
    <row r="16" spans="1:6" ht="15.75" customHeight="1">
      <c r="A16" s="33" t="s">
        <v>69</v>
      </c>
      <c r="B16" s="474" t="s">
        <v>234</v>
      </c>
      <c r="C16" s="480" t="s">
        <v>204</v>
      </c>
      <c r="D16" s="496">
        <v>268</v>
      </c>
      <c r="E16" s="496"/>
      <c r="F16" s="479"/>
    </row>
    <row r="17" spans="1:6" ht="15.75" customHeight="1">
      <c r="A17" s="475"/>
      <c r="B17" s="478"/>
      <c r="C17" s="478"/>
      <c r="D17" s="478"/>
      <c r="E17" s="478"/>
      <c r="F17" s="479"/>
    </row>
    <row r="18" spans="1:5" ht="15.75" customHeight="1">
      <c r="A18" s="33" t="s">
        <v>70</v>
      </c>
      <c r="B18" s="493" t="s">
        <v>235</v>
      </c>
      <c r="C18" s="493"/>
      <c r="D18" s="493"/>
      <c r="E18" s="493"/>
    </row>
    <row r="19" spans="2:5" ht="12.75">
      <c r="B19" s="481"/>
      <c r="C19" s="481"/>
      <c r="D19" s="481"/>
      <c r="E19" s="481"/>
    </row>
    <row r="20" spans="3:5" ht="12.75">
      <c r="C20" s="481"/>
      <c r="D20" s="481"/>
      <c r="E20" s="481"/>
    </row>
    <row r="21" spans="1:5" ht="15.7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A8" sqref="A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503" t="str">
        <f>"Name of Utility:      "&amp;'Info Sheet'!B4</f>
        <v>Name of Utility:      Festival Hydro Inc-Seaforth Residential Rates</v>
      </c>
      <c r="B3" s="504"/>
      <c r="C3" s="504"/>
      <c r="D3" s="461" t="str">
        <f>'Info Sheet'!$B$21</f>
        <v>2005.V1.1</v>
      </c>
      <c r="E3" s="36"/>
    </row>
    <row r="4" spans="1:5" ht="18">
      <c r="A4" s="304" t="str">
        <f>"License Number:   "&amp;'Info Sheet'!B6</f>
        <v>License Number:   ED-2002-0153</v>
      </c>
      <c r="B4" s="27"/>
      <c r="C4" s="397"/>
      <c r="D4" s="400" t="str">
        <f>'Info Sheet'!B8</f>
        <v>RP-2005-0013</v>
      </c>
      <c r="E4" s="36"/>
    </row>
    <row r="5" spans="1:4" ht="15.75">
      <c r="A5" s="500" t="str">
        <f>"Name of Contact:  "&amp;'Info Sheet'!B12</f>
        <v>Name of Contact:  Debbie Reece</v>
      </c>
      <c r="B5" s="501"/>
      <c r="C5" s="501"/>
      <c r="D5" s="400" t="str">
        <f>'Info Sheet'!B10</f>
        <v>EB-2005-0027</v>
      </c>
    </row>
    <row r="6" spans="1:4" ht="18" customHeight="1">
      <c r="A6" s="505" t="str">
        <f>"E- Mail Address:    "&amp;'Info Sheet'!B14</f>
        <v>E- Mail Address:    dreece@festivalhydro.com</v>
      </c>
      <c r="B6" s="502"/>
      <c r="C6" s="502"/>
      <c r="D6" s="100"/>
    </row>
    <row r="7" spans="1:4" ht="15.75">
      <c r="A7" s="304" t="str">
        <f>"Phone Number:     "&amp;'Info Sheet'!B16</f>
        <v>Phone Number:     519-271-4703</v>
      </c>
      <c r="B7" s="502" t="str">
        <f>'Info Sheet'!$C$16&amp;" "&amp;'Info Sheet'!$D$16</f>
        <v>Extension: 268</v>
      </c>
      <c r="C7" s="502"/>
      <c r="D7" s="100"/>
    </row>
    <row r="8" spans="1:4" ht="16.5" thickBot="1">
      <c r="A8" s="305" t="str">
        <f>"Date:                      "&amp;('Info Sheet'!B18)</f>
        <v>Date:                      January 14,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0.012084636363523787</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15.648077754677756</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c>
      <c r="C37" s="15"/>
      <c r="D37" s="49"/>
      <c r="E37" s="15"/>
      <c r="F37" s="15"/>
      <c r="G37" s="15"/>
    </row>
    <row r="38" spans="2:7" ht="12.75">
      <c r="B38" s="15"/>
      <c r="C38" s="15"/>
      <c r="D38" s="49"/>
      <c r="E38" s="15"/>
      <c r="F38" s="15"/>
      <c r="G38" s="15"/>
    </row>
    <row r="39" spans="1:7" ht="12.75">
      <c r="A39" s="9" t="s">
        <v>23</v>
      </c>
      <c r="B39" s="49">
        <f>IF('5. 2005 Rate Sch. with PILs'!B39="","",'5. 2005 Rate Sch. with PILs'!B39)</f>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c>
      <c r="C65" s="15"/>
      <c r="D65" s="49"/>
      <c r="E65" s="15"/>
      <c r="F65" s="15"/>
      <c r="G65" s="15"/>
    </row>
    <row r="66" spans="2:7" ht="12.75">
      <c r="B66" s="15"/>
      <c r="C66" s="15"/>
      <c r="D66" s="49"/>
      <c r="E66" s="15"/>
      <c r="F66" s="15"/>
      <c r="G66" s="15"/>
    </row>
    <row r="67" spans="1:7" ht="12.75">
      <c r="A67" s="9" t="s">
        <v>24</v>
      </c>
      <c r="B67" s="49">
        <f>IF('5. 2005 Rate Sch. with PILs'!B67="","",'5. 2005 Rate Sch. with PILs'!B67)</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c>
      <c r="C80" s="15"/>
      <c r="D80" s="49"/>
      <c r="E80" s="15"/>
      <c r="F80" s="15"/>
      <c r="G80" s="15"/>
    </row>
    <row r="81" spans="2:7" ht="12.75">
      <c r="B81" s="15"/>
      <c r="C81" s="15"/>
      <c r="D81" s="49"/>
      <c r="E81" s="15"/>
      <c r="F81" s="15"/>
      <c r="G81" s="15"/>
    </row>
    <row r="82" spans="1:7" ht="12.75">
      <c r="A82" s="9" t="s">
        <v>24</v>
      </c>
      <c r="B82" s="49">
        <f>IF('5. 2005 Rate Sch. with PILs'!B82="","",'5. 2005 Rate Sch. with PILs'!B82)</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41" t="str">
        <f>"Name of Utility:      "&amp;'Info Sheet'!B4</f>
        <v>Name of Utility:      Festival Hydro Inc-Seaforth Residential Rates</v>
      </c>
      <c r="B3" s="542"/>
      <c r="C3" s="542"/>
      <c r="D3" s="542"/>
      <c r="E3" s="542"/>
      <c r="F3" s="543"/>
      <c r="G3" s="543"/>
      <c r="H3" s="399" t="str">
        <f>'Info Sheet'!$B$21</f>
        <v>2005.V1.1</v>
      </c>
    </row>
    <row r="4" spans="1:8" s="9" customFormat="1" ht="15.75">
      <c r="A4" s="529" t="str">
        <f>"License Number:   "&amp;'Info Sheet'!B6</f>
        <v>License Number:   ED-2002-0153</v>
      </c>
      <c r="B4" s="544"/>
      <c r="C4" s="544"/>
      <c r="D4" s="544"/>
      <c r="E4" s="544"/>
      <c r="F4" s="545"/>
      <c r="G4" s="545"/>
      <c r="H4" s="400" t="str">
        <f>'Info Sheet'!B8</f>
        <v>RP-2005-0013</v>
      </c>
    </row>
    <row r="5" spans="1:8" s="9" customFormat="1" ht="15.75">
      <c r="A5" s="529" t="str">
        <f>"Name of Contact:  "&amp;'Info Sheet'!B12</f>
        <v>Name of Contact:  Debbie Reece</v>
      </c>
      <c r="B5" s="544"/>
      <c r="C5" s="544"/>
      <c r="D5" s="544"/>
      <c r="E5" s="544"/>
      <c r="F5" s="545"/>
      <c r="G5" s="545"/>
      <c r="H5" s="400" t="str">
        <f>'Info Sheet'!B10</f>
        <v>EB-2005-0027</v>
      </c>
    </row>
    <row r="6" spans="1:12" s="9" customFormat="1" ht="15.75">
      <c r="A6" s="546" t="str">
        <f>"E- Mail Address:    "&amp;'Info Sheet'!B14</f>
        <v>E- Mail Address:    dreece@festivalhydro.com</v>
      </c>
      <c r="B6" s="544"/>
      <c r="C6" s="544"/>
      <c r="D6" s="544"/>
      <c r="E6" s="544"/>
      <c r="F6" s="545"/>
      <c r="G6" s="545"/>
      <c r="H6" s="100"/>
      <c r="K6" s="502"/>
      <c r="L6" s="502"/>
    </row>
    <row r="7" spans="1:8" s="9" customFormat="1" ht="15.75">
      <c r="A7" s="529" t="str">
        <f>"Phone Number:     "&amp;'Info Sheet'!B16</f>
        <v>Phone Number:     519-271-4703</v>
      </c>
      <c r="B7" s="530"/>
      <c r="C7" s="530"/>
      <c r="D7" s="530"/>
      <c r="E7" s="530"/>
      <c r="F7" s="502" t="str">
        <f>'Info Sheet'!$C$16&amp;" "&amp;'Info Sheet'!$D$16</f>
        <v>Extension: 268</v>
      </c>
      <c r="G7" s="502"/>
      <c r="H7" s="100"/>
    </row>
    <row r="8" spans="1:8" s="9" customFormat="1" ht="16.5" thickBot="1">
      <c r="A8" s="531" t="str">
        <f>"Date:                      "&amp;('Info Sheet'!B18)</f>
        <v>Date:                      January 14, 2005</v>
      </c>
      <c r="B8" s="532"/>
      <c r="C8" s="532"/>
      <c r="D8" s="532"/>
      <c r="E8" s="532"/>
      <c r="F8" s="533"/>
      <c r="G8" s="533"/>
      <c r="H8" s="150"/>
    </row>
    <row r="9" spans="6:8" ht="14.25">
      <c r="F9" s="362"/>
      <c r="G9" s="362"/>
      <c r="H9" s="362"/>
    </row>
    <row r="10" spans="1:9" ht="15" customHeight="1">
      <c r="A10" s="540" t="s">
        <v>221</v>
      </c>
      <c r="B10" s="540"/>
      <c r="C10" s="540"/>
      <c r="D10" s="540"/>
      <c r="E10" s="540"/>
      <c r="F10" s="540"/>
      <c r="G10" s="540"/>
      <c r="H10" s="540"/>
      <c r="I10" s="540"/>
    </row>
    <row r="11" spans="1:9" ht="33.75" customHeight="1">
      <c r="A11" s="540"/>
      <c r="B11" s="540"/>
      <c r="C11" s="540"/>
      <c r="D11" s="540"/>
      <c r="E11" s="540"/>
      <c r="F11" s="540"/>
      <c r="G11" s="540"/>
      <c r="H11" s="540"/>
      <c r="I11" s="540"/>
    </row>
    <row r="14" ht="15" thickBot="1"/>
    <row r="15" spans="2:8" ht="14.25">
      <c r="B15" s="537" t="s">
        <v>161</v>
      </c>
      <c r="C15" s="367"/>
      <c r="D15" s="367"/>
      <c r="E15" s="367"/>
      <c r="F15" s="367"/>
      <c r="G15" s="367"/>
      <c r="H15" s="534" t="s">
        <v>196</v>
      </c>
    </row>
    <row r="16" spans="2:8" ht="11.25" customHeight="1">
      <c r="B16" s="538"/>
      <c r="C16" s="368"/>
      <c r="D16" s="368"/>
      <c r="E16" s="368"/>
      <c r="F16" s="368"/>
      <c r="G16" s="368"/>
      <c r="H16" s="535"/>
    </row>
    <row r="17" spans="2:8" ht="15" thickBot="1">
      <c r="B17" s="539"/>
      <c r="C17" s="391"/>
      <c r="D17" s="391"/>
      <c r="E17" s="391"/>
      <c r="F17" s="391"/>
      <c r="G17" s="391"/>
      <c r="H17" s="536"/>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zoomScalePageLayoutView="0" workbookViewId="0" topLeftCell="A1">
      <selection activeCell="F14" sqref="F14"/>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7" t="str">
        <f>IF(ISBLANK('Info Sheet'!B4),"",'Info Sheet'!B4)</f>
        <v>Festival Hydro Inc-Seaforth Residential Rates</v>
      </c>
      <c r="B1" s="547"/>
      <c r="C1" s="547"/>
      <c r="D1" s="547"/>
      <c r="E1" s="547"/>
      <c r="F1" s="547"/>
      <c r="G1" s="547"/>
      <c r="H1" s="547"/>
    </row>
    <row r="2" spans="1:8" ht="15.75">
      <c r="A2" s="547" t="str">
        <f>IF(ISBLANK('Info Sheet'!B6),"",'Info Sheet'!B8&amp;"    "&amp;'Info Sheet'!B10)</f>
        <v>RP-2005-0013    EB-2005-0027</v>
      </c>
      <c r="B2" s="547"/>
      <c r="C2" s="547"/>
      <c r="D2" s="547"/>
      <c r="E2" s="547"/>
      <c r="F2" s="547"/>
      <c r="G2" s="547"/>
      <c r="H2" s="547"/>
    </row>
    <row r="3" spans="1:8" ht="15.75">
      <c r="A3" s="547" t="s">
        <v>197</v>
      </c>
      <c r="B3" s="547"/>
      <c r="C3" s="547"/>
      <c r="D3" s="547"/>
      <c r="E3" s="547"/>
      <c r="F3" s="547"/>
      <c r="G3" s="547"/>
      <c r="H3" s="547"/>
    </row>
    <row r="4" spans="1:8" ht="15.75" customHeight="1">
      <c r="A4" s="548" t="s">
        <v>198</v>
      </c>
      <c r="B4" s="548"/>
      <c r="C4" s="548"/>
      <c r="D4" s="548"/>
      <c r="E4" s="548"/>
      <c r="F4" s="548"/>
      <c r="G4" s="548"/>
      <c r="H4" s="548"/>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15.648077754677756</v>
      </c>
      <c r="G13" s="301"/>
      <c r="H13" s="301"/>
    </row>
    <row r="14" spans="1:7" ht="15">
      <c r="A14" s="132"/>
      <c r="B14" s="308"/>
      <c r="C14" s="372" t="s">
        <v>27</v>
      </c>
      <c r="E14" s="374" t="s">
        <v>29</v>
      </c>
      <c r="F14" s="16">
        <f>IF('9. 2005 Rate Sch. Reg. Assets'!$B$16="","",'9. 2005 Rate Sch. Reg. Assets'!$B$16+'10. Rate Rider Calculations'!$H$18)</f>
        <v>0.012084636363523787</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c>
      <c r="G25" s="302"/>
      <c r="H25" s="301"/>
    </row>
    <row r="26" spans="1:7" ht="15">
      <c r="A26" s="132"/>
      <c r="B26" s="308"/>
      <c r="C26" s="372" t="s">
        <v>27</v>
      </c>
      <c r="E26" s="374" t="s">
        <v>29</v>
      </c>
      <c r="F26" s="16">
        <f>IF('9. 2005 Rate Sch. Reg. Assets'!$B$30="","",'9. 2005 Rate Sch. Reg. Assets'!$B$30+'10. Rate Rider Calculations'!$H$19)</f>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c>
      <c r="G31" s="15"/>
    </row>
    <row r="32" spans="1:7" ht="15">
      <c r="A32" s="132"/>
      <c r="B32" s="308"/>
      <c r="C32" s="372" t="s">
        <v>27</v>
      </c>
      <c r="E32" s="374" t="s">
        <v>32</v>
      </c>
      <c r="F32" s="16">
        <f>IF('9. 2005 Rate Sch. Reg. Assets'!$B$37="","",'9. 2005 Rate Sch. Reg. Assets'!$B$37+'10. Rate Rider Calculations'!$H$20)</f>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c>
      <c r="G56" s="15"/>
    </row>
    <row r="57" spans="1:7" ht="15">
      <c r="A57" s="132"/>
      <c r="B57" s="308"/>
      <c r="C57" s="372" t="s">
        <v>27</v>
      </c>
      <c r="E57" s="374" t="s">
        <v>32</v>
      </c>
      <c r="F57" s="16">
        <f>IF('9. 2005 Rate Sch. Reg. Assets'!$B$65="","",'9. 2005 Rate Sch. Reg. Assets'!$B$65+'10. Rate Rider Calculations'!$H$24)</f>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c>
      <c r="G68" s="15"/>
    </row>
    <row r="69" spans="1:7" ht="14.25" customHeight="1">
      <c r="A69" s="132"/>
      <c r="B69" s="308"/>
      <c r="C69" s="372" t="s">
        <v>27</v>
      </c>
      <c r="E69" s="374" t="s">
        <v>32</v>
      </c>
      <c r="F69" s="16">
        <f>IF('9. 2005 Rate Sch. Reg. Assets'!$B$80="","",'9. 2005 Rate Sch. Reg. Assets'!$B$80+'10. Rate Rider Calculations'!$H$25)</f>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4">
      <selection activeCell="D22" sqref="D22"/>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503" t="str">
        <f>"Name of Utility:      "&amp;'Info Sheet'!B4</f>
        <v>Name of Utility:      Festival Hydro Inc-Seaforth Residential Rates</v>
      </c>
      <c r="B3" s="504"/>
      <c r="C3" s="504"/>
      <c r="D3" s="461" t="str">
        <f>'Info Sheet'!$B$21</f>
        <v>2005.V1.1</v>
      </c>
      <c r="E3" s="36"/>
      <c r="F3" s="14"/>
    </row>
    <row r="4" spans="1:6" ht="15.75">
      <c r="A4" s="304" t="str">
        <f>"License Number:   "&amp;'Info Sheet'!B6</f>
        <v>License Number:   ED-2002-0153</v>
      </c>
      <c r="B4" s="462"/>
      <c r="C4" s="396"/>
      <c r="D4" s="400" t="str">
        <f>'Info Sheet'!B8</f>
        <v>RP-2005-0013</v>
      </c>
      <c r="E4" s="36"/>
      <c r="F4" s="14"/>
    </row>
    <row r="5" spans="1:4" ht="15.75">
      <c r="A5" s="500" t="str">
        <f>"Name of Contact:  "&amp;'Info Sheet'!B12</f>
        <v>Name of Contact:  Debbie Reece</v>
      </c>
      <c r="B5" s="501"/>
      <c r="C5" s="501"/>
      <c r="D5" s="400" t="str">
        <f>'Info Sheet'!B10</f>
        <v>EB-2005-0027</v>
      </c>
    </row>
    <row r="6" spans="1:4" ht="15.75">
      <c r="A6" s="505" t="str">
        <f>"E- Mail Address:    "&amp;'Info Sheet'!B14</f>
        <v>E- Mail Address:    dreece@festivalhydro.com</v>
      </c>
      <c r="B6" s="502"/>
      <c r="C6" s="502"/>
      <c r="D6" s="466"/>
    </row>
    <row r="7" spans="1:4" ht="15.75">
      <c r="A7" s="304" t="str">
        <f>"Phone Number:     "&amp;'Info Sheet'!B16</f>
        <v>Phone Number:     519-271-4703</v>
      </c>
      <c r="B7" s="502" t="str">
        <f>'Info Sheet'!$C$16&amp;" "&amp;'Info Sheet'!$D$16</f>
        <v>Extension: 268</v>
      </c>
      <c r="C7" s="502"/>
      <c r="D7" s="466"/>
    </row>
    <row r="8" spans="1:4" ht="16.5" thickBot="1">
      <c r="A8" s="305" t="str">
        <f>"Date:                      "&amp;('Info Sheet'!B18)</f>
        <v>Date:                      January 14, 2005</v>
      </c>
      <c r="B8" s="464"/>
      <c r="C8" s="465"/>
      <c r="D8" s="467"/>
    </row>
    <row r="9" spans="1:3" ht="15.75">
      <c r="A9" s="28"/>
      <c r="B9" s="29"/>
      <c r="C9" s="27"/>
    </row>
    <row r="10" spans="1:5" ht="16.5" customHeight="1">
      <c r="A10" s="549" t="s">
        <v>199</v>
      </c>
      <c r="B10" s="549"/>
      <c r="C10" s="549"/>
      <c r="D10" s="549"/>
      <c r="E10" s="35"/>
    </row>
    <row r="11" spans="1:5" ht="16.5" customHeight="1">
      <c r="A11" s="549"/>
      <c r="B11" s="549"/>
      <c r="C11" s="549"/>
      <c r="D11" s="549"/>
      <c r="E11" s="35"/>
    </row>
    <row r="12" spans="1:5" ht="14.25" customHeight="1">
      <c r="A12" s="313" t="s">
        <v>63</v>
      </c>
      <c r="B12" s="393"/>
      <c r="C12" s="40"/>
      <c r="D12" s="311"/>
      <c r="E12" s="35"/>
    </row>
    <row r="13" spans="1:5" ht="6" customHeight="1">
      <c r="A13" s="499"/>
      <c r="B13" s="499"/>
      <c r="C13" s="499"/>
      <c r="D13" s="499"/>
      <c r="E13" s="499"/>
    </row>
    <row r="14" spans="1:5" ht="6" customHeight="1">
      <c r="A14" s="499"/>
      <c r="B14" s="499"/>
      <c r="C14" s="499"/>
      <c r="D14" s="499"/>
      <c r="E14" s="499"/>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489">
        <v>0.01112</v>
      </c>
      <c r="E19" s="15"/>
      <c r="F19" s="15"/>
      <c r="G19" s="15"/>
    </row>
    <row r="20" spans="1:7" ht="12.75">
      <c r="A20" s="112"/>
      <c r="B20" s="112"/>
      <c r="C20" s="113"/>
      <c r="D20" s="113"/>
      <c r="E20" s="15"/>
      <c r="F20" s="15"/>
      <c r="G20" s="15"/>
    </row>
    <row r="21" spans="1:7" ht="12.75">
      <c r="A21" s="109" t="s">
        <v>74</v>
      </c>
      <c r="B21" s="109"/>
      <c r="C21" s="110"/>
      <c r="D21" s="114">
        <v>15.75</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c r="E33" s="15"/>
      <c r="F33" s="15"/>
      <c r="G33" s="15"/>
    </row>
    <row r="34" spans="1:7" ht="12.75">
      <c r="A34" s="112"/>
      <c r="C34" s="15"/>
      <c r="D34" s="15"/>
      <c r="E34" s="15"/>
      <c r="F34" s="15"/>
      <c r="G34" s="15"/>
    </row>
    <row r="35" spans="1:7" ht="12.75">
      <c r="A35" s="109" t="s">
        <v>74</v>
      </c>
      <c r="B35" s="34"/>
      <c r="C35" s="23"/>
      <c r="D35" s="108"/>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c r="E40" s="15"/>
      <c r="F40" s="15"/>
      <c r="G40" s="15"/>
    </row>
    <row r="41" spans="1:7" ht="12.75">
      <c r="A41" s="112"/>
      <c r="C41" s="15"/>
      <c r="D41" s="15"/>
      <c r="E41" s="15"/>
      <c r="F41" s="15"/>
      <c r="G41" s="15"/>
    </row>
    <row r="42" spans="1:7" ht="12.75">
      <c r="A42" s="109" t="s">
        <v>74</v>
      </c>
      <c r="B42" s="34"/>
      <c r="C42" s="23"/>
      <c r="D42" s="108"/>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74</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74</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E3">
      <selection activeCell="P80" sqref="P80"/>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52" t="s">
        <v>200</v>
      </c>
      <c r="B1" s="552"/>
      <c r="C1" s="552"/>
      <c r="D1" s="552"/>
      <c r="E1" s="552"/>
      <c r="F1" s="552"/>
      <c r="G1" s="552"/>
      <c r="H1" s="552"/>
      <c r="I1" s="552"/>
      <c r="J1" s="552"/>
      <c r="K1" s="552"/>
      <c r="L1" s="552"/>
      <c r="M1" s="552"/>
      <c r="N1" s="552"/>
    </row>
    <row r="2" spans="1:14" ht="3.75" customHeight="1">
      <c r="A2" s="381"/>
      <c r="B2" s="381"/>
      <c r="C2" s="381"/>
      <c r="D2" s="381"/>
      <c r="E2" s="553"/>
      <c r="F2" s="553"/>
      <c r="G2" s="381"/>
      <c r="H2" s="381"/>
      <c r="I2" s="158"/>
      <c r="J2" s="158"/>
      <c r="K2" s="159"/>
      <c r="L2" s="158"/>
      <c r="M2" s="158"/>
      <c r="N2" s="160"/>
    </row>
    <row r="3" spans="1:14" ht="18.75" thickBot="1">
      <c r="A3" s="382"/>
      <c r="B3" s="31"/>
      <c r="C3" s="31"/>
      <c r="D3" s="31"/>
      <c r="E3" s="31"/>
      <c r="F3" s="31"/>
      <c r="G3" s="31"/>
      <c r="H3" s="31"/>
      <c r="N3" s="9"/>
    </row>
    <row r="4" spans="1:14" ht="15.75">
      <c r="A4" s="503" t="str">
        <f>"Name of Utility:      "&amp;'Info Sheet'!B4</f>
        <v>Name of Utility:      Festival Hydro Inc-Seaforth Residential Rates</v>
      </c>
      <c r="B4" s="504"/>
      <c r="C4" s="504"/>
      <c r="D4" s="504"/>
      <c r="E4" s="504"/>
      <c r="F4" s="504"/>
      <c r="G4" s="550" t="s">
        <v>202</v>
      </c>
      <c r="H4" s="551"/>
      <c r="N4" s="9"/>
    </row>
    <row r="5" spans="1:14" ht="15.75">
      <c r="A5" s="529" t="str">
        <f>"License Number:   "&amp;'Info Sheet'!B6</f>
        <v>License Number:   ED-2002-0153</v>
      </c>
      <c r="B5" s="555"/>
      <c r="C5" s="555"/>
      <c r="D5" s="555"/>
      <c r="E5" s="555"/>
      <c r="F5" s="26"/>
      <c r="G5" s="470"/>
      <c r="H5" s="400" t="str">
        <f>'Info Sheet'!B8</f>
        <v>RP-2005-0013</v>
      </c>
      <c r="N5" s="9"/>
    </row>
    <row r="6" spans="1:14" ht="15.75">
      <c r="A6" s="500" t="str">
        <f>"Name of Contact:  "&amp;'Info Sheet'!B12</f>
        <v>Name of Contact:  Debbie Reece</v>
      </c>
      <c r="B6" s="501"/>
      <c r="C6" s="501"/>
      <c r="D6" s="501"/>
      <c r="E6" s="501"/>
      <c r="F6" s="501"/>
      <c r="G6" s="463"/>
      <c r="H6" s="400" t="str">
        <f>'Info Sheet'!B10</f>
        <v>EB-2005-0027</v>
      </c>
      <c r="N6" s="9"/>
    </row>
    <row r="7" spans="1:14" ht="15.75">
      <c r="A7" s="505" t="str">
        <f>"E- Mail Address:    "&amp;'Info Sheet'!B14</f>
        <v>E- Mail Address:    dreece@festivalhydro.com</v>
      </c>
      <c r="B7" s="502"/>
      <c r="C7" s="502"/>
      <c r="D7" s="502"/>
      <c r="E7" s="502"/>
      <c r="F7" s="502"/>
      <c r="G7" s="463"/>
      <c r="H7" s="466"/>
      <c r="N7" s="9"/>
    </row>
    <row r="8" spans="1:14" ht="15.75">
      <c r="A8" s="500" t="str">
        <f>"Phone Number:     "&amp;'Info Sheet'!B16</f>
        <v>Phone Number:     519-271-4703</v>
      </c>
      <c r="B8" s="501"/>
      <c r="C8" s="501"/>
      <c r="D8" s="501"/>
      <c r="E8" s="502" t="str">
        <f>'Info Sheet'!$C$16&amp;" "&amp;'Info Sheet'!$D$16</f>
        <v>Extension: 268</v>
      </c>
      <c r="F8" s="502"/>
      <c r="G8" s="463"/>
      <c r="H8" s="466"/>
      <c r="N8" s="9"/>
    </row>
    <row r="9" spans="1:14" ht="16.5" thickBot="1">
      <c r="A9" s="531" t="str">
        <f>"Date:                         "&amp;('Info Sheet'!B18)</f>
        <v>Date:                         January 14, 2005</v>
      </c>
      <c r="B9" s="554"/>
      <c r="C9" s="554"/>
      <c r="D9" s="554"/>
      <c r="E9" s="554"/>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6" t="s">
        <v>17</v>
      </c>
      <c r="B13" s="596"/>
      <c r="C13" s="596"/>
      <c r="D13" s="596"/>
      <c r="E13" s="163"/>
      <c r="F13" s="163"/>
      <c r="H13" s="163"/>
      <c r="I13" s="163"/>
      <c r="J13" s="163"/>
      <c r="K13" s="163"/>
      <c r="L13" s="163"/>
      <c r="M13" s="163"/>
      <c r="N13" s="163"/>
    </row>
    <row r="14" spans="1:11" ht="18">
      <c r="A14" s="55"/>
      <c r="B14" s="131"/>
      <c r="D14" s="31"/>
      <c r="E14" s="547"/>
      <c r="F14" s="547"/>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7"/>
      <c r="F18" s="547"/>
      <c r="G18" s="31"/>
      <c r="K18" s="162"/>
    </row>
    <row r="19" spans="1:14" ht="15.75" customHeight="1">
      <c r="A19" s="11"/>
      <c r="C19" s="556" t="s">
        <v>101</v>
      </c>
      <c r="D19" s="557"/>
      <c r="E19" s="557"/>
      <c r="F19" s="558"/>
      <c r="G19" s="167"/>
      <c r="H19" s="556" t="s">
        <v>102</v>
      </c>
      <c r="I19" s="557"/>
      <c r="J19" s="557"/>
      <c r="K19" s="557"/>
      <c r="L19" s="557"/>
      <c r="M19" s="557"/>
      <c r="N19" s="558"/>
    </row>
    <row r="20" spans="1:15" ht="13.5" customHeight="1" thickBot="1">
      <c r="A20"/>
      <c r="C20" s="559"/>
      <c r="D20" s="560"/>
      <c r="E20" s="560"/>
      <c r="F20" s="561"/>
      <c r="G20" s="168"/>
      <c r="H20" s="559"/>
      <c r="I20" s="560"/>
      <c r="J20" s="560"/>
      <c r="K20" s="560"/>
      <c r="L20" s="560"/>
      <c r="M20" s="560"/>
      <c r="N20" s="561"/>
      <c r="O20" s="31"/>
    </row>
    <row r="21" spans="1:14" ht="48.75" customHeight="1" thickBot="1">
      <c r="A21" s="169" t="s">
        <v>83</v>
      </c>
      <c r="B21" s="170"/>
      <c r="C21" s="568"/>
      <c r="D21" s="562" t="s">
        <v>14</v>
      </c>
      <c r="E21" s="564" t="s">
        <v>84</v>
      </c>
      <c r="F21" s="566" t="s">
        <v>207</v>
      </c>
      <c r="G21" s="167"/>
      <c r="H21" s="171"/>
      <c r="I21" s="562" t="s">
        <v>14</v>
      </c>
      <c r="J21" s="564" t="s">
        <v>84</v>
      </c>
      <c r="K21" s="566" t="s">
        <v>207</v>
      </c>
      <c r="L21" s="170"/>
      <c r="M21" s="579" t="s">
        <v>206</v>
      </c>
      <c r="N21" s="581" t="s">
        <v>85</v>
      </c>
    </row>
    <row r="22" spans="1:14" ht="13.5" thickBot="1">
      <c r="A22" s="172">
        <v>100</v>
      </c>
      <c r="B22" s="31"/>
      <c r="C22" s="569"/>
      <c r="D22" s="563"/>
      <c r="E22" s="565"/>
      <c r="F22" s="567"/>
      <c r="G22" s="168"/>
      <c r="H22" s="31"/>
      <c r="I22" s="577"/>
      <c r="J22" s="578"/>
      <c r="K22" s="567"/>
      <c r="L22" s="32"/>
      <c r="M22" s="580"/>
      <c r="N22" s="582"/>
    </row>
    <row r="23" spans="1:14" ht="25.5">
      <c r="A23" s="173"/>
      <c r="B23" s="31"/>
      <c r="C23" s="455" t="s">
        <v>26</v>
      </c>
      <c r="D23" s="175" t="s">
        <v>86</v>
      </c>
      <c r="E23" s="176" t="s">
        <v>86</v>
      </c>
      <c r="F23" s="235">
        <f>'12. Current Rates'!D21</f>
        <v>15.75</v>
      </c>
      <c r="G23" s="168"/>
      <c r="H23" s="458" t="s">
        <v>26</v>
      </c>
      <c r="I23" s="175" t="s">
        <v>86</v>
      </c>
      <c r="J23" s="175" t="s">
        <v>86</v>
      </c>
      <c r="K23" s="235">
        <f>'11. 2005 Final Rate Schedule '!F13</f>
        <v>15.648077754677756</v>
      </c>
      <c r="L23" s="180"/>
      <c r="M23" s="584"/>
      <c r="N23" s="585"/>
    </row>
    <row r="24" spans="1:14" ht="26.25" thickBot="1">
      <c r="A24" s="86"/>
      <c r="B24" s="31"/>
      <c r="C24" s="456" t="s">
        <v>87</v>
      </c>
      <c r="D24" s="236">
        <f>A22</f>
        <v>100</v>
      </c>
      <c r="E24" s="444">
        <f>'12. Current Rates'!D19</f>
        <v>0.01112</v>
      </c>
      <c r="F24" s="356">
        <f>D24*E24</f>
        <v>1.1119999999999999</v>
      </c>
      <c r="G24" s="168"/>
      <c r="H24" s="459" t="s">
        <v>87</v>
      </c>
      <c r="I24" s="182">
        <f>D24</f>
        <v>100</v>
      </c>
      <c r="J24" s="450">
        <f>'11. 2005 Final Rate Schedule '!F14</f>
        <v>0.012084636363523787</v>
      </c>
      <c r="K24" s="238">
        <f>I24*J24</f>
        <v>1.2084636363523786</v>
      </c>
      <c r="L24" s="180"/>
      <c r="M24" s="586"/>
      <c r="N24" s="587"/>
    </row>
    <row r="25" spans="1:14" ht="13.5" thickBot="1">
      <c r="A25" s="86"/>
      <c r="B25" s="31"/>
      <c r="C25" s="570"/>
      <c r="D25" s="571"/>
      <c r="E25" s="188" t="s">
        <v>57</v>
      </c>
      <c r="F25" s="377">
        <f>SUM(F23:F24)</f>
        <v>16.862</v>
      </c>
      <c r="G25" s="168"/>
      <c r="H25" s="572"/>
      <c r="I25" s="573"/>
      <c r="J25" s="188" t="s">
        <v>88</v>
      </c>
      <c r="K25" s="190">
        <f>SUM(K23:K24)</f>
        <v>16.856541391030134</v>
      </c>
      <c r="L25" s="180"/>
      <c r="M25" s="191">
        <f>K25-F25</f>
        <v>-0.005458608969863832</v>
      </c>
      <c r="N25" s="192">
        <f>M25/F25</f>
        <v>-0.00032372251037029017</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84"/>
      <c r="N26" s="585"/>
    </row>
    <row r="27" spans="1:14" ht="25.5" customHeight="1" thickBot="1">
      <c r="A27" s="86"/>
      <c r="B27" s="31"/>
      <c r="C27" s="457" t="s">
        <v>90</v>
      </c>
      <c r="D27" s="182">
        <f>A22</f>
        <v>100</v>
      </c>
      <c r="E27" s="446">
        <v>0.047</v>
      </c>
      <c r="F27" s="356">
        <f>D27*E27</f>
        <v>4.7</v>
      </c>
      <c r="G27" s="168"/>
      <c r="H27" s="460" t="s">
        <v>90</v>
      </c>
      <c r="I27" s="452">
        <f t="shared" si="0"/>
        <v>100</v>
      </c>
      <c r="J27" s="453">
        <v>0.05</v>
      </c>
      <c r="K27" s="244">
        <f>+J27*I27</f>
        <v>5</v>
      </c>
      <c r="L27" s="180"/>
      <c r="M27" s="588"/>
      <c r="N27" s="589"/>
    </row>
    <row r="28" spans="1:14" ht="7.5" customHeight="1" thickBot="1">
      <c r="A28" s="86"/>
      <c r="B28" s="31"/>
      <c r="C28" s="574"/>
      <c r="D28" s="575"/>
      <c r="E28" s="575"/>
      <c r="F28" s="576"/>
      <c r="G28" s="168"/>
      <c r="H28" s="575"/>
      <c r="I28" s="575"/>
      <c r="J28" s="575"/>
      <c r="K28" s="576"/>
      <c r="L28" s="31"/>
      <c r="M28" s="86"/>
      <c r="N28" s="203"/>
    </row>
    <row r="29" spans="1:14" ht="13.5" thickBot="1">
      <c r="A29" s="94"/>
      <c r="B29" s="149"/>
      <c r="C29" s="204" t="s">
        <v>226</v>
      </c>
      <c r="D29" s="205"/>
      <c r="E29" s="205"/>
      <c r="F29" s="190">
        <f>SUM(F26:F27,F25)</f>
        <v>23.951999999999998</v>
      </c>
      <c r="G29" s="207"/>
      <c r="H29" s="583" t="s">
        <v>227</v>
      </c>
      <c r="I29" s="583"/>
      <c r="J29" s="583"/>
      <c r="K29" s="190">
        <f>SUM(K25:K27)</f>
        <v>24.246541391030135</v>
      </c>
      <c r="L29" s="208"/>
      <c r="M29" s="191">
        <f>K29-F29</f>
        <v>0.2945413910301369</v>
      </c>
      <c r="N29" s="192">
        <f>M29/F29</f>
        <v>0.012297152264117272</v>
      </c>
    </row>
    <row r="30" ht="12.75">
      <c r="K30" s="162"/>
    </row>
    <row r="31" spans="6:11" ht="13.5" thickBot="1">
      <c r="F31" s="162"/>
      <c r="K31" s="162"/>
    </row>
    <row r="32" spans="1:14" ht="60.75" thickBot="1">
      <c r="A32" s="169" t="s">
        <v>83</v>
      </c>
      <c r="B32" s="170"/>
      <c r="C32" s="568"/>
      <c r="D32" s="562" t="s">
        <v>14</v>
      </c>
      <c r="E32" s="564" t="s">
        <v>84</v>
      </c>
      <c r="F32" s="566" t="s">
        <v>207</v>
      </c>
      <c r="G32" s="167"/>
      <c r="H32" s="171"/>
      <c r="I32" s="562" t="s">
        <v>14</v>
      </c>
      <c r="J32" s="564" t="s">
        <v>84</v>
      </c>
      <c r="K32" s="566" t="s">
        <v>207</v>
      </c>
      <c r="L32" s="170"/>
      <c r="M32" s="579" t="s">
        <v>206</v>
      </c>
      <c r="N32" s="581" t="s">
        <v>85</v>
      </c>
    </row>
    <row r="33" spans="1:14" ht="13.5" thickBot="1">
      <c r="A33" s="172">
        <v>250</v>
      </c>
      <c r="B33" s="31"/>
      <c r="C33" s="569"/>
      <c r="D33" s="563"/>
      <c r="E33" s="565"/>
      <c r="F33" s="567"/>
      <c r="G33" s="168"/>
      <c r="H33" s="31"/>
      <c r="I33" s="577"/>
      <c r="J33" s="578"/>
      <c r="K33" s="567"/>
      <c r="L33" s="32"/>
      <c r="M33" s="580"/>
      <c r="N33" s="582"/>
    </row>
    <row r="34" spans="1:14" ht="25.5">
      <c r="A34" s="173"/>
      <c r="B34" s="31"/>
      <c r="C34" s="174" t="s">
        <v>26</v>
      </c>
      <c r="D34" s="175" t="s">
        <v>86</v>
      </c>
      <c r="E34" s="176" t="s">
        <v>86</v>
      </c>
      <c r="F34" s="235">
        <f>F23</f>
        <v>15.75</v>
      </c>
      <c r="G34" s="168"/>
      <c r="H34" s="178" t="s">
        <v>26</v>
      </c>
      <c r="I34" s="209" t="str">
        <f>D34</f>
        <v>N/A</v>
      </c>
      <c r="J34" s="179" t="s">
        <v>86</v>
      </c>
      <c r="K34" s="228">
        <f>$K$23</f>
        <v>15.648077754677756</v>
      </c>
      <c r="L34" s="180"/>
      <c r="M34" s="584"/>
      <c r="N34" s="585"/>
    </row>
    <row r="35" spans="1:14" ht="26.25" thickBot="1">
      <c r="A35" s="86"/>
      <c r="B35" s="31"/>
      <c r="C35" s="181" t="s">
        <v>87</v>
      </c>
      <c r="D35" s="236">
        <f>A33</f>
        <v>250</v>
      </c>
      <c r="E35" s="183">
        <f>E24</f>
        <v>0.01112</v>
      </c>
      <c r="F35" s="356">
        <f>D35*E35</f>
        <v>2.78</v>
      </c>
      <c r="G35" s="168"/>
      <c r="H35" s="185" t="s">
        <v>87</v>
      </c>
      <c r="I35" s="186">
        <f>D35</f>
        <v>250</v>
      </c>
      <c r="J35" s="449">
        <f>$J$24</f>
        <v>0.012084636363523787</v>
      </c>
      <c r="K35" s="187">
        <f>I35*J35</f>
        <v>3.0211590908809467</v>
      </c>
      <c r="L35" s="180"/>
      <c r="M35" s="586"/>
      <c r="N35" s="587"/>
    </row>
    <row r="36" spans="1:14" ht="24.75" customHeight="1" thickBot="1">
      <c r="A36" s="86"/>
      <c r="B36" s="31"/>
      <c r="C36" s="590"/>
      <c r="D36" s="591"/>
      <c r="E36" s="188" t="s">
        <v>57</v>
      </c>
      <c r="F36" s="377">
        <f>SUM(F34:F35)</f>
        <v>18.53</v>
      </c>
      <c r="G36" s="168"/>
      <c r="H36" s="572"/>
      <c r="I36" s="573"/>
      <c r="J36" s="188" t="s">
        <v>88</v>
      </c>
      <c r="K36" s="190">
        <f>SUM(K34:K35)</f>
        <v>18.669236845558704</v>
      </c>
      <c r="L36" s="180"/>
      <c r="M36" s="191">
        <f>K36-F36</f>
        <v>0.13923684555870253</v>
      </c>
      <c r="N36" s="192">
        <f>M36/F36</f>
        <v>0.007514130899012548</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84"/>
      <c r="N37" s="585"/>
    </row>
    <row r="38" spans="1:14" ht="26.25" thickBot="1">
      <c r="A38" s="86"/>
      <c r="B38" s="31"/>
      <c r="C38" s="197" t="s">
        <v>90</v>
      </c>
      <c r="D38" s="182">
        <f>A33</f>
        <v>250</v>
      </c>
      <c r="E38" s="446">
        <v>0.047</v>
      </c>
      <c r="F38" s="356">
        <f>D38*E38</f>
        <v>11.75</v>
      </c>
      <c r="G38" s="168"/>
      <c r="H38" s="199" t="s">
        <v>90</v>
      </c>
      <c r="I38" s="200">
        <f t="shared" si="1"/>
        <v>250</v>
      </c>
      <c r="J38" s="448">
        <v>0.05</v>
      </c>
      <c r="K38" s="202">
        <f>+I38*J38</f>
        <v>12.5</v>
      </c>
      <c r="L38" s="180"/>
      <c r="M38" s="588"/>
      <c r="N38" s="589"/>
    </row>
    <row r="39" spans="1:14" ht="13.5" thickBot="1">
      <c r="A39" s="86"/>
      <c r="B39" s="31"/>
      <c r="C39" s="574"/>
      <c r="D39" s="575"/>
      <c r="E39" s="575"/>
      <c r="F39" s="576"/>
      <c r="G39" s="168"/>
      <c r="H39" s="575"/>
      <c r="I39" s="575"/>
      <c r="J39" s="575"/>
      <c r="K39" s="576"/>
      <c r="L39" s="31"/>
      <c r="M39" s="86"/>
      <c r="N39" s="203"/>
    </row>
    <row r="40" spans="1:14" ht="13.5" thickBot="1">
      <c r="A40" s="94"/>
      <c r="B40" s="149"/>
      <c r="C40" s="204" t="s">
        <v>226</v>
      </c>
      <c r="D40" s="205"/>
      <c r="E40" s="205"/>
      <c r="F40" s="190">
        <f>SUM(F37:F38,F36)</f>
        <v>36.255</v>
      </c>
      <c r="G40" s="207"/>
      <c r="H40" s="583" t="s">
        <v>227</v>
      </c>
      <c r="I40" s="583"/>
      <c r="J40" s="583"/>
      <c r="K40" s="190">
        <f>SUM(K36:K38)</f>
        <v>37.14423684555871</v>
      </c>
      <c r="L40" s="208"/>
      <c r="M40" s="191">
        <f>K40-F40</f>
        <v>0.8892368455587061</v>
      </c>
      <c r="N40" s="192">
        <f>M40/F40</f>
        <v>0.024527288527339843</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93"/>
      <c r="D43" s="562" t="s">
        <v>14</v>
      </c>
      <c r="E43" s="564" t="s">
        <v>84</v>
      </c>
      <c r="F43" s="566" t="s">
        <v>207</v>
      </c>
      <c r="G43" s="167"/>
      <c r="H43" s="171"/>
      <c r="I43" s="562" t="s">
        <v>14</v>
      </c>
      <c r="J43" s="564" t="s">
        <v>84</v>
      </c>
      <c r="K43" s="566" t="s">
        <v>207</v>
      </c>
      <c r="L43" s="170"/>
      <c r="M43" s="579" t="s">
        <v>206</v>
      </c>
      <c r="N43" s="581" t="s">
        <v>85</v>
      </c>
    </row>
    <row r="44" spans="1:14" ht="13.5" thickBot="1">
      <c r="A44" s="172">
        <v>500</v>
      </c>
      <c r="B44" s="31"/>
      <c r="C44" s="594"/>
      <c r="D44" s="563"/>
      <c r="E44" s="565"/>
      <c r="F44" s="567"/>
      <c r="G44" s="168"/>
      <c r="H44" s="31"/>
      <c r="I44" s="577"/>
      <c r="J44" s="578"/>
      <c r="K44" s="567"/>
      <c r="L44" s="32"/>
      <c r="M44" s="580"/>
      <c r="N44" s="582"/>
    </row>
    <row r="45" spans="1:14" ht="25.5">
      <c r="A45" s="173"/>
      <c r="B45" s="31"/>
      <c r="C45" s="174" t="s">
        <v>26</v>
      </c>
      <c r="D45" s="175" t="s">
        <v>86</v>
      </c>
      <c r="E45" s="176" t="s">
        <v>86</v>
      </c>
      <c r="F45" s="235">
        <f>F34</f>
        <v>15.75</v>
      </c>
      <c r="G45" s="168"/>
      <c r="H45" s="178" t="s">
        <v>26</v>
      </c>
      <c r="I45" s="209" t="str">
        <f>D45</f>
        <v>N/A</v>
      </c>
      <c r="J45" s="179" t="s">
        <v>86</v>
      </c>
      <c r="K45" s="228">
        <f>$K$23</f>
        <v>15.648077754677756</v>
      </c>
      <c r="L45" s="180"/>
      <c r="M45" s="584"/>
      <c r="N45" s="585"/>
    </row>
    <row r="46" spans="1:14" ht="25.5" customHeight="1" thickBot="1">
      <c r="A46" s="86"/>
      <c r="B46" s="31"/>
      <c r="C46" s="181" t="s">
        <v>87</v>
      </c>
      <c r="D46" s="236">
        <f>A44</f>
        <v>500</v>
      </c>
      <c r="E46" s="183">
        <f>E35</f>
        <v>0.01112</v>
      </c>
      <c r="F46" s="356">
        <f>D46*E46</f>
        <v>5.56</v>
      </c>
      <c r="G46" s="168"/>
      <c r="H46" s="185" t="s">
        <v>87</v>
      </c>
      <c r="I46" s="379">
        <f>D46</f>
        <v>500</v>
      </c>
      <c r="J46" s="449">
        <f>$J$24</f>
        <v>0.012084636363523787</v>
      </c>
      <c r="K46" s="187">
        <f>I46*J46</f>
        <v>6.042318181761893</v>
      </c>
      <c r="L46" s="180"/>
      <c r="M46" s="586"/>
      <c r="N46" s="587"/>
    </row>
    <row r="47" spans="1:14" ht="13.5" thickBot="1">
      <c r="A47" s="86"/>
      <c r="B47" s="31"/>
      <c r="C47" s="590"/>
      <c r="D47" s="592"/>
      <c r="E47" s="188" t="s">
        <v>57</v>
      </c>
      <c r="F47" s="377">
        <f>SUM(F45:F46)</f>
        <v>21.31</v>
      </c>
      <c r="G47" s="168"/>
      <c r="H47" s="572"/>
      <c r="I47" s="573"/>
      <c r="J47" s="188" t="s">
        <v>88</v>
      </c>
      <c r="K47" s="190">
        <f>SUM(K45:K46)</f>
        <v>21.69039593643965</v>
      </c>
      <c r="L47" s="180"/>
      <c r="M47" s="191">
        <f>K47-F47</f>
        <v>0.3803959364396512</v>
      </c>
      <c r="N47" s="192">
        <f>M47/F47</f>
        <v>0.01785058359641723</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84"/>
      <c r="N48" s="585"/>
    </row>
    <row r="49" spans="1:14" ht="26.25" thickBot="1">
      <c r="A49" s="86"/>
      <c r="B49" s="31"/>
      <c r="C49" s="197" t="s">
        <v>90</v>
      </c>
      <c r="D49" s="182">
        <f>A44</f>
        <v>500</v>
      </c>
      <c r="E49" s="446">
        <v>0.047</v>
      </c>
      <c r="F49" s="356">
        <f>D49*E49</f>
        <v>23.5</v>
      </c>
      <c r="G49" s="168"/>
      <c r="H49" s="199" t="s">
        <v>90</v>
      </c>
      <c r="I49" s="200">
        <f t="shared" si="2"/>
        <v>500</v>
      </c>
      <c r="J49" s="448">
        <v>0.05</v>
      </c>
      <c r="K49" s="202">
        <f>+J49*I49</f>
        <v>25</v>
      </c>
      <c r="L49" s="180"/>
      <c r="M49" s="588"/>
      <c r="N49" s="589"/>
    </row>
    <row r="50" spans="1:14" ht="13.5" thickBot="1">
      <c r="A50" s="86"/>
      <c r="B50" s="31"/>
      <c r="C50" s="574"/>
      <c r="D50" s="575"/>
      <c r="E50" s="575"/>
      <c r="F50" s="576"/>
      <c r="G50" s="168"/>
      <c r="H50" s="575"/>
      <c r="I50" s="575"/>
      <c r="J50" s="575"/>
      <c r="K50" s="576"/>
      <c r="L50" s="31"/>
      <c r="M50" s="86"/>
      <c r="N50" s="203"/>
    </row>
    <row r="51" spans="1:14" ht="13.5" thickBot="1">
      <c r="A51" s="94"/>
      <c r="B51" s="149"/>
      <c r="C51" s="204" t="s">
        <v>226</v>
      </c>
      <c r="D51" s="205"/>
      <c r="E51" s="205"/>
      <c r="F51" s="190">
        <f>SUM(F48:F49,F47)</f>
        <v>56.760000000000005</v>
      </c>
      <c r="G51" s="207"/>
      <c r="H51" s="583" t="s">
        <v>227</v>
      </c>
      <c r="I51" s="583"/>
      <c r="J51" s="583"/>
      <c r="K51" s="190">
        <f>SUM(K47:K49)</f>
        <v>58.64039593643965</v>
      </c>
      <c r="L51" s="208"/>
      <c r="M51" s="191">
        <f>K51-F51</f>
        <v>1.8803959364396476</v>
      </c>
      <c r="N51" s="192">
        <f>M51/F51</f>
        <v>0.03312889246722423</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8"/>
      <c r="D54" s="562" t="s">
        <v>14</v>
      </c>
      <c r="E54" s="564" t="s">
        <v>84</v>
      </c>
      <c r="F54" s="566" t="s">
        <v>207</v>
      </c>
      <c r="G54" s="167"/>
      <c r="H54" s="171"/>
      <c r="I54" s="562" t="s">
        <v>14</v>
      </c>
      <c r="J54" s="564" t="s">
        <v>84</v>
      </c>
      <c r="K54" s="566" t="s">
        <v>207</v>
      </c>
      <c r="L54" s="170"/>
      <c r="M54" s="579" t="s">
        <v>206</v>
      </c>
      <c r="N54" s="581" t="s">
        <v>85</v>
      </c>
    </row>
    <row r="55" spans="1:14" ht="13.5" thickBot="1">
      <c r="A55" s="172">
        <v>750</v>
      </c>
      <c r="B55" s="31"/>
      <c r="C55" s="569"/>
      <c r="D55" s="563"/>
      <c r="E55" s="565"/>
      <c r="F55" s="567"/>
      <c r="G55" s="168"/>
      <c r="H55" s="31"/>
      <c r="I55" s="577"/>
      <c r="J55" s="578"/>
      <c r="K55" s="567"/>
      <c r="L55" s="32"/>
      <c r="M55" s="580"/>
      <c r="N55" s="582"/>
    </row>
    <row r="56" spans="1:14" ht="26.25" customHeight="1">
      <c r="A56" s="173"/>
      <c r="B56" s="31"/>
      <c r="C56" s="174" t="s">
        <v>26</v>
      </c>
      <c r="D56" s="175" t="s">
        <v>86</v>
      </c>
      <c r="E56" s="176" t="s">
        <v>86</v>
      </c>
      <c r="F56" s="235">
        <f>F45</f>
        <v>15.75</v>
      </c>
      <c r="G56" s="168"/>
      <c r="H56" s="178" t="s">
        <v>26</v>
      </c>
      <c r="I56" s="209" t="str">
        <f>D56</f>
        <v>N/A</v>
      </c>
      <c r="J56" s="179" t="s">
        <v>86</v>
      </c>
      <c r="K56" s="228">
        <f>$K$23</f>
        <v>15.648077754677756</v>
      </c>
      <c r="L56" s="180"/>
      <c r="M56" s="584"/>
      <c r="N56" s="585"/>
    </row>
    <row r="57" spans="1:14" ht="26.25" customHeight="1" thickBot="1">
      <c r="A57" s="86"/>
      <c r="B57" s="31"/>
      <c r="C57" s="181" t="s">
        <v>87</v>
      </c>
      <c r="D57" s="236">
        <f>A55</f>
        <v>750</v>
      </c>
      <c r="E57" s="183">
        <f>E46</f>
        <v>0.01112</v>
      </c>
      <c r="F57" s="356">
        <f>D57*E57</f>
        <v>8.34</v>
      </c>
      <c r="G57" s="168"/>
      <c r="H57" s="185" t="s">
        <v>87</v>
      </c>
      <c r="I57" s="379">
        <f>D57</f>
        <v>750</v>
      </c>
      <c r="J57" s="229">
        <f>$J$24</f>
        <v>0.012084636363523787</v>
      </c>
      <c r="K57" s="187">
        <f>I57*J57</f>
        <v>9.06347727264284</v>
      </c>
      <c r="L57" s="180"/>
      <c r="M57" s="586"/>
      <c r="N57" s="587"/>
    </row>
    <row r="58" spans="1:14" ht="13.5" thickBot="1">
      <c r="A58" s="86"/>
      <c r="B58" s="31"/>
      <c r="C58" s="590"/>
      <c r="D58" s="591"/>
      <c r="E58" s="188" t="s">
        <v>57</v>
      </c>
      <c r="F58" s="377">
        <f>SUM(F56:F57)</f>
        <v>24.09</v>
      </c>
      <c r="G58" s="168"/>
      <c r="H58" s="572"/>
      <c r="I58" s="573"/>
      <c r="J58" s="188" t="s">
        <v>88</v>
      </c>
      <c r="K58" s="190">
        <f>SUM(K56:K57)</f>
        <v>24.711555027320596</v>
      </c>
      <c r="L58" s="180"/>
      <c r="M58" s="191">
        <f>K58-F58</f>
        <v>0.6215550273205963</v>
      </c>
      <c r="N58" s="192">
        <f>M58/F58</f>
        <v>0.025801370997118985</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84"/>
      <c r="N59" s="585"/>
    </row>
    <row r="60" spans="1:14" ht="26.25" thickBot="1">
      <c r="A60" s="86"/>
      <c r="B60" s="31"/>
      <c r="C60" s="197" t="s">
        <v>90</v>
      </c>
      <c r="D60" s="182">
        <f>A55</f>
        <v>750</v>
      </c>
      <c r="E60" s="198">
        <v>0.047</v>
      </c>
      <c r="F60" s="356">
        <f>D60*E60</f>
        <v>35.25</v>
      </c>
      <c r="G60" s="168"/>
      <c r="H60" s="199" t="s">
        <v>90</v>
      </c>
      <c r="I60" s="200">
        <f t="shared" si="3"/>
        <v>750</v>
      </c>
      <c r="J60" s="201">
        <v>0.05</v>
      </c>
      <c r="K60" s="202">
        <f>+J60*I60</f>
        <v>37.5</v>
      </c>
      <c r="L60" s="180"/>
      <c r="M60" s="588"/>
      <c r="N60" s="589"/>
    </row>
    <row r="61" spans="1:14" ht="13.5" thickBot="1">
      <c r="A61" s="86"/>
      <c r="B61" s="31"/>
      <c r="C61" s="574"/>
      <c r="D61" s="575"/>
      <c r="E61" s="575"/>
      <c r="F61" s="576"/>
      <c r="G61" s="168"/>
      <c r="H61" s="575"/>
      <c r="I61" s="575"/>
      <c r="J61" s="575"/>
      <c r="K61" s="576"/>
      <c r="L61" s="31"/>
      <c r="M61" s="86"/>
      <c r="N61" s="203"/>
    </row>
    <row r="62" spans="1:14" ht="13.5" thickBot="1">
      <c r="A62" s="94"/>
      <c r="B62" s="149"/>
      <c r="C62" s="204" t="s">
        <v>226</v>
      </c>
      <c r="D62" s="205"/>
      <c r="E62" s="205"/>
      <c r="F62" s="190">
        <f>SUM(F59:F60,F58)</f>
        <v>77.265</v>
      </c>
      <c r="G62" s="207"/>
      <c r="H62" s="583" t="s">
        <v>227</v>
      </c>
      <c r="I62" s="583"/>
      <c r="J62" s="583"/>
      <c r="K62" s="190">
        <f>SUM(K58:K60)</f>
        <v>80.1365550273206</v>
      </c>
      <c r="L62" s="208"/>
      <c r="M62" s="191">
        <f>K62-F62</f>
        <v>2.8715550273205963</v>
      </c>
      <c r="N62" s="192">
        <f>M62/F62</f>
        <v>0.03716501685524618</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8"/>
      <c r="D65" s="562" t="s">
        <v>14</v>
      </c>
      <c r="E65" s="564" t="s">
        <v>84</v>
      </c>
      <c r="F65" s="566" t="s">
        <v>207</v>
      </c>
      <c r="G65" s="167"/>
      <c r="H65" s="171"/>
      <c r="I65" s="562" t="s">
        <v>14</v>
      </c>
      <c r="J65" s="564" t="s">
        <v>84</v>
      </c>
      <c r="K65" s="566" t="s">
        <v>207</v>
      </c>
      <c r="L65" s="170"/>
      <c r="M65" s="579" t="s">
        <v>206</v>
      </c>
      <c r="N65" s="581" t="s">
        <v>85</v>
      </c>
    </row>
    <row r="66" spans="1:14" ht="13.5" thickBot="1">
      <c r="A66" s="172">
        <v>1000</v>
      </c>
      <c r="B66" s="31"/>
      <c r="C66" s="569"/>
      <c r="D66" s="563"/>
      <c r="E66" s="565"/>
      <c r="F66" s="567"/>
      <c r="G66" s="168"/>
      <c r="H66" s="31"/>
      <c r="I66" s="577"/>
      <c r="J66" s="578"/>
      <c r="K66" s="567"/>
      <c r="L66" s="32"/>
      <c r="M66" s="580"/>
      <c r="N66" s="582"/>
    </row>
    <row r="67" spans="1:14" ht="26.25" customHeight="1">
      <c r="A67" s="173"/>
      <c r="B67" s="31"/>
      <c r="C67" s="174" t="s">
        <v>26</v>
      </c>
      <c r="D67" s="175" t="s">
        <v>86</v>
      </c>
      <c r="E67" s="176" t="s">
        <v>86</v>
      </c>
      <c r="F67" s="235">
        <f>F56</f>
        <v>15.75</v>
      </c>
      <c r="G67" s="168"/>
      <c r="H67" s="174" t="s">
        <v>26</v>
      </c>
      <c r="I67" s="209" t="str">
        <f>D67</f>
        <v>N/A</v>
      </c>
      <c r="J67" s="179" t="s">
        <v>86</v>
      </c>
      <c r="K67" s="228">
        <f>$K$23</f>
        <v>15.648077754677756</v>
      </c>
      <c r="L67" s="180"/>
      <c r="M67" s="584"/>
      <c r="N67" s="585"/>
    </row>
    <row r="68" spans="1:14" ht="24" customHeight="1" thickBot="1">
      <c r="A68" s="86"/>
      <c r="B68" s="31"/>
      <c r="C68" s="181" t="s">
        <v>87</v>
      </c>
      <c r="D68" s="182">
        <f>A66</f>
        <v>1000</v>
      </c>
      <c r="E68" s="183">
        <f>E57</f>
        <v>0.01112</v>
      </c>
      <c r="F68" s="356">
        <f>D68*E68</f>
        <v>11.12</v>
      </c>
      <c r="G68" s="168"/>
      <c r="H68" s="181" t="s">
        <v>87</v>
      </c>
      <c r="I68" s="186">
        <f>D68</f>
        <v>1000</v>
      </c>
      <c r="J68" s="229">
        <f>$J$24</f>
        <v>0.012084636363523787</v>
      </c>
      <c r="K68" s="187">
        <f>I68*J68</f>
        <v>12.084636363523787</v>
      </c>
      <c r="L68" s="180"/>
      <c r="M68" s="586"/>
      <c r="N68" s="587"/>
    </row>
    <row r="69" spans="1:14" ht="13.5" thickBot="1">
      <c r="A69" s="86"/>
      <c r="B69" s="31"/>
      <c r="C69" s="590"/>
      <c r="D69" s="591"/>
      <c r="E69" s="188" t="s">
        <v>57</v>
      </c>
      <c r="F69" s="377">
        <f>SUM(F67:F68)</f>
        <v>26.869999999999997</v>
      </c>
      <c r="G69" s="168"/>
      <c r="H69" s="595"/>
      <c r="I69" s="573"/>
      <c r="J69" s="188" t="s">
        <v>88</v>
      </c>
      <c r="K69" s="190">
        <f>SUM(K67:K68)</f>
        <v>27.732714118201542</v>
      </c>
      <c r="L69" s="180"/>
      <c r="M69" s="191">
        <f>K69-F69</f>
        <v>0.862714118201545</v>
      </c>
      <c r="N69" s="192">
        <f>M69/F69</f>
        <v>0.03210696383332881</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84"/>
      <c r="N70" s="585"/>
    </row>
    <row r="71" spans="1:14" ht="25.5">
      <c r="A71" s="86"/>
      <c r="B71" s="31"/>
      <c r="C71" s="197" t="s">
        <v>90</v>
      </c>
      <c r="D71" s="182">
        <v>750</v>
      </c>
      <c r="E71" s="198">
        <v>0.047</v>
      </c>
      <c r="F71" s="356">
        <f>D71*E71</f>
        <v>35.25</v>
      </c>
      <c r="G71" s="168"/>
      <c r="H71" s="197" t="s">
        <v>90</v>
      </c>
      <c r="I71" s="182">
        <f>D71</f>
        <v>750</v>
      </c>
      <c r="J71" s="198">
        <v>0.05</v>
      </c>
      <c r="K71" s="356">
        <f>+I71*J71</f>
        <v>37.5</v>
      </c>
      <c r="L71" s="180"/>
      <c r="M71" s="588"/>
      <c r="N71" s="589"/>
    </row>
    <row r="72" spans="1:14" ht="26.25" thickBot="1">
      <c r="A72" s="86"/>
      <c r="B72" s="31"/>
      <c r="C72" s="197" t="s">
        <v>90</v>
      </c>
      <c r="D72" s="236">
        <f>A66-D71</f>
        <v>250</v>
      </c>
      <c r="E72" s="198">
        <v>0.055</v>
      </c>
      <c r="F72" s="356">
        <f>D72*E72</f>
        <v>13.75</v>
      </c>
      <c r="G72" s="168"/>
      <c r="H72" s="357" t="s">
        <v>90</v>
      </c>
      <c r="I72" s="380">
        <f>D72</f>
        <v>250</v>
      </c>
      <c r="J72" s="358">
        <v>0.058</v>
      </c>
      <c r="K72" s="359">
        <f>+I72*J72</f>
        <v>14.5</v>
      </c>
      <c r="L72" s="180"/>
      <c r="M72" s="588"/>
      <c r="N72" s="589"/>
    </row>
    <row r="73" spans="1:14" ht="13.5" thickBot="1">
      <c r="A73" s="86"/>
      <c r="B73" s="31"/>
      <c r="C73" s="574"/>
      <c r="D73" s="575"/>
      <c r="E73" s="575"/>
      <c r="F73" s="576"/>
      <c r="G73" s="168"/>
      <c r="H73" s="575"/>
      <c r="I73" s="575"/>
      <c r="J73" s="575"/>
      <c r="K73" s="576"/>
      <c r="L73" s="31"/>
      <c r="M73" s="86"/>
      <c r="N73" s="203"/>
    </row>
    <row r="74" spans="1:14" ht="13.5" thickBot="1">
      <c r="A74" s="94"/>
      <c r="B74" s="149"/>
      <c r="C74" s="204" t="s">
        <v>226</v>
      </c>
      <c r="D74" s="205"/>
      <c r="E74" s="205"/>
      <c r="F74" s="190">
        <f>SUM(F70:F72,F69)</f>
        <v>99.77000000000001</v>
      </c>
      <c r="G74" s="207"/>
      <c r="H74" s="583" t="s">
        <v>227</v>
      </c>
      <c r="I74" s="583"/>
      <c r="J74" s="583"/>
      <c r="K74" s="190">
        <f>SUM(K69:K72)</f>
        <v>103.63271411820155</v>
      </c>
      <c r="L74" s="208"/>
      <c r="M74" s="191">
        <f>K74-F74</f>
        <v>3.862714118201538</v>
      </c>
      <c r="N74" s="192">
        <f>M74/F74</f>
        <v>0.03871618841537073</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8"/>
      <c r="D77" s="562" t="s">
        <v>14</v>
      </c>
      <c r="E77" s="564" t="s">
        <v>84</v>
      </c>
      <c r="F77" s="566" t="s">
        <v>207</v>
      </c>
      <c r="G77" s="167"/>
      <c r="H77" s="171"/>
      <c r="I77" s="562" t="s">
        <v>14</v>
      </c>
      <c r="J77" s="564" t="s">
        <v>84</v>
      </c>
      <c r="K77" s="566" t="s">
        <v>207</v>
      </c>
      <c r="L77" s="170"/>
      <c r="M77" s="579" t="s">
        <v>206</v>
      </c>
      <c r="N77" s="581" t="s">
        <v>85</v>
      </c>
    </row>
    <row r="78" spans="1:14" ht="13.5" thickBot="1">
      <c r="A78" s="172">
        <v>1500</v>
      </c>
      <c r="B78" s="31"/>
      <c r="C78" s="569"/>
      <c r="D78" s="563"/>
      <c r="E78" s="565"/>
      <c r="F78" s="567"/>
      <c r="G78" s="168"/>
      <c r="H78" s="31"/>
      <c r="I78" s="577"/>
      <c r="J78" s="578"/>
      <c r="K78" s="567"/>
      <c r="L78" s="32"/>
      <c r="M78" s="580"/>
      <c r="N78" s="582"/>
    </row>
    <row r="79" spans="1:14" ht="27.75" customHeight="1">
      <c r="A79" s="173"/>
      <c r="B79" s="31"/>
      <c r="C79" s="174" t="s">
        <v>26</v>
      </c>
      <c r="D79" s="175" t="s">
        <v>86</v>
      </c>
      <c r="E79" s="176" t="s">
        <v>86</v>
      </c>
      <c r="F79" s="235">
        <f>F67</f>
        <v>15.75</v>
      </c>
      <c r="G79" s="168"/>
      <c r="H79" s="178" t="s">
        <v>26</v>
      </c>
      <c r="I79" s="209" t="str">
        <f>D79</f>
        <v>N/A</v>
      </c>
      <c r="J79" s="179" t="s">
        <v>86</v>
      </c>
      <c r="K79" s="228">
        <f>$K$23</f>
        <v>15.648077754677756</v>
      </c>
      <c r="L79" s="180"/>
      <c r="M79" s="584"/>
      <c r="N79" s="585"/>
    </row>
    <row r="80" spans="1:14" ht="25.5" customHeight="1" thickBot="1">
      <c r="A80" s="86"/>
      <c r="B80" s="31"/>
      <c r="C80" s="181" t="s">
        <v>87</v>
      </c>
      <c r="D80" s="182">
        <f>A78</f>
        <v>1500</v>
      </c>
      <c r="E80" s="183">
        <f>E68</f>
        <v>0.01112</v>
      </c>
      <c r="F80" s="356">
        <f>D80*E80</f>
        <v>16.68</v>
      </c>
      <c r="G80" s="168"/>
      <c r="H80" s="185" t="s">
        <v>87</v>
      </c>
      <c r="I80" s="186">
        <f>D80</f>
        <v>1500</v>
      </c>
      <c r="J80" s="229">
        <f>$J$24</f>
        <v>0.012084636363523787</v>
      </c>
      <c r="K80" s="187">
        <f>I80*J80</f>
        <v>18.12695454528568</v>
      </c>
      <c r="L80" s="180"/>
      <c r="M80" s="586"/>
      <c r="N80" s="587"/>
    </row>
    <row r="81" spans="1:14" ht="13.5" thickBot="1">
      <c r="A81" s="86"/>
      <c r="B81" s="31"/>
      <c r="C81" s="590"/>
      <c r="D81" s="591"/>
      <c r="E81" s="188" t="s">
        <v>57</v>
      </c>
      <c r="F81" s="377">
        <f>SUM(F79:F80)</f>
        <v>32.43</v>
      </c>
      <c r="G81" s="168"/>
      <c r="H81" s="572"/>
      <c r="I81" s="573"/>
      <c r="J81" s="188" t="s">
        <v>88</v>
      </c>
      <c r="K81" s="190">
        <f>SUM(K79:K80)</f>
        <v>33.775032299963435</v>
      </c>
      <c r="L81" s="180"/>
      <c r="M81" s="191">
        <f>K81-F81</f>
        <v>1.3450322999634352</v>
      </c>
      <c r="N81" s="192">
        <f>M81/F81</f>
        <v>0.041474939869362785</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84"/>
      <c r="N82" s="585"/>
    </row>
    <row r="83" spans="1:14" ht="25.5">
      <c r="A83" s="86"/>
      <c r="B83" s="31"/>
      <c r="C83" s="197" t="s">
        <v>90</v>
      </c>
      <c r="D83" s="182">
        <v>750</v>
      </c>
      <c r="E83" s="198">
        <v>0.047</v>
      </c>
      <c r="F83" s="356">
        <f>D83*E83</f>
        <v>35.25</v>
      </c>
      <c r="G83" s="168"/>
      <c r="H83" s="197" t="s">
        <v>90</v>
      </c>
      <c r="I83" s="186">
        <f>D83</f>
        <v>750</v>
      </c>
      <c r="J83" s="198">
        <v>0.05</v>
      </c>
      <c r="K83" s="356">
        <f>+J83*I83</f>
        <v>37.5</v>
      </c>
      <c r="L83" s="180"/>
      <c r="M83" s="588"/>
      <c r="N83" s="589"/>
    </row>
    <row r="84" spans="1:14" ht="26.25" thickBot="1">
      <c r="A84" s="86"/>
      <c r="B84" s="31"/>
      <c r="C84" s="197" t="s">
        <v>90</v>
      </c>
      <c r="D84" s="236">
        <f>A78-D83</f>
        <v>750</v>
      </c>
      <c r="E84" s="198">
        <v>0.055</v>
      </c>
      <c r="F84" s="356">
        <f>D84*E84</f>
        <v>41.25</v>
      </c>
      <c r="G84" s="168"/>
      <c r="H84" s="357" t="s">
        <v>90</v>
      </c>
      <c r="I84" s="380">
        <f>D84</f>
        <v>750</v>
      </c>
      <c r="J84" s="358">
        <v>0.058</v>
      </c>
      <c r="K84" s="359">
        <f>+J84*I84</f>
        <v>43.5</v>
      </c>
      <c r="L84" s="180"/>
      <c r="M84" s="588"/>
      <c r="N84" s="589"/>
    </row>
    <row r="85" spans="1:14" ht="13.5" thickBot="1">
      <c r="A85" s="86"/>
      <c r="B85" s="31"/>
      <c r="C85" s="574"/>
      <c r="D85" s="575"/>
      <c r="E85" s="575"/>
      <c r="F85" s="576"/>
      <c r="G85" s="168"/>
      <c r="H85" s="575"/>
      <c r="I85" s="575"/>
      <c r="J85" s="575"/>
      <c r="K85" s="576"/>
      <c r="L85" s="31"/>
      <c r="M85" s="86"/>
      <c r="N85" s="203"/>
    </row>
    <row r="86" spans="1:14" ht="13.5" thickBot="1">
      <c r="A86" s="94"/>
      <c r="B86" s="149"/>
      <c r="C86" s="204" t="s">
        <v>226</v>
      </c>
      <c r="D86" s="205"/>
      <c r="E86" s="205"/>
      <c r="F86" s="190">
        <f>SUM(F82:F84,F81)</f>
        <v>144.78</v>
      </c>
      <c r="G86" s="207"/>
      <c r="H86" s="583" t="s">
        <v>227</v>
      </c>
      <c r="I86" s="583"/>
      <c r="J86" s="583"/>
      <c r="K86" s="190">
        <f>SUM(K81:K84)</f>
        <v>150.62503229996344</v>
      </c>
      <c r="L86" s="208"/>
      <c r="M86" s="191">
        <f>K86-F86</f>
        <v>5.845032299963435</v>
      </c>
      <c r="N86" s="192">
        <f>M86/F86</f>
        <v>0.04037182138391653</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8"/>
      <c r="D89" s="562" t="s">
        <v>14</v>
      </c>
      <c r="E89" s="564" t="s">
        <v>84</v>
      </c>
      <c r="F89" s="566" t="s">
        <v>207</v>
      </c>
      <c r="G89" s="167"/>
      <c r="H89" s="171"/>
      <c r="I89" s="562" t="s">
        <v>14</v>
      </c>
      <c r="J89" s="564" t="s">
        <v>84</v>
      </c>
      <c r="K89" s="566" t="s">
        <v>207</v>
      </c>
      <c r="L89" s="170"/>
      <c r="M89" s="579" t="s">
        <v>206</v>
      </c>
      <c r="N89" s="581" t="s">
        <v>85</v>
      </c>
    </row>
    <row r="90" spans="1:14" ht="13.5" thickBot="1">
      <c r="A90" s="172">
        <v>2000</v>
      </c>
      <c r="B90" s="31"/>
      <c r="C90" s="569"/>
      <c r="D90" s="563"/>
      <c r="E90" s="565"/>
      <c r="F90" s="567"/>
      <c r="G90" s="168"/>
      <c r="H90" s="31"/>
      <c r="I90" s="577"/>
      <c r="J90" s="578"/>
      <c r="K90" s="567"/>
      <c r="L90" s="32"/>
      <c r="M90" s="580"/>
      <c r="N90" s="582"/>
    </row>
    <row r="91" spans="1:14" ht="27" customHeight="1">
      <c r="A91" s="173"/>
      <c r="B91" s="31"/>
      <c r="C91" s="174" t="s">
        <v>26</v>
      </c>
      <c r="D91" s="175" t="s">
        <v>86</v>
      </c>
      <c r="E91" s="176" t="s">
        <v>86</v>
      </c>
      <c r="F91" s="235">
        <f>F79</f>
        <v>15.75</v>
      </c>
      <c r="G91" s="168"/>
      <c r="H91" s="178" t="s">
        <v>26</v>
      </c>
      <c r="I91" s="209" t="str">
        <f>D91</f>
        <v>N/A</v>
      </c>
      <c r="J91" s="179" t="s">
        <v>86</v>
      </c>
      <c r="K91" s="228">
        <f>$K$23</f>
        <v>15.648077754677756</v>
      </c>
      <c r="L91" s="180"/>
      <c r="M91" s="584"/>
      <c r="N91" s="585"/>
    </row>
    <row r="92" spans="1:14" ht="29.25" customHeight="1" thickBot="1">
      <c r="A92" s="86"/>
      <c r="B92" s="31"/>
      <c r="C92" s="181" t="s">
        <v>87</v>
      </c>
      <c r="D92" s="182">
        <f>A90</f>
        <v>2000</v>
      </c>
      <c r="E92" s="183">
        <f>E80</f>
        <v>0.01112</v>
      </c>
      <c r="F92" s="356">
        <f>D92*E92</f>
        <v>22.24</v>
      </c>
      <c r="G92" s="168"/>
      <c r="H92" s="185" t="s">
        <v>87</v>
      </c>
      <c r="I92" s="186">
        <f>D92</f>
        <v>2000</v>
      </c>
      <c r="J92" s="229">
        <f>$J$24</f>
        <v>0.012084636363523787</v>
      </c>
      <c r="K92" s="187">
        <f>I92*J92</f>
        <v>24.169272727047574</v>
      </c>
      <c r="L92" s="180"/>
      <c r="M92" s="586"/>
      <c r="N92" s="587"/>
    </row>
    <row r="93" spans="1:14" ht="13.5" customHeight="1" thickBot="1">
      <c r="A93" s="86"/>
      <c r="B93" s="31"/>
      <c r="C93" s="590"/>
      <c r="D93" s="591"/>
      <c r="E93" s="188" t="s">
        <v>57</v>
      </c>
      <c r="F93" s="377">
        <f>SUM(F91:F92)</f>
        <v>37.989999999999995</v>
      </c>
      <c r="G93" s="168"/>
      <c r="H93" s="572"/>
      <c r="I93" s="573"/>
      <c r="J93" s="188" t="s">
        <v>88</v>
      </c>
      <c r="K93" s="190">
        <f>SUM(K91:K92)</f>
        <v>39.81735048172533</v>
      </c>
      <c r="L93" s="180"/>
      <c r="M93" s="191">
        <f>K93-F93</f>
        <v>1.8273504817253325</v>
      </c>
      <c r="N93" s="192">
        <f>M93/F93</f>
        <v>0.048100828684531</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84"/>
      <c r="N94" s="585"/>
    </row>
    <row r="95" spans="1:14" ht="25.5">
      <c r="A95" s="86"/>
      <c r="B95" s="31"/>
      <c r="C95" s="197" t="s">
        <v>90</v>
      </c>
      <c r="D95" s="182">
        <v>750</v>
      </c>
      <c r="E95" s="198">
        <v>0.047</v>
      </c>
      <c r="F95" s="356">
        <f>D95*E95</f>
        <v>35.25</v>
      </c>
      <c r="G95" s="168"/>
      <c r="H95" s="197" t="s">
        <v>90</v>
      </c>
      <c r="I95" s="186">
        <f>D95</f>
        <v>750</v>
      </c>
      <c r="J95" s="198">
        <v>0.05</v>
      </c>
      <c r="K95" s="356">
        <f>+J95*I95</f>
        <v>37.5</v>
      </c>
      <c r="L95" s="180"/>
      <c r="M95" s="588"/>
      <c r="N95" s="589"/>
    </row>
    <row r="96" spans="1:14" ht="26.25" thickBot="1">
      <c r="A96" s="86"/>
      <c r="B96" s="31"/>
      <c r="C96" s="197" t="s">
        <v>90</v>
      </c>
      <c r="D96" s="236">
        <f>A90-D95</f>
        <v>1250</v>
      </c>
      <c r="E96" s="198">
        <v>0.055</v>
      </c>
      <c r="F96" s="356">
        <f>D96*E96</f>
        <v>68.75</v>
      </c>
      <c r="G96" s="168"/>
      <c r="H96" s="357" t="s">
        <v>90</v>
      </c>
      <c r="I96" s="380">
        <f>D96</f>
        <v>1250</v>
      </c>
      <c r="J96" s="358">
        <v>0.058</v>
      </c>
      <c r="K96" s="359">
        <f>+J96*I96</f>
        <v>72.5</v>
      </c>
      <c r="L96" s="180"/>
      <c r="M96" s="588"/>
      <c r="N96" s="589"/>
    </row>
    <row r="97" spans="1:14" ht="13.5" thickBot="1">
      <c r="A97" s="86"/>
      <c r="B97" s="31"/>
      <c r="C97" s="574"/>
      <c r="D97" s="575"/>
      <c r="E97" s="575"/>
      <c r="F97" s="576"/>
      <c r="G97" s="168"/>
      <c r="H97" s="575"/>
      <c r="I97" s="575"/>
      <c r="J97" s="575"/>
      <c r="K97" s="576"/>
      <c r="L97" s="31"/>
      <c r="M97" s="86"/>
      <c r="N97" s="203"/>
    </row>
    <row r="98" spans="1:14" ht="13.5" thickBot="1">
      <c r="A98" s="94"/>
      <c r="B98" s="149"/>
      <c r="C98" s="204" t="s">
        <v>226</v>
      </c>
      <c r="D98" s="205"/>
      <c r="E98" s="205"/>
      <c r="F98" s="190">
        <f>SUM(F94:F96,F93)</f>
        <v>189.79000000000002</v>
      </c>
      <c r="G98" s="207"/>
      <c r="H98" s="583" t="s">
        <v>227</v>
      </c>
      <c r="I98" s="583"/>
      <c r="J98" s="583"/>
      <c r="K98" s="190">
        <f>SUM(K93:K96)</f>
        <v>197.61735048172534</v>
      </c>
      <c r="L98" s="208"/>
      <c r="M98" s="191">
        <f>K98-F98</f>
        <v>7.827350481725318</v>
      </c>
      <c r="N98" s="192">
        <f>M98/F98</f>
        <v>0.0412421649282118</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56" t="s">
        <v>101</v>
      </c>
      <c r="D107" s="557"/>
      <c r="E107" s="557"/>
      <c r="F107" s="558"/>
      <c r="G107" s="167"/>
      <c r="H107" s="556" t="s">
        <v>102</v>
      </c>
      <c r="I107" s="557"/>
      <c r="J107" s="557"/>
      <c r="K107" s="557"/>
      <c r="L107" s="557"/>
      <c r="M107" s="557"/>
      <c r="N107" s="558"/>
      <c r="O107" s="31"/>
    </row>
    <row r="108" spans="1:14" ht="13.5" customHeight="1" thickBot="1">
      <c r="A108"/>
      <c r="C108" s="559"/>
      <c r="D108" s="560"/>
      <c r="E108" s="560"/>
      <c r="F108" s="561"/>
      <c r="G108" s="168"/>
      <c r="H108" s="559"/>
      <c r="I108" s="560"/>
      <c r="J108" s="560"/>
      <c r="K108" s="560"/>
      <c r="L108" s="560"/>
      <c r="M108" s="560"/>
      <c r="N108" s="561"/>
    </row>
    <row r="109" spans="1:14" ht="60.75" thickBot="1">
      <c r="A109" s="169" t="s">
        <v>83</v>
      </c>
      <c r="B109" s="170"/>
      <c r="C109" s="568"/>
      <c r="D109" s="562" t="s">
        <v>14</v>
      </c>
      <c r="E109" s="564" t="s">
        <v>84</v>
      </c>
      <c r="F109" s="566" t="s">
        <v>207</v>
      </c>
      <c r="G109" s="167"/>
      <c r="H109" s="171"/>
      <c r="I109" s="562" t="s">
        <v>14</v>
      </c>
      <c r="J109" s="564" t="s">
        <v>84</v>
      </c>
      <c r="K109" s="566" t="s">
        <v>207</v>
      </c>
      <c r="L109" s="170"/>
      <c r="M109" s="579" t="s">
        <v>206</v>
      </c>
      <c r="N109" s="581" t="s">
        <v>85</v>
      </c>
    </row>
    <row r="110" spans="1:14" ht="13.5" thickBot="1">
      <c r="A110" s="172">
        <v>1000</v>
      </c>
      <c r="B110" s="31"/>
      <c r="C110" s="569"/>
      <c r="D110" s="563"/>
      <c r="E110" s="565"/>
      <c r="F110" s="567"/>
      <c r="G110" s="168"/>
      <c r="H110" s="31"/>
      <c r="I110" s="577"/>
      <c r="J110" s="578"/>
      <c r="K110" s="567"/>
      <c r="L110" s="32"/>
      <c r="M110" s="580"/>
      <c r="N110" s="582"/>
    </row>
    <row r="111" spans="1:14" ht="25.5">
      <c r="A111" s="173"/>
      <c r="B111" s="31"/>
      <c r="C111" s="174" t="s">
        <v>26</v>
      </c>
      <c r="D111" s="175" t="s">
        <v>86</v>
      </c>
      <c r="E111" s="176" t="s">
        <v>86</v>
      </c>
      <c r="F111" s="235">
        <f>'12. Current Rates'!D35</f>
        <v>0</v>
      </c>
      <c r="G111" s="168"/>
      <c r="H111" s="178" t="s">
        <v>26</v>
      </c>
      <c r="I111" s="175" t="str">
        <f>D111</f>
        <v>N/A</v>
      </c>
      <c r="J111" s="175" t="s">
        <v>86</v>
      </c>
      <c r="K111" s="235">
        <f>'11. 2005 Final Rate Schedule '!F25</f>
      </c>
      <c r="L111" s="180"/>
      <c r="M111" s="584"/>
      <c r="N111" s="585"/>
    </row>
    <row r="112" spans="1:14" ht="26.25" thickBot="1">
      <c r="A112" s="86"/>
      <c r="B112" s="31"/>
      <c r="C112" s="181" t="s">
        <v>87</v>
      </c>
      <c r="D112" s="182">
        <f>A110</f>
        <v>1000</v>
      </c>
      <c r="E112" s="444">
        <f>'12. Current Rates'!D33</f>
        <v>0</v>
      </c>
      <c r="F112" s="356">
        <f>D112*E112</f>
        <v>0</v>
      </c>
      <c r="G112" s="168"/>
      <c r="H112" s="185" t="s">
        <v>87</v>
      </c>
      <c r="I112" s="182">
        <f>D112</f>
        <v>1000</v>
      </c>
      <c r="J112" s="450">
        <f>'11. 2005 Final Rate Schedule '!F26</f>
      </c>
      <c r="K112" s="238" t="e">
        <f>I112*J112</f>
        <v>#VALUE!</v>
      </c>
      <c r="L112" s="180"/>
      <c r="M112" s="586"/>
      <c r="N112" s="587"/>
    </row>
    <row r="113" spans="1:14" ht="13.5" thickBot="1">
      <c r="A113" s="86"/>
      <c r="B113" s="31"/>
      <c r="C113" s="590"/>
      <c r="D113" s="591"/>
      <c r="E113" s="188" t="s">
        <v>57</v>
      </c>
      <c r="F113" s="377">
        <f>SUM(F111:F112)</f>
        <v>0</v>
      </c>
      <c r="G113" s="168"/>
      <c r="H113" s="572"/>
      <c r="I113" s="573"/>
      <c r="J113" s="188" t="s">
        <v>88</v>
      </c>
      <c r="K113" s="190" t="e">
        <f>SUM(K111:K112)</f>
        <v>#VALUE!</v>
      </c>
      <c r="L113" s="180"/>
      <c r="M113" s="191" t="e">
        <f>K113-F113</f>
        <v>#VALUE!</v>
      </c>
      <c r="N113" s="454" t="e">
        <f>M113/F113</f>
        <v>#VALUE!</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84"/>
      <c r="N114" s="585"/>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88"/>
      <c r="N115" s="589"/>
    </row>
    <row r="116" spans="1:14" ht="13.5" thickBot="1">
      <c r="A116" s="86"/>
      <c r="B116" s="31"/>
      <c r="C116" s="574"/>
      <c r="D116" s="575"/>
      <c r="E116" s="575"/>
      <c r="F116" s="576"/>
      <c r="G116" s="168"/>
      <c r="H116" s="575"/>
      <c r="I116" s="575"/>
      <c r="J116" s="575"/>
      <c r="K116" s="576"/>
      <c r="L116" s="31"/>
      <c r="M116" s="86"/>
      <c r="N116" s="203"/>
    </row>
    <row r="117" spans="1:14" ht="13.5" thickBot="1">
      <c r="A117" s="94"/>
      <c r="B117" s="149"/>
      <c r="C117" s="204" t="s">
        <v>226</v>
      </c>
      <c r="D117" s="205"/>
      <c r="E117" s="205"/>
      <c r="F117" s="190">
        <f>SUM(F114:F115,F113)</f>
        <v>69.9</v>
      </c>
      <c r="G117" s="207"/>
      <c r="H117" s="583" t="s">
        <v>227</v>
      </c>
      <c r="I117" s="583"/>
      <c r="J117" s="583"/>
      <c r="K117" s="190" t="e">
        <f>SUM(K113:K115)</f>
        <v>#VALUE!</v>
      </c>
      <c r="L117" s="208"/>
      <c r="M117" s="191" t="e">
        <f>K117-F117</f>
        <v>#VALUE!</v>
      </c>
      <c r="N117" s="454" t="e">
        <f>M117/F117</f>
        <v>#VALUE!</v>
      </c>
    </row>
    <row r="118" ht="12.75">
      <c r="K118" s="162"/>
    </row>
    <row r="119" ht="13.5" thickBot="1">
      <c r="K119" s="162"/>
    </row>
    <row r="120" spans="1:14" ht="60.75" thickBot="1">
      <c r="A120" s="169" t="s">
        <v>83</v>
      </c>
      <c r="B120" s="170"/>
      <c r="C120" s="568"/>
      <c r="D120" s="562" t="s">
        <v>14</v>
      </c>
      <c r="E120" s="564" t="s">
        <v>84</v>
      </c>
      <c r="F120" s="566" t="s">
        <v>207</v>
      </c>
      <c r="G120" s="167"/>
      <c r="H120" s="171"/>
      <c r="I120" s="562" t="s">
        <v>14</v>
      </c>
      <c r="J120" s="564" t="s">
        <v>84</v>
      </c>
      <c r="K120" s="566" t="s">
        <v>207</v>
      </c>
      <c r="L120" s="170"/>
      <c r="M120" s="579" t="s">
        <v>206</v>
      </c>
      <c r="N120" s="581" t="s">
        <v>85</v>
      </c>
    </row>
    <row r="121" spans="1:14" ht="13.5" thickBot="1">
      <c r="A121" s="172">
        <v>2000</v>
      </c>
      <c r="B121" s="31"/>
      <c r="C121" s="569"/>
      <c r="D121" s="563"/>
      <c r="E121" s="565"/>
      <c r="F121" s="567"/>
      <c r="G121" s="168"/>
      <c r="H121" s="31"/>
      <c r="I121" s="577"/>
      <c r="J121" s="578"/>
      <c r="K121" s="567"/>
      <c r="L121" s="32"/>
      <c r="M121" s="580"/>
      <c r="N121" s="582"/>
    </row>
    <row r="122" spans="1:14" ht="25.5">
      <c r="A122" s="173"/>
      <c r="B122" s="31"/>
      <c r="C122" s="174" t="s">
        <v>26</v>
      </c>
      <c r="D122" s="175" t="s">
        <v>86</v>
      </c>
      <c r="E122" s="176" t="s">
        <v>86</v>
      </c>
      <c r="F122" s="235">
        <f>F111</f>
        <v>0</v>
      </c>
      <c r="G122" s="168"/>
      <c r="H122" s="178" t="s">
        <v>26</v>
      </c>
      <c r="I122" s="179" t="str">
        <f>D122</f>
        <v>N/A</v>
      </c>
      <c r="J122" s="179" t="s">
        <v>86</v>
      </c>
      <c r="K122" s="228">
        <f>$K$111</f>
      </c>
      <c r="L122" s="180"/>
      <c r="M122" s="584"/>
      <c r="N122" s="585"/>
    </row>
    <row r="123" spans="1:14" ht="26.25" thickBot="1">
      <c r="A123" s="86"/>
      <c r="B123" s="31"/>
      <c r="C123" s="181" t="s">
        <v>87</v>
      </c>
      <c r="D123" s="182">
        <f>A121</f>
        <v>2000</v>
      </c>
      <c r="E123" s="183">
        <f>E112</f>
        <v>0</v>
      </c>
      <c r="F123" s="356">
        <f>D123*E123</f>
        <v>0</v>
      </c>
      <c r="G123" s="168"/>
      <c r="H123" s="185" t="s">
        <v>87</v>
      </c>
      <c r="I123" s="186">
        <f>D123</f>
        <v>2000</v>
      </c>
      <c r="J123" s="437">
        <f>$J$112</f>
      </c>
      <c r="K123" s="187" t="e">
        <f>I123*J123</f>
        <v>#VALUE!</v>
      </c>
      <c r="L123" s="180"/>
      <c r="M123" s="586"/>
      <c r="N123" s="587"/>
    </row>
    <row r="124" spans="1:14" ht="13.5" thickBot="1">
      <c r="A124" s="86"/>
      <c r="B124" s="31"/>
      <c r="C124" s="590"/>
      <c r="D124" s="591"/>
      <c r="E124" s="188" t="s">
        <v>57</v>
      </c>
      <c r="F124" s="377">
        <f>SUM(F122:F123)</f>
        <v>0</v>
      </c>
      <c r="G124" s="168"/>
      <c r="H124" s="572"/>
      <c r="I124" s="573"/>
      <c r="J124" s="188" t="s">
        <v>88</v>
      </c>
      <c r="K124" s="190" t="e">
        <f>SUM(K122:K123)</f>
        <v>#VALUE!</v>
      </c>
      <c r="L124" s="180"/>
      <c r="M124" s="191" t="e">
        <f>K124-F124</f>
        <v>#VALUE!</v>
      </c>
      <c r="N124" s="192" t="e">
        <f>M124/F124</f>
        <v>#VALUE!</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84"/>
      <c r="N125" s="585"/>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88"/>
      <c r="N126" s="589"/>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88"/>
      <c r="N127" s="589"/>
    </row>
    <row r="128" spans="1:14" ht="13.5" thickBot="1">
      <c r="A128" s="86"/>
      <c r="B128" s="31"/>
      <c r="C128" s="574"/>
      <c r="D128" s="575"/>
      <c r="E128" s="575"/>
      <c r="F128" s="576"/>
      <c r="G128" s="168"/>
      <c r="H128" s="575"/>
      <c r="I128" s="575"/>
      <c r="J128" s="575"/>
      <c r="K128" s="576"/>
      <c r="L128" s="31"/>
      <c r="M128" s="86"/>
      <c r="N128" s="203"/>
    </row>
    <row r="129" spans="1:14" ht="13.5" thickBot="1">
      <c r="A129" s="94"/>
      <c r="B129" s="149"/>
      <c r="C129" s="204" t="s">
        <v>226</v>
      </c>
      <c r="D129" s="205"/>
      <c r="E129" s="205"/>
      <c r="F129" s="190">
        <f>SUM(F125:F127,F124)</f>
        <v>149.8</v>
      </c>
      <c r="G129" s="207"/>
      <c r="H129" s="583" t="s">
        <v>227</v>
      </c>
      <c r="I129" s="583"/>
      <c r="J129" s="583"/>
      <c r="K129" s="190" t="e">
        <f>SUM(K124:K127)</f>
        <v>#VALUE!</v>
      </c>
      <c r="L129" s="208"/>
      <c r="M129" s="191" t="e">
        <f>K129-F129</f>
        <v>#VALUE!</v>
      </c>
      <c r="N129" s="192" t="e">
        <f>M129/F129</f>
        <v>#VALUE!</v>
      </c>
    </row>
    <row r="130" ht="12.75">
      <c r="K130" s="162"/>
    </row>
    <row r="131" ht="13.5" thickBot="1">
      <c r="K131" s="162"/>
    </row>
    <row r="132" spans="1:14" ht="60.75" thickBot="1">
      <c r="A132" s="169" t="s">
        <v>83</v>
      </c>
      <c r="B132" s="170"/>
      <c r="C132" s="568"/>
      <c r="D132" s="562" t="s">
        <v>14</v>
      </c>
      <c r="E132" s="564" t="s">
        <v>84</v>
      </c>
      <c r="F132" s="566" t="s">
        <v>207</v>
      </c>
      <c r="G132" s="167"/>
      <c r="H132" s="171"/>
      <c r="I132" s="562" t="s">
        <v>14</v>
      </c>
      <c r="J132" s="564" t="s">
        <v>84</v>
      </c>
      <c r="K132" s="566" t="s">
        <v>207</v>
      </c>
      <c r="L132" s="170"/>
      <c r="M132" s="579" t="s">
        <v>206</v>
      </c>
      <c r="N132" s="581" t="s">
        <v>85</v>
      </c>
    </row>
    <row r="133" spans="1:14" ht="13.5" thickBot="1">
      <c r="A133" s="172">
        <v>5000</v>
      </c>
      <c r="B133" s="31"/>
      <c r="C133" s="569"/>
      <c r="D133" s="563"/>
      <c r="E133" s="565"/>
      <c r="F133" s="567"/>
      <c r="G133" s="168"/>
      <c r="H133" s="31"/>
      <c r="I133" s="577"/>
      <c r="J133" s="578"/>
      <c r="K133" s="567"/>
      <c r="L133" s="32"/>
      <c r="M133" s="580"/>
      <c r="N133" s="582"/>
    </row>
    <row r="134" spans="1:14" ht="25.5">
      <c r="A134" s="173"/>
      <c r="B134" s="31"/>
      <c r="C134" s="174" t="s">
        <v>26</v>
      </c>
      <c r="D134" s="175" t="s">
        <v>86</v>
      </c>
      <c r="E134" s="176" t="s">
        <v>86</v>
      </c>
      <c r="F134" s="235">
        <f>F122</f>
        <v>0</v>
      </c>
      <c r="G134" s="168"/>
      <c r="H134" s="178" t="s">
        <v>26</v>
      </c>
      <c r="I134" s="179" t="str">
        <f>D134</f>
        <v>N/A</v>
      </c>
      <c r="J134" s="179" t="s">
        <v>86</v>
      </c>
      <c r="K134" s="228">
        <f>$K$111</f>
      </c>
      <c r="L134" s="180"/>
      <c r="M134" s="584"/>
      <c r="N134" s="585"/>
    </row>
    <row r="135" spans="1:14" ht="26.25" thickBot="1">
      <c r="A135" s="86"/>
      <c r="B135" s="31"/>
      <c r="C135" s="181" t="s">
        <v>87</v>
      </c>
      <c r="D135" s="182">
        <f>A133</f>
        <v>5000</v>
      </c>
      <c r="E135" s="183">
        <f>E123</f>
        <v>0</v>
      </c>
      <c r="F135" s="356">
        <f>D135*E135</f>
        <v>0</v>
      </c>
      <c r="G135" s="168"/>
      <c r="H135" s="185" t="s">
        <v>87</v>
      </c>
      <c r="I135" s="186">
        <f>D135</f>
        <v>5000</v>
      </c>
      <c r="J135" s="437">
        <f>$J$112</f>
      </c>
      <c r="K135" s="187" t="e">
        <f>I135*J135</f>
        <v>#VALUE!</v>
      </c>
      <c r="L135" s="180"/>
      <c r="M135" s="586"/>
      <c r="N135" s="587"/>
    </row>
    <row r="136" spans="1:14" ht="13.5" thickBot="1">
      <c r="A136" s="86"/>
      <c r="B136" s="31"/>
      <c r="C136" s="590"/>
      <c r="D136" s="591"/>
      <c r="E136" s="188" t="s">
        <v>57</v>
      </c>
      <c r="F136" s="377">
        <f>SUM(F134:F135)</f>
        <v>0</v>
      </c>
      <c r="G136" s="168"/>
      <c r="H136" s="572"/>
      <c r="I136" s="573"/>
      <c r="J136" s="188" t="s">
        <v>88</v>
      </c>
      <c r="K136" s="190" t="e">
        <f>SUM(K134:K135)</f>
        <v>#VALUE!</v>
      </c>
      <c r="L136" s="180"/>
      <c r="M136" s="191" t="e">
        <f>K136-F136</f>
        <v>#VALUE!</v>
      </c>
      <c r="N136" s="192" t="e">
        <f>M136/F136</f>
        <v>#VALUE!</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84"/>
      <c r="N137" s="585"/>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88"/>
      <c r="N138" s="589"/>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88"/>
      <c r="N139" s="589"/>
    </row>
    <row r="140" spans="1:14" ht="13.5" thickBot="1">
      <c r="A140" s="86"/>
      <c r="B140" s="31"/>
      <c r="C140" s="574"/>
      <c r="D140" s="575"/>
      <c r="E140" s="575"/>
      <c r="F140" s="576"/>
      <c r="G140" s="168"/>
      <c r="H140" s="575"/>
      <c r="I140" s="575"/>
      <c r="J140" s="575"/>
      <c r="K140" s="576"/>
      <c r="L140" s="31"/>
      <c r="M140" s="86"/>
      <c r="N140" s="203"/>
    </row>
    <row r="141" spans="1:14" ht="13.5" thickBot="1">
      <c r="A141" s="94"/>
      <c r="B141" s="149"/>
      <c r="C141" s="204" t="s">
        <v>226</v>
      </c>
      <c r="D141" s="205"/>
      <c r="E141" s="205"/>
      <c r="F141" s="190">
        <f>SUM(F137:F139,F136)</f>
        <v>383.5</v>
      </c>
      <c r="G141" s="207"/>
      <c r="H141" s="583" t="s">
        <v>227</v>
      </c>
      <c r="I141" s="583"/>
      <c r="J141" s="583"/>
      <c r="K141" s="190" t="e">
        <f>SUM(K136:K139)</f>
        <v>#VALUE!</v>
      </c>
      <c r="L141" s="208"/>
      <c r="M141" s="191" t="e">
        <f>K141-F141</f>
        <v>#VALUE!</v>
      </c>
      <c r="N141" s="192" t="e">
        <f>M141/F141</f>
        <v>#VALUE!</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8"/>
      <c r="D144" s="562" t="s">
        <v>14</v>
      </c>
      <c r="E144" s="564" t="s">
        <v>84</v>
      </c>
      <c r="F144" s="566" t="s">
        <v>207</v>
      </c>
      <c r="G144" s="167"/>
      <c r="H144" s="171"/>
      <c r="I144" s="562" t="s">
        <v>14</v>
      </c>
      <c r="J144" s="564" t="s">
        <v>84</v>
      </c>
      <c r="K144" s="566" t="s">
        <v>207</v>
      </c>
      <c r="L144" s="170"/>
      <c r="M144" s="579" t="s">
        <v>206</v>
      </c>
      <c r="N144" s="581" t="s">
        <v>85</v>
      </c>
    </row>
    <row r="145" spans="1:14" ht="13.5" thickBot="1">
      <c r="A145" s="172">
        <v>10000</v>
      </c>
      <c r="B145" s="31"/>
      <c r="C145" s="569"/>
      <c r="D145" s="563"/>
      <c r="E145" s="565"/>
      <c r="F145" s="567"/>
      <c r="G145" s="168"/>
      <c r="H145" s="31"/>
      <c r="I145" s="577"/>
      <c r="J145" s="578"/>
      <c r="K145" s="567"/>
      <c r="L145" s="32"/>
      <c r="M145" s="580"/>
      <c r="N145" s="582"/>
    </row>
    <row r="146" spans="1:14" ht="25.5">
      <c r="A146" s="173"/>
      <c r="B146" s="31"/>
      <c r="C146" s="174" t="s">
        <v>26</v>
      </c>
      <c r="D146" s="175" t="s">
        <v>86</v>
      </c>
      <c r="E146" s="176" t="s">
        <v>86</v>
      </c>
      <c r="F146" s="235">
        <f>F134</f>
        <v>0</v>
      </c>
      <c r="G146" s="168"/>
      <c r="H146" s="178" t="s">
        <v>26</v>
      </c>
      <c r="I146" s="179" t="str">
        <f>D146</f>
        <v>N/A</v>
      </c>
      <c r="J146" s="179" t="s">
        <v>86</v>
      </c>
      <c r="K146" s="228">
        <f>$K$111</f>
      </c>
      <c r="L146" s="180"/>
      <c r="M146" s="584"/>
      <c r="N146" s="585"/>
    </row>
    <row r="147" spans="1:14" ht="26.25" thickBot="1">
      <c r="A147" s="86"/>
      <c r="B147" s="31"/>
      <c r="C147" s="181" t="s">
        <v>87</v>
      </c>
      <c r="D147" s="182">
        <f>A145</f>
        <v>10000</v>
      </c>
      <c r="E147" s="183">
        <f>E135</f>
        <v>0</v>
      </c>
      <c r="F147" s="356">
        <f>D147*E147</f>
        <v>0</v>
      </c>
      <c r="G147" s="168"/>
      <c r="H147" s="185" t="s">
        <v>87</v>
      </c>
      <c r="I147" s="186">
        <f>D147</f>
        <v>10000</v>
      </c>
      <c r="J147" s="437">
        <f>$J$112</f>
      </c>
      <c r="K147" s="187" t="e">
        <f>I147*J147</f>
        <v>#VALUE!</v>
      </c>
      <c r="L147" s="180"/>
      <c r="M147" s="586"/>
      <c r="N147" s="587"/>
    </row>
    <row r="148" spans="1:14" ht="13.5" thickBot="1">
      <c r="A148" s="86"/>
      <c r="B148" s="31"/>
      <c r="C148" s="590"/>
      <c r="D148" s="591"/>
      <c r="E148" s="188" t="s">
        <v>57</v>
      </c>
      <c r="F148" s="377">
        <f>SUM(F146:F147)</f>
        <v>0</v>
      </c>
      <c r="G148" s="168"/>
      <c r="H148" s="572"/>
      <c r="I148" s="573"/>
      <c r="J148" s="188" t="s">
        <v>88</v>
      </c>
      <c r="K148" s="190" t="e">
        <f>SUM(K146:K147)</f>
        <v>#VALUE!</v>
      </c>
      <c r="L148" s="180"/>
      <c r="M148" s="191" t="e">
        <f>K148-F148</f>
        <v>#VALUE!</v>
      </c>
      <c r="N148" s="192" t="e">
        <f>M148/F148</f>
        <v>#VALUE!</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84"/>
      <c r="N149" s="585"/>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88"/>
      <c r="N150" s="589"/>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88"/>
      <c r="N151" s="589"/>
    </row>
    <row r="152" spans="1:14" ht="13.5" thickBot="1">
      <c r="A152" s="86"/>
      <c r="B152" s="31"/>
      <c r="C152" s="574"/>
      <c r="D152" s="575"/>
      <c r="E152" s="575"/>
      <c r="F152" s="576"/>
      <c r="G152" s="168"/>
      <c r="H152" s="575"/>
      <c r="I152" s="575"/>
      <c r="J152" s="575"/>
      <c r="K152" s="576"/>
      <c r="L152" s="31"/>
      <c r="M152" s="86"/>
      <c r="N152" s="203"/>
    </row>
    <row r="153" spans="1:14" ht="13.5" thickBot="1">
      <c r="A153" s="94"/>
      <c r="B153" s="149"/>
      <c r="C153" s="204" t="s">
        <v>226</v>
      </c>
      <c r="D153" s="205"/>
      <c r="E153" s="205"/>
      <c r="F153" s="190">
        <f>SUM(F149:F151,F148)</f>
        <v>773</v>
      </c>
      <c r="G153" s="207"/>
      <c r="H153" s="583" t="s">
        <v>227</v>
      </c>
      <c r="I153" s="583"/>
      <c r="J153" s="583"/>
      <c r="K153" s="190" t="e">
        <f>SUM(K148:K151)</f>
        <v>#VALUE!</v>
      </c>
      <c r="L153" s="208"/>
      <c r="M153" s="191" t="e">
        <f>K153-F153</f>
        <v>#VALUE!</v>
      </c>
      <c r="N153" s="192" t="e">
        <f>M153/F153</f>
        <v>#VALUE!</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8"/>
      <c r="D156" s="562" t="s">
        <v>14</v>
      </c>
      <c r="E156" s="564" t="s">
        <v>84</v>
      </c>
      <c r="F156" s="566" t="s">
        <v>207</v>
      </c>
      <c r="G156" s="167"/>
      <c r="H156" s="171"/>
      <c r="I156" s="562" t="s">
        <v>14</v>
      </c>
      <c r="J156" s="564" t="s">
        <v>84</v>
      </c>
      <c r="K156" s="566" t="s">
        <v>207</v>
      </c>
      <c r="L156" s="170"/>
      <c r="M156" s="579" t="s">
        <v>206</v>
      </c>
      <c r="N156" s="581" t="s">
        <v>85</v>
      </c>
    </row>
    <row r="157" spans="1:14" ht="13.5" thickBot="1">
      <c r="A157" s="172">
        <v>15000</v>
      </c>
      <c r="B157" s="31"/>
      <c r="C157" s="569"/>
      <c r="D157" s="563"/>
      <c r="E157" s="565"/>
      <c r="F157" s="567"/>
      <c r="G157" s="168"/>
      <c r="H157" s="31"/>
      <c r="I157" s="577"/>
      <c r="J157" s="578"/>
      <c r="K157" s="567"/>
      <c r="L157" s="32"/>
      <c r="M157" s="580"/>
      <c r="N157" s="582"/>
    </row>
    <row r="158" spans="1:14" ht="25.5">
      <c r="A158" s="173"/>
      <c r="B158" s="31"/>
      <c r="C158" s="174" t="s">
        <v>26</v>
      </c>
      <c r="D158" s="175" t="s">
        <v>86</v>
      </c>
      <c r="E158" s="176" t="s">
        <v>86</v>
      </c>
      <c r="F158" s="177">
        <f>F146</f>
        <v>0</v>
      </c>
      <c r="G158" s="168"/>
      <c r="H158" s="178" t="s">
        <v>26</v>
      </c>
      <c r="I158" s="179" t="str">
        <f>D158</f>
        <v>N/A</v>
      </c>
      <c r="J158" s="179" t="s">
        <v>86</v>
      </c>
      <c r="K158" s="228">
        <f>$K$111</f>
      </c>
      <c r="L158" s="180"/>
      <c r="M158" s="584"/>
      <c r="N158" s="585"/>
    </row>
    <row r="159" spans="1:14" ht="26.25" thickBot="1">
      <c r="A159" s="86"/>
      <c r="B159" s="31"/>
      <c r="C159" s="181" t="s">
        <v>87</v>
      </c>
      <c r="D159" s="182">
        <f>A157</f>
        <v>15000</v>
      </c>
      <c r="E159" s="183">
        <f>E147</f>
        <v>0</v>
      </c>
      <c r="F159" s="184">
        <f>D159*E159</f>
        <v>0</v>
      </c>
      <c r="G159" s="168"/>
      <c r="H159" s="185" t="s">
        <v>87</v>
      </c>
      <c r="I159" s="186">
        <f>D159</f>
        <v>15000</v>
      </c>
      <c r="J159" s="437">
        <f>$J$112</f>
      </c>
      <c r="K159" s="187" t="e">
        <f>I159*J159</f>
        <v>#VALUE!</v>
      </c>
      <c r="L159" s="180"/>
      <c r="M159" s="586"/>
      <c r="N159" s="587"/>
    </row>
    <row r="160" spans="1:14" ht="13.5" thickBot="1">
      <c r="A160" s="86"/>
      <c r="B160" s="31"/>
      <c r="C160" s="590"/>
      <c r="D160" s="591"/>
      <c r="E160" s="188" t="s">
        <v>57</v>
      </c>
      <c r="F160" s="189">
        <f>SUM(F158:F159)</f>
        <v>0</v>
      </c>
      <c r="G160" s="168"/>
      <c r="H160" s="572"/>
      <c r="I160" s="573"/>
      <c r="J160" s="188" t="s">
        <v>88</v>
      </c>
      <c r="K160" s="190" t="e">
        <f>SUM(K158:K159)</f>
        <v>#VALUE!</v>
      </c>
      <c r="L160" s="180"/>
      <c r="M160" s="191" t="e">
        <f>K160-F160</f>
        <v>#VALUE!</v>
      </c>
      <c r="N160" s="192" t="e">
        <f>M160/F160</f>
        <v>#VALUE!</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84"/>
      <c r="N161" s="585"/>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88"/>
      <c r="N162" s="589"/>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88"/>
      <c r="N163" s="589"/>
    </row>
    <row r="164" spans="1:14" ht="13.5" thickBot="1">
      <c r="A164" s="86"/>
      <c r="B164" s="31"/>
      <c r="C164" s="574"/>
      <c r="D164" s="575"/>
      <c r="E164" s="575"/>
      <c r="F164" s="575"/>
      <c r="G164" s="168"/>
      <c r="H164" s="575"/>
      <c r="I164" s="575"/>
      <c r="J164" s="575"/>
      <c r="K164" s="576"/>
      <c r="L164" s="31"/>
      <c r="M164" s="86"/>
      <c r="N164" s="203"/>
    </row>
    <row r="165" spans="1:14" ht="13.5" thickBot="1">
      <c r="A165" s="94"/>
      <c r="B165" s="149"/>
      <c r="C165" s="204" t="s">
        <v>226</v>
      </c>
      <c r="D165" s="205"/>
      <c r="E165" s="205"/>
      <c r="F165" s="206">
        <f>SUM(F161:F163,F160)</f>
        <v>1162.5</v>
      </c>
      <c r="G165" s="207"/>
      <c r="H165" s="583" t="s">
        <v>227</v>
      </c>
      <c r="I165" s="583"/>
      <c r="J165" s="583"/>
      <c r="K165" s="190" t="e">
        <f>SUM(K160:K163)</f>
        <v>#VALUE!</v>
      </c>
      <c r="L165" s="208"/>
      <c r="M165" s="191" t="e">
        <f>K165-F165</f>
        <v>#VALUE!</v>
      </c>
      <c r="N165" s="192" t="e">
        <f>M165/F165</f>
        <v>#VALUE!</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56" t="s">
        <v>101</v>
      </c>
      <c r="D176" s="557"/>
      <c r="E176" s="557"/>
      <c r="F176" s="558"/>
      <c r="G176" s="167"/>
      <c r="H176" s="556" t="s">
        <v>102</v>
      </c>
      <c r="I176" s="557"/>
      <c r="J176" s="557"/>
      <c r="K176" s="557"/>
      <c r="L176" s="557"/>
      <c r="M176" s="557"/>
      <c r="N176" s="558"/>
      <c r="O176" s="31"/>
    </row>
    <row r="177" spans="1:14" ht="13.5" customHeight="1" thickBot="1">
      <c r="A177"/>
      <c r="C177" s="559"/>
      <c r="D177" s="560"/>
      <c r="E177" s="560"/>
      <c r="F177" s="561"/>
      <c r="G177" s="168"/>
      <c r="H177" s="559"/>
      <c r="I177" s="560"/>
      <c r="J177" s="560"/>
      <c r="K177" s="560"/>
      <c r="L177" s="560"/>
      <c r="M177" s="560"/>
      <c r="N177" s="561"/>
    </row>
    <row r="178" spans="1:14" ht="60">
      <c r="A178" s="169" t="s">
        <v>22</v>
      </c>
      <c r="B178" s="170"/>
      <c r="C178" s="568"/>
      <c r="D178" s="562" t="s">
        <v>92</v>
      </c>
      <c r="E178" s="564" t="s">
        <v>93</v>
      </c>
      <c r="F178" s="566" t="s">
        <v>207</v>
      </c>
      <c r="G178" s="167"/>
      <c r="H178" s="171"/>
      <c r="I178" s="562" t="s">
        <v>92</v>
      </c>
      <c r="J178" s="564" t="s">
        <v>93</v>
      </c>
      <c r="K178" s="566" t="s">
        <v>207</v>
      </c>
      <c r="L178" s="170"/>
      <c r="M178" s="579" t="s">
        <v>206</v>
      </c>
      <c r="N178" s="581" t="s">
        <v>85</v>
      </c>
    </row>
    <row r="179" spans="1:14" ht="13.5" thickBot="1">
      <c r="A179" s="12" t="s">
        <v>13</v>
      </c>
      <c r="B179" s="31"/>
      <c r="C179" s="569"/>
      <c r="D179" s="563"/>
      <c r="E179" s="565"/>
      <c r="F179" s="567"/>
      <c r="G179" s="168"/>
      <c r="H179" s="31"/>
      <c r="I179" s="563"/>
      <c r="J179" s="565"/>
      <c r="K179" s="567"/>
      <c r="L179" s="32"/>
      <c r="M179" s="580"/>
      <c r="N179" s="582"/>
    </row>
    <row r="180" spans="1:14" ht="26.25" thickBot="1">
      <c r="A180" s="234">
        <v>60</v>
      </c>
      <c r="B180" s="31"/>
      <c r="C180" s="174" t="s">
        <v>26</v>
      </c>
      <c r="D180" s="175" t="s">
        <v>86</v>
      </c>
      <c r="E180" s="176" t="s">
        <v>86</v>
      </c>
      <c r="F180" s="177">
        <f>'12. Current Rates'!$D$42</f>
        <v>0</v>
      </c>
      <c r="G180" s="168"/>
      <c r="H180" s="178" t="s">
        <v>26</v>
      </c>
      <c r="I180" s="175" t="str">
        <f>D180</f>
        <v>N/A</v>
      </c>
      <c r="J180" s="175" t="s">
        <v>86</v>
      </c>
      <c r="K180" s="235">
        <f>'11. 2005 Final Rate Schedule '!$F$31</f>
      </c>
      <c r="L180" s="180"/>
      <c r="M180" s="584"/>
      <c r="N180" s="585"/>
    </row>
    <row r="181" spans="1:14" ht="13.5" thickBot="1">
      <c r="A181" s="12" t="s">
        <v>14</v>
      </c>
      <c r="B181" s="31"/>
      <c r="C181" s="181" t="s">
        <v>94</v>
      </c>
      <c r="D181" s="236">
        <f>A180</f>
        <v>60</v>
      </c>
      <c r="E181" s="183">
        <f>'12. Current Rates'!$D$40</f>
        <v>0</v>
      </c>
      <c r="F181" s="184">
        <f>D181*E181</f>
        <v>0</v>
      </c>
      <c r="G181" s="168"/>
      <c r="H181" s="185" t="s">
        <v>94</v>
      </c>
      <c r="I181" s="186">
        <f>D181</f>
        <v>60</v>
      </c>
      <c r="J181" s="386">
        <f>'11. 2005 Final Rate Schedule '!$F$32</f>
      </c>
      <c r="K181" s="238" t="e">
        <f>I181*J181</f>
        <v>#VALUE!</v>
      </c>
      <c r="L181" s="180"/>
      <c r="M181" s="586"/>
      <c r="N181" s="587"/>
    </row>
    <row r="182" spans="1:14" ht="13.5" thickBot="1">
      <c r="A182" s="234">
        <v>15000</v>
      </c>
      <c r="B182" s="31"/>
      <c r="C182" s="590"/>
      <c r="D182" s="591"/>
      <c r="E182" s="188" t="s">
        <v>57</v>
      </c>
      <c r="F182" s="189">
        <f>SUM(F180:F181)</f>
        <v>0</v>
      </c>
      <c r="G182" s="168"/>
      <c r="H182" s="572"/>
      <c r="I182" s="573"/>
      <c r="J182" s="188" t="s">
        <v>88</v>
      </c>
      <c r="K182" s="190" t="e">
        <f>SUM(K180:K181)</f>
        <v>#VALUE!</v>
      </c>
      <c r="L182" s="180"/>
      <c r="M182" s="191" t="e">
        <f>K182-F182</f>
        <v>#VALUE!</v>
      </c>
      <c r="N182" s="192" t="e">
        <f>M182/F182</f>
        <v>#VALUE!</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88"/>
      <c r="N184" s="589"/>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88"/>
      <c r="N185" s="589"/>
    </row>
    <row r="186" spans="1:14" ht="8.25" customHeight="1" thickBot="1">
      <c r="A186" s="86"/>
      <c r="B186" s="31"/>
      <c r="C186" s="574"/>
      <c r="D186" s="575"/>
      <c r="E186" s="575"/>
      <c r="F186" s="575"/>
      <c r="G186" s="168"/>
      <c r="H186" s="575"/>
      <c r="I186" s="575"/>
      <c r="J186" s="575"/>
      <c r="K186" s="576"/>
      <c r="L186" s="31"/>
      <c r="M186" s="86"/>
      <c r="N186" s="203"/>
    </row>
    <row r="187" spans="1:14" ht="13.5" thickBot="1">
      <c r="A187" s="94"/>
      <c r="B187" s="149"/>
      <c r="C187" s="204" t="s">
        <v>226</v>
      </c>
      <c r="D187" s="205"/>
      <c r="E187" s="205"/>
      <c r="F187" s="206">
        <f>SUM(F183:F185)+F182</f>
        <v>473.85</v>
      </c>
      <c r="G187" s="207"/>
      <c r="H187" s="583" t="s">
        <v>227</v>
      </c>
      <c r="I187" s="583"/>
      <c r="J187" s="583"/>
      <c r="K187" s="190" t="e">
        <f>SUM(K183:K185)+K182</f>
        <v>#VALUE!</v>
      </c>
      <c r="L187" s="208"/>
      <c r="M187" s="191" t="e">
        <f>K187-F187</f>
        <v>#VALUE!</v>
      </c>
      <c r="N187" s="192" t="e">
        <f>M187/F187</f>
        <v>#VALUE!</v>
      </c>
    </row>
    <row r="188" spans="6:14" ht="12.75">
      <c r="F188" s="180"/>
      <c r="K188" s="180"/>
      <c r="L188" s="217"/>
      <c r="M188" s="217"/>
      <c r="N188" s="230"/>
    </row>
    <row r="189" spans="6:14" ht="13.5" thickBot="1">
      <c r="F189" s="180"/>
      <c r="K189" s="180"/>
      <c r="L189" s="217"/>
      <c r="M189" s="217"/>
      <c r="N189" s="230"/>
    </row>
    <row r="190" spans="1:14" ht="60">
      <c r="A190" s="169" t="s">
        <v>22</v>
      </c>
      <c r="B190" s="170"/>
      <c r="C190" s="568"/>
      <c r="D190" s="562" t="s">
        <v>92</v>
      </c>
      <c r="E190" s="564" t="s">
        <v>93</v>
      </c>
      <c r="F190" s="566" t="s">
        <v>207</v>
      </c>
      <c r="G190" s="167"/>
      <c r="H190" s="171"/>
      <c r="I190" s="562" t="s">
        <v>92</v>
      </c>
      <c r="J190" s="564" t="s">
        <v>93</v>
      </c>
      <c r="K190" s="566" t="s">
        <v>207</v>
      </c>
      <c r="L190" s="170"/>
      <c r="M190" s="579" t="s">
        <v>206</v>
      </c>
      <c r="N190" s="581" t="s">
        <v>85</v>
      </c>
    </row>
    <row r="191" spans="1:14" ht="13.5" thickBot="1">
      <c r="A191" s="12" t="s">
        <v>13</v>
      </c>
      <c r="B191" s="31"/>
      <c r="C191" s="569"/>
      <c r="D191" s="563"/>
      <c r="E191" s="565"/>
      <c r="F191" s="567"/>
      <c r="G191" s="168"/>
      <c r="H191" s="31"/>
      <c r="I191" s="563"/>
      <c r="J191" s="565"/>
      <c r="K191" s="567"/>
      <c r="L191" s="32"/>
      <c r="M191" s="580"/>
      <c r="N191" s="582"/>
    </row>
    <row r="192" spans="1:14" ht="26.25" thickBot="1">
      <c r="A192" s="234">
        <v>100</v>
      </c>
      <c r="B192" s="31"/>
      <c r="C192" s="174" t="s">
        <v>26</v>
      </c>
      <c r="D192" s="175" t="s">
        <v>86</v>
      </c>
      <c r="E192" s="176" t="s">
        <v>86</v>
      </c>
      <c r="F192" s="177">
        <f>'12. Current Rates'!$D$42</f>
        <v>0</v>
      </c>
      <c r="G192" s="168"/>
      <c r="H192" s="178" t="s">
        <v>26</v>
      </c>
      <c r="I192" s="175" t="str">
        <f>D192</f>
        <v>N/A</v>
      </c>
      <c r="J192" s="175" t="s">
        <v>86</v>
      </c>
      <c r="K192" s="235">
        <f>'11. 2005 Final Rate Schedule '!$F$31</f>
      </c>
      <c r="L192" s="180"/>
      <c r="M192" s="584"/>
      <c r="N192" s="585"/>
    </row>
    <row r="193" spans="1:14" ht="13.5" thickBot="1">
      <c r="A193" s="12" t="s">
        <v>14</v>
      </c>
      <c r="B193" s="31"/>
      <c r="C193" s="181" t="s">
        <v>94</v>
      </c>
      <c r="D193" s="236">
        <f>A192</f>
        <v>100</v>
      </c>
      <c r="E193" s="183">
        <f>'12. Current Rates'!$D$40</f>
        <v>0</v>
      </c>
      <c r="F193" s="184">
        <f>D193*E193</f>
        <v>0</v>
      </c>
      <c r="G193" s="168"/>
      <c r="H193" s="185" t="s">
        <v>94</v>
      </c>
      <c r="I193" s="186">
        <f>D193</f>
        <v>100</v>
      </c>
      <c r="J193" s="386">
        <f>'11. 2005 Final Rate Schedule '!$F$32</f>
      </c>
      <c r="K193" s="238" t="e">
        <f>I193*J193</f>
        <v>#VALUE!</v>
      </c>
      <c r="L193" s="180"/>
      <c r="M193" s="586"/>
      <c r="N193" s="587"/>
    </row>
    <row r="194" spans="1:14" ht="13.5" thickBot="1">
      <c r="A194" s="234">
        <v>40000</v>
      </c>
      <c r="B194" s="31"/>
      <c r="C194" s="590"/>
      <c r="D194" s="591"/>
      <c r="E194" s="188" t="s">
        <v>57</v>
      </c>
      <c r="F194" s="189">
        <f>SUM(F192:F193)</f>
        <v>0</v>
      </c>
      <c r="G194" s="168"/>
      <c r="H194" s="572"/>
      <c r="I194" s="573"/>
      <c r="J194" s="188" t="s">
        <v>88</v>
      </c>
      <c r="K194" s="190" t="e">
        <f>SUM(K192:K193)</f>
        <v>#VALUE!</v>
      </c>
      <c r="L194" s="180"/>
      <c r="M194" s="191" t="e">
        <f>K194-F194</f>
        <v>#VALUE!</v>
      </c>
      <c r="N194" s="192" t="e">
        <f>M194/F194</f>
        <v>#VALUE!</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88"/>
      <c r="N196" s="589"/>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88"/>
      <c r="N197" s="589"/>
    </row>
    <row r="198" spans="1:14" ht="8.25" customHeight="1" thickBot="1">
      <c r="A198" s="86"/>
      <c r="B198" s="31"/>
      <c r="C198" s="574"/>
      <c r="D198" s="575"/>
      <c r="E198" s="575"/>
      <c r="F198" s="575"/>
      <c r="G198" s="168"/>
      <c r="H198" s="575"/>
      <c r="I198" s="575"/>
      <c r="J198" s="575"/>
      <c r="K198" s="576"/>
      <c r="L198" s="31"/>
      <c r="M198" s="86"/>
      <c r="N198" s="203"/>
    </row>
    <row r="199" spans="1:14" ht="13.5" thickBot="1">
      <c r="A199" s="94"/>
      <c r="B199" s="149"/>
      <c r="C199" s="204" t="s">
        <v>226</v>
      </c>
      <c r="D199" s="205"/>
      <c r="E199" s="205"/>
      <c r="F199" s="206">
        <f>SUM(F195:F197)+F194</f>
        <v>3119</v>
      </c>
      <c r="G199" s="207"/>
      <c r="H199" s="583" t="s">
        <v>227</v>
      </c>
      <c r="I199" s="583"/>
      <c r="J199" s="583"/>
      <c r="K199" s="190" t="e">
        <f>SUM(K195:K197)+K194</f>
        <v>#VALUE!</v>
      </c>
      <c r="L199" s="208"/>
      <c r="M199" s="191" t="e">
        <f>K199-F199</f>
        <v>#VALUE!</v>
      </c>
      <c r="N199" s="192" t="e">
        <f>M199/F199</f>
        <v>#VALUE!</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8"/>
      <c r="D202" s="562" t="s">
        <v>92</v>
      </c>
      <c r="E202" s="564" t="s">
        <v>93</v>
      </c>
      <c r="F202" s="566" t="s">
        <v>207</v>
      </c>
      <c r="G202" s="167"/>
      <c r="H202" s="171"/>
      <c r="I202" s="562" t="s">
        <v>92</v>
      </c>
      <c r="J202" s="564" t="s">
        <v>93</v>
      </c>
      <c r="K202" s="566" t="s">
        <v>207</v>
      </c>
      <c r="L202" s="170"/>
      <c r="M202" s="579" t="s">
        <v>206</v>
      </c>
      <c r="N202" s="581" t="s">
        <v>85</v>
      </c>
    </row>
    <row r="203" spans="1:14" ht="13.5" thickBot="1">
      <c r="A203" s="12" t="s">
        <v>13</v>
      </c>
      <c r="B203" s="31"/>
      <c r="C203" s="569"/>
      <c r="D203" s="563"/>
      <c r="E203" s="565"/>
      <c r="F203" s="567"/>
      <c r="G203" s="168"/>
      <c r="H203" s="31"/>
      <c r="I203" s="563"/>
      <c r="J203" s="565"/>
      <c r="K203" s="567"/>
      <c r="L203" s="32"/>
      <c r="M203" s="580"/>
      <c r="N203" s="582"/>
    </row>
    <row r="204" spans="1:14" ht="26.25" thickBot="1">
      <c r="A204" s="234">
        <v>500</v>
      </c>
      <c r="B204" s="31"/>
      <c r="C204" s="174" t="s">
        <v>26</v>
      </c>
      <c r="D204" s="175" t="s">
        <v>86</v>
      </c>
      <c r="E204" s="176" t="s">
        <v>86</v>
      </c>
      <c r="F204" s="177">
        <f>'12. Current Rates'!$D$42</f>
        <v>0</v>
      </c>
      <c r="G204" s="168"/>
      <c r="H204" s="178" t="s">
        <v>26</v>
      </c>
      <c r="I204" s="175" t="str">
        <f>D204</f>
        <v>N/A</v>
      </c>
      <c r="J204" s="175" t="s">
        <v>86</v>
      </c>
      <c r="K204" s="235">
        <f>'11. 2005 Final Rate Schedule '!$F$31</f>
      </c>
      <c r="L204" s="180"/>
      <c r="M204" s="584"/>
      <c r="N204" s="585"/>
    </row>
    <row r="205" spans="1:14" ht="13.5" thickBot="1">
      <c r="A205" s="12" t="s">
        <v>14</v>
      </c>
      <c r="B205" s="31"/>
      <c r="C205" s="181" t="s">
        <v>94</v>
      </c>
      <c r="D205" s="236">
        <f>A204</f>
        <v>500</v>
      </c>
      <c r="E205" s="183">
        <f>'12. Current Rates'!$D$40</f>
        <v>0</v>
      </c>
      <c r="F205" s="184">
        <f>D205*E205</f>
        <v>0</v>
      </c>
      <c r="G205" s="168"/>
      <c r="H205" s="185" t="s">
        <v>94</v>
      </c>
      <c r="I205" s="186">
        <f>D205</f>
        <v>500</v>
      </c>
      <c r="J205" s="386">
        <f>'11. 2005 Final Rate Schedule '!$F$32</f>
      </c>
      <c r="K205" s="238" t="e">
        <f>I205*J205</f>
        <v>#VALUE!</v>
      </c>
      <c r="L205" s="180"/>
      <c r="M205" s="586"/>
      <c r="N205" s="587"/>
    </row>
    <row r="206" spans="1:14" ht="13.5" thickBot="1">
      <c r="A206" s="234">
        <v>100000</v>
      </c>
      <c r="B206" s="31"/>
      <c r="C206" s="590"/>
      <c r="D206" s="591"/>
      <c r="E206" s="188" t="s">
        <v>57</v>
      </c>
      <c r="F206" s="189">
        <f>SUM(F204:F205)</f>
        <v>0</v>
      </c>
      <c r="G206" s="168"/>
      <c r="H206" s="572"/>
      <c r="I206" s="573"/>
      <c r="J206" s="188" t="s">
        <v>88</v>
      </c>
      <c r="K206" s="190" t="e">
        <f>SUM(K204:K205)</f>
        <v>#VALUE!</v>
      </c>
      <c r="L206" s="180"/>
      <c r="M206" s="191" t="e">
        <f>K206-F206</f>
        <v>#VALUE!</v>
      </c>
      <c r="N206" s="192" t="e">
        <f>M206/F206</f>
        <v>#VALUE!</v>
      </c>
    </row>
    <row r="207" spans="1:14" ht="25.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88"/>
      <c r="N208" s="589"/>
    </row>
    <row r="209" spans="1:14" ht="26.25"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88"/>
      <c r="N209" s="589"/>
    </row>
    <row r="210" spans="1:14" ht="8.25" customHeight="1" thickBot="1">
      <c r="A210" s="86"/>
      <c r="B210" s="31"/>
      <c r="C210" s="574"/>
      <c r="D210" s="575"/>
      <c r="E210" s="575"/>
      <c r="F210" s="575"/>
      <c r="G210" s="168"/>
      <c r="H210" s="575"/>
      <c r="I210" s="575"/>
      <c r="J210" s="575"/>
      <c r="K210" s="576"/>
      <c r="L210" s="31"/>
      <c r="M210" s="86"/>
      <c r="N210" s="203"/>
    </row>
    <row r="211" spans="1:14" ht="13.5" thickBot="1">
      <c r="A211" s="94"/>
      <c r="B211" s="149"/>
      <c r="C211" s="204" t="s">
        <v>226</v>
      </c>
      <c r="D211" s="205"/>
      <c r="E211" s="205"/>
      <c r="F211" s="206">
        <f>SUM(F207:F209)+F206</f>
        <v>8775</v>
      </c>
      <c r="G211" s="207"/>
      <c r="H211" s="583" t="s">
        <v>227</v>
      </c>
      <c r="I211" s="583"/>
      <c r="J211" s="583"/>
      <c r="K211" s="190" t="e">
        <f>SUM(K207:K209)+K206</f>
        <v>#VALUE!</v>
      </c>
      <c r="L211" s="208"/>
      <c r="M211" s="191" t="e">
        <f>K211-F211</f>
        <v>#VALUE!</v>
      </c>
      <c r="N211" s="192" t="e">
        <f>M211/F211</f>
        <v>#VALUE!</v>
      </c>
    </row>
    <row r="212" ht="12.75">
      <c r="K212" s="162"/>
    </row>
    <row r="213" spans="6:13" ht="13.5" thickBot="1">
      <c r="F213" s="217"/>
      <c r="J213" s="222"/>
      <c r="K213" s="217"/>
      <c r="L213" s="217"/>
      <c r="M213" s="217"/>
    </row>
    <row r="214" spans="1:14" ht="60">
      <c r="A214" s="169" t="s">
        <v>22</v>
      </c>
      <c r="B214" s="170"/>
      <c r="C214" s="568"/>
      <c r="D214" s="562" t="s">
        <v>92</v>
      </c>
      <c r="E214" s="564" t="s">
        <v>93</v>
      </c>
      <c r="F214" s="566" t="s">
        <v>207</v>
      </c>
      <c r="G214" s="167"/>
      <c r="H214" s="171"/>
      <c r="I214" s="562" t="s">
        <v>92</v>
      </c>
      <c r="J214" s="564" t="s">
        <v>93</v>
      </c>
      <c r="K214" s="566" t="s">
        <v>207</v>
      </c>
      <c r="L214" s="170"/>
      <c r="M214" s="579" t="s">
        <v>206</v>
      </c>
      <c r="N214" s="581" t="s">
        <v>85</v>
      </c>
    </row>
    <row r="215" spans="1:14" ht="13.5" thickBot="1">
      <c r="A215" s="12" t="s">
        <v>13</v>
      </c>
      <c r="B215" s="31"/>
      <c r="C215" s="569"/>
      <c r="D215" s="563"/>
      <c r="E215" s="565"/>
      <c r="F215" s="567"/>
      <c r="G215" s="168"/>
      <c r="H215" s="31"/>
      <c r="I215" s="563"/>
      <c r="J215" s="565"/>
      <c r="K215" s="567"/>
      <c r="L215" s="32"/>
      <c r="M215" s="580"/>
      <c r="N215" s="582"/>
    </row>
    <row r="216" spans="1:14" ht="26.25" thickBot="1">
      <c r="A216" s="234">
        <v>1000</v>
      </c>
      <c r="B216" s="31"/>
      <c r="C216" s="174" t="s">
        <v>26</v>
      </c>
      <c r="D216" s="175" t="s">
        <v>86</v>
      </c>
      <c r="E216" s="176" t="s">
        <v>86</v>
      </c>
      <c r="F216" s="177">
        <f>'12. Current Rates'!$D$42</f>
        <v>0</v>
      </c>
      <c r="G216" s="168"/>
      <c r="H216" s="178" t="s">
        <v>26</v>
      </c>
      <c r="I216" s="175" t="str">
        <f>D216</f>
        <v>N/A</v>
      </c>
      <c r="J216" s="175" t="s">
        <v>86</v>
      </c>
      <c r="K216" s="235">
        <f>'11. 2005 Final Rate Schedule '!$F$31</f>
      </c>
      <c r="L216" s="180"/>
      <c r="M216" s="584"/>
      <c r="N216" s="585"/>
    </row>
    <row r="217" spans="1:14" ht="13.5" thickBot="1">
      <c r="A217" s="12" t="s">
        <v>14</v>
      </c>
      <c r="B217" s="31"/>
      <c r="C217" s="181" t="s">
        <v>94</v>
      </c>
      <c r="D217" s="236">
        <f>A216</f>
        <v>1000</v>
      </c>
      <c r="E217" s="183">
        <f>'12. Current Rates'!$D$40</f>
        <v>0</v>
      </c>
      <c r="F217" s="184">
        <f>D217*E217</f>
        <v>0</v>
      </c>
      <c r="G217" s="168"/>
      <c r="H217" s="185" t="s">
        <v>94</v>
      </c>
      <c r="I217" s="186">
        <f>D217</f>
        <v>1000</v>
      </c>
      <c r="J217" s="237">
        <f>'11. 2005 Final Rate Schedule '!$F$32</f>
      </c>
      <c r="K217" s="238" t="e">
        <f>I217*J217</f>
        <v>#VALUE!</v>
      </c>
      <c r="L217" s="180"/>
      <c r="M217" s="586"/>
      <c r="N217" s="587"/>
    </row>
    <row r="218" spans="1:14" ht="13.5" thickBot="1">
      <c r="A218" s="234">
        <v>400000</v>
      </c>
      <c r="B218" s="31"/>
      <c r="C218" s="590"/>
      <c r="D218" s="591"/>
      <c r="E218" s="188" t="s">
        <v>57</v>
      </c>
      <c r="F218" s="189">
        <f>SUM(F216:F217)</f>
        <v>0</v>
      </c>
      <c r="G218" s="168"/>
      <c r="H218" s="572"/>
      <c r="I218" s="573"/>
      <c r="J218" s="188" t="s">
        <v>88</v>
      </c>
      <c r="K218" s="190" t="e">
        <f>SUM(K216:K217)</f>
        <v>#VALUE!</v>
      </c>
      <c r="L218" s="180"/>
      <c r="M218" s="191" t="e">
        <f>K218-F218</f>
        <v>#VALUE!</v>
      </c>
      <c r="N218" s="192" t="e">
        <f>M218/F218</f>
        <v>#VALUE!</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88"/>
      <c r="N220" s="589"/>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88"/>
      <c r="N221" s="589"/>
    </row>
    <row r="222" spans="1:14" ht="8.25" customHeight="1" thickBot="1">
      <c r="A222" s="86"/>
      <c r="B222" s="31"/>
      <c r="C222" s="574"/>
      <c r="D222" s="575"/>
      <c r="E222" s="575"/>
      <c r="F222" s="575"/>
      <c r="G222" s="168"/>
      <c r="H222" s="575"/>
      <c r="I222" s="575"/>
      <c r="J222" s="575"/>
      <c r="K222" s="576"/>
      <c r="L222" s="31"/>
      <c r="M222" s="86"/>
      <c r="N222" s="203"/>
    </row>
    <row r="223" spans="1:14" ht="13.5" thickBot="1">
      <c r="A223" s="94"/>
      <c r="B223" s="149"/>
      <c r="C223" s="204" t="s">
        <v>226</v>
      </c>
      <c r="D223" s="205"/>
      <c r="E223" s="205"/>
      <c r="F223" s="206">
        <f>SUM(F219:F221)+F218</f>
        <v>31190</v>
      </c>
      <c r="G223" s="207"/>
      <c r="H223" s="583" t="s">
        <v>227</v>
      </c>
      <c r="I223" s="583"/>
      <c r="J223" s="583"/>
      <c r="K223" s="190" t="e">
        <f>SUM(K219:K221)+K218</f>
        <v>#VALUE!</v>
      </c>
      <c r="L223" s="208"/>
      <c r="M223" s="191" t="e">
        <f>K223-F223</f>
        <v>#VALUE!</v>
      </c>
      <c r="N223" s="192" t="e">
        <f>M223/F223</f>
        <v>#VALUE!</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8"/>
      <c r="D226" s="562" t="s">
        <v>92</v>
      </c>
      <c r="E226" s="564" t="s">
        <v>93</v>
      </c>
      <c r="F226" s="566" t="s">
        <v>207</v>
      </c>
      <c r="G226" s="167"/>
      <c r="H226" s="171"/>
      <c r="I226" s="562" t="s">
        <v>92</v>
      </c>
      <c r="J226" s="564" t="s">
        <v>93</v>
      </c>
      <c r="K226" s="566" t="s">
        <v>207</v>
      </c>
      <c r="L226" s="170"/>
      <c r="M226" s="579" t="s">
        <v>206</v>
      </c>
      <c r="N226" s="581" t="s">
        <v>85</v>
      </c>
    </row>
    <row r="227" spans="1:14" ht="13.5" thickBot="1">
      <c r="A227" s="12" t="s">
        <v>13</v>
      </c>
      <c r="B227" s="31"/>
      <c r="C227" s="569"/>
      <c r="D227" s="563"/>
      <c r="E227" s="565"/>
      <c r="F227" s="567"/>
      <c r="G227" s="168"/>
      <c r="H227" s="31"/>
      <c r="I227" s="563"/>
      <c r="J227" s="565"/>
      <c r="K227" s="567"/>
      <c r="L227" s="32"/>
      <c r="M227" s="580"/>
      <c r="N227" s="582"/>
    </row>
    <row r="228" spans="1:14" ht="26.25" thickBot="1">
      <c r="A228" s="234">
        <v>3000</v>
      </c>
      <c r="B228" s="31"/>
      <c r="C228" s="174" t="s">
        <v>26</v>
      </c>
      <c r="D228" s="175" t="s">
        <v>86</v>
      </c>
      <c r="E228" s="176" t="s">
        <v>86</v>
      </c>
      <c r="F228" s="177">
        <f>'12. Current Rates'!$D$42</f>
        <v>0</v>
      </c>
      <c r="G228" s="168"/>
      <c r="H228" s="178" t="s">
        <v>26</v>
      </c>
      <c r="I228" s="175" t="str">
        <f>D228</f>
        <v>N/A</v>
      </c>
      <c r="J228" s="175" t="s">
        <v>86</v>
      </c>
      <c r="K228" s="235">
        <f>'11. 2005 Final Rate Schedule '!$F$31</f>
      </c>
      <c r="L228" s="180"/>
      <c r="M228" s="584"/>
      <c r="N228" s="585"/>
    </row>
    <row r="229" spans="1:14" ht="13.5" thickBot="1">
      <c r="A229" s="12" t="s">
        <v>14</v>
      </c>
      <c r="B229" s="31"/>
      <c r="C229" s="181" t="s">
        <v>94</v>
      </c>
      <c r="D229" s="236">
        <f>A228</f>
        <v>3000</v>
      </c>
      <c r="E229" s="183">
        <f>'12. Current Rates'!$D$40</f>
        <v>0</v>
      </c>
      <c r="F229" s="184">
        <f>D229*E229</f>
        <v>0</v>
      </c>
      <c r="G229" s="168"/>
      <c r="H229" s="185" t="s">
        <v>94</v>
      </c>
      <c r="I229" s="186">
        <f>D229</f>
        <v>3000</v>
      </c>
      <c r="J229" s="237">
        <f>'11. 2005 Final Rate Schedule '!$F$32</f>
      </c>
      <c r="K229" s="238" t="e">
        <f>I229*J229</f>
        <v>#VALUE!</v>
      </c>
      <c r="L229" s="180"/>
      <c r="M229" s="586"/>
      <c r="N229" s="587"/>
    </row>
    <row r="230" spans="1:14" ht="13.5" thickBot="1">
      <c r="A230" s="234">
        <v>1000000</v>
      </c>
      <c r="B230" s="31"/>
      <c r="C230" s="590"/>
      <c r="D230" s="591"/>
      <c r="E230" s="188" t="s">
        <v>57</v>
      </c>
      <c r="F230" s="189">
        <f>SUM(F228:F229)</f>
        <v>0</v>
      </c>
      <c r="G230" s="168"/>
      <c r="H230" s="572"/>
      <c r="I230" s="573"/>
      <c r="J230" s="188" t="s">
        <v>88</v>
      </c>
      <c r="K230" s="190" t="e">
        <f>SUM(K228:K229)</f>
        <v>#VALUE!</v>
      </c>
      <c r="L230" s="180"/>
      <c r="M230" s="191" t="e">
        <f>K230-F230</f>
        <v>#VALUE!</v>
      </c>
      <c r="N230" s="192" t="e">
        <f>M230/F230</f>
        <v>#VALUE!</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88"/>
      <c r="N232" s="589"/>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88"/>
      <c r="N233" s="589"/>
    </row>
    <row r="234" spans="1:14" ht="8.25" customHeight="1" thickBot="1">
      <c r="A234" s="86"/>
      <c r="B234" s="31"/>
      <c r="C234" s="574"/>
      <c r="D234" s="575"/>
      <c r="E234" s="575"/>
      <c r="F234" s="575"/>
      <c r="G234" s="168"/>
      <c r="H234" s="575"/>
      <c r="I234" s="575"/>
      <c r="J234" s="575"/>
      <c r="K234" s="576"/>
      <c r="L234" s="31"/>
      <c r="M234" s="86"/>
      <c r="N234" s="203"/>
    </row>
    <row r="235" spans="1:14" ht="13.5" thickBot="1">
      <c r="A235" s="94"/>
      <c r="B235" s="149"/>
      <c r="C235" s="204" t="s">
        <v>226</v>
      </c>
      <c r="D235" s="205"/>
      <c r="E235" s="205"/>
      <c r="F235" s="206">
        <f>SUM(F231:F233)+F230</f>
        <v>79930</v>
      </c>
      <c r="G235" s="207"/>
      <c r="H235" s="583" t="s">
        <v>227</v>
      </c>
      <c r="I235" s="583"/>
      <c r="J235" s="583"/>
      <c r="K235" s="190" t="e">
        <f>SUM(K231:K233)+K230</f>
        <v>#VALUE!</v>
      </c>
      <c r="L235" s="208"/>
      <c r="M235" s="191" t="e">
        <f>K235-F235</f>
        <v>#VALUE!</v>
      </c>
      <c r="N235" s="192" t="e">
        <f>M235/F235</f>
        <v>#VALUE!</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56" t="s">
        <v>101</v>
      </c>
      <c r="D244" s="557"/>
      <c r="E244" s="557"/>
      <c r="F244" s="558"/>
      <c r="G244" s="167"/>
      <c r="H244" s="556" t="s">
        <v>102</v>
      </c>
      <c r="I244" s="557"/>
      <c r="J244" s="557"/>
      <c r="K244" s="557"/>
      <c r="L244" s="557"/>
      <c r="M244" s="557"/>
      <c r="N244" s="558"/>
      <c r="O244" s="31"/>
    </row>
    <row r="245" spans="1:14" ht="13.5" customHeight="1" thickBot="1">
      <c r="A245"/>
      <c r="C245" s="559"/>
      <c r="D245" s="560"/>
      <c r="E245" s="560"/>
      <c r="F245" s="561"/>
      <c r="G245" s="168"/>
      <c r="H245" s="559"/>
      <c r="I245" s="560"/>
      <c r="J245" s="560"/>
      <c r="K245" s="560"/>
      <c r="L245" s="560"/>
      <c r="M245" s="560"/>
      <c r="N245" s="561"/>
    </row>
    <row r="246" spans="1:14" ht="60">
      <c r="A246" s="169" t="s">
        <v>22</v>
      </c>
      <c r="B246" s="170"/>
      <c r="C246" s="568"/>
      <c r="D246" s="562" t="s">
        <v>92</v>
      </c>
      <c r="E246" s="564" t="s">
        <v>93</v>
      </c>
      <c r="F246" s="566" t="s">
        <v>205</v>
      </c>
      <c r="G246" s="167"/>
      <c r="H246" s="171"/>
      <c r="I246" s="562" t="s">
        <v>92</v>
      </c>
      <c r="J246" s="564" t="s">
        <v>93</v>
      </c>
      <c r="K246" s="566" t="s">
        <v>207</v>
      </c>
      <c r="L246" s="170"/>
      <c r="M246" s="579" t="s">
        <v>206</v>
      </c>
      <c r="N246" s="581" t="s">
        <v>85</v>
      </c>
    </row>
    <row r="247" spans="1:14" ht="13.5" thickBot="1">
      <c r="A247" s="12" t="s">
        <v>13</v>
      </c>
      <c r="B247" s="31"/>
      <c r="C247" s="569"/>
      <c r="D247" s="563"/>
      <c r="E247" s="565"/>
      <c r="F247" s="567"/>
      <c r="G247" s="168"/>
      <c r="H247" s="31"/>
      <c r="I247" s="563"/>
      <c r="J247" s="565"/>
      <c r="K247" s="567"/>
      <c r="L247" s="32"/>
      <c r="M247" s="580"/>
      <c r="N247" s="582"/>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84"/>
      <c r="N248" s="585"/>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86"/>
      <c r="N249" s="587"/>
    </row>
    <row r="250" spans="1:14" ht="13.5" thickBot="1">
      <c r="A250" s="234">
        <v>800000</v>
      </c>
      <c r="B250" s="31"/>
      <c r="C250" s="590"/>
      <c r="D250" s="591"/>
      <c r="E250" s="188" t="s">
        <v>57</v>
      </c>
      <c r="F250" s="189">
        <f>SUM(F248:F249)</f>
        <v>0</v>
      </c>
      <c r="G250" s="168"/>
      <c r="H250" s="572"/>
      <c r="I250" s="573"/>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88"/>
      <c r="N252" s="589"/>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88"/>
      <c r="N253" s="589"/>
    </row>
    <row r="254" spans="1:14" ht="8.25" customHeight="1" thickBot="1">
      <c r="A254" s="86"/>
      <c r="B254" s="31"/>
      <c r="C254" s="574"/>
      <c r="D254" s="575"/>
      <c r="E254" s="575"/>
      <c r="F254" s="575"/>
      <c r="G254" s="168"/>
      <c r="H254" s="575"/>
      <c r="I254" s="575"/>
      <c r="J254" s="575"/>
      <c r="K254" s="576"/>
      <c r="L254" s="31"/>
      <c r="M254" s="86"/>
      <c r="N254" s="203"/>
    </row>
    <row r="255" spans="1:14" ht="13.5" thickBot="1">
      <c r="A255" s="94"/>
      <c r="B255" s="149"/>
      <c r="C255" s="204" t="s">
        <v>226</v>
      </c>
      <c r="D255" s="205"/>
      <c r="E255" s="205"/>
      <c r="F255" s="206">
        <f>SUM(F251:F253)+F250</f>
        <v>67201.4</v>
      </c>
      <c r="G255" s="207"/>
      <c r="H255" s="583" t="s">
        <v>227</v>
      </c>
      <c r="I255" s="583"/>
      <c r="J255" s="583"/>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8"/>
      <c r="D258" s="562" t="s">
        <v>92</v>
      </c>
      <c r="E258" s="564" t="s">
        <v>93</v>
      </c>
      <c r="F258" s="566" t="s">
        <v>207</v>
      </c>
      <c r="G258" s="167"/>
      <c r="H258" s="171"/>
      <c r="I258" s="562" t="s">
        <v>92</v>
      </c>
      <c r="J258" s="564" t="s">
        <v>93</v>
      </c>
      <c r="K258" s="566" t="s">
        <v>207</v>
      </c>
      <c r="L258" s="170"/>
      <c r="M258" s="579" t="s">
        <v>206</v>
      </c>
      <c r="N258" s="581" t="s">
        <v>85</v>
      </c>
    </row>
    <row r="259" spans="1:14" ht="13.5" thickBot="1">
      <c r="A259" s="12" t="s">
        <v>13</v>
      </c>
      <c r="B259" s="31"/>
      <c r="C259" s="569"/>
      <c r="D259" s="563"/>
      <c r="E259" s="565"/>
      <c r="F259" s="567"/>
      <c r="G259" s="168"/>
      <c r="H259" s="31"/>
      <c r="I259" s="563"/>
      <c r="J259" s="565"/>
      <c r="K259" s="567"/>
      <c r="L259" s="32"/>
      <c r="M259" s="580"/>
      <c r="N259" s="582"/>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84"/>
      <c r="N260" s="585"/>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86"/>
      <c r="N261" s="587"/>
    </row>
    <row r="262" spans="1:14" ht="13.5" thickBot="1">
      <c r="A262" s="234">
        <v>1000000</v>
      </c>
      <c r="B262" s="31"/>
      <c r="C262" s="590"/>
      <c r="D262" s="591"/>
      <c r="E262" s="188" t="s">
        <v>57</v>
      </c>
      <c r="F262" s="189">
        <f>SUM(F260:F261)</f>
        <v>0</v>
      </c>
      <c r="G262" s="168"/>
      <c r="H262" s="572"/>
      <c r="I262" s="573"/>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88"/>
      <c r="N264" s="589"/>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88"/>
      <c r="N265" s="589"/>
    </row>
    <row r="266" spans="1:14" ht="8.25" customHeight="1" thickBot="1">
      <c r="A266" s="86"/>
      <c r="B266" s="31"/>
      <c r="C266" s="574"/>
      <c r="D266" s="575"/>
      <c r="E266" s="575"/>
      <c r="F266" s="575"/>
      <c r="G266" s="168"/>
      <c r="H266" s="575"/>
      <c r="I266" s="575"/>
      <c r="J266" s="575"/>
      <c r="K266" s="576"/>
      <c r="L266" s="31"/>
      <c r="M266" s="86"/>
      <c r="N266" s="203"/>
    </row>
    <row r="267" spans="1:14" ht="13.5" thickBot="1">
      <c r="A267" s="94"/>
      <c r="B267" s="149"/>
      <c r="C267" s="204" t="s">
        <v>226</v>
      </c>
      <c r="D267" s="205"/>
      <c r="E267" s="205"/>
      <c r="F267" s="206">
        <f>SUM(F263:F265)+F262</f>
        <v>80841.4</v>
      </c>
      <c r="G267" s="207"/>
      <c r="H267" s="583" t="s">
        <v>227</v>
      </c>
      <c r="I267" s="583"/>
      <c r="J267" s="583"/>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8"/>
      <c r="D270" s="562" t="s">
        <v>92</v>
      </c>
      <c r="E270" s="564" t="s">
        <v>93</v>
      </c>
      <c r="F270" s="566" t="s">
        <v>207</v>
      </c>
      <c r="G270" s="167"/>
      <c r="H270" s="171"/>
      <c r="I270" s="562" t="s">
        <v>92</v>
      </c>
      <c r="J270" s="564" t="s">
        <v>93</v>
      </c>
      <c r="K270" s="566" t="s">
        <v>207</v>
      </c>
      <c r="L270" s="170"/>
      <c r="M270" s="579" t="s">
        <v>206</v>
      </c>
      <c r="N270" s="581" t="s">
        <v>85</v>
      </c>
    </row>
    <row r="271" spans="1:14" ht="13.5" thickBot="1">
      <c r="A271" s="12" t="s">
        <v>13</v>
      </c>
      <c r="B271" s="31"/>
      <c r="C271" s="569"/>
      <c r="D271" s="563"/>
      <c r="E271" s="565"/>
      <c r="F271" s="567"/>
      <c r="G271" s="168"/>
      <c r="H271" s="31"/>
      <c r="I271" s="563"/>
      <c r="J271" s="565"/>
      <c r="K271" s="567"/>
      <c r="L271" s="32"/>
      <c r="M271" s="580"/>
      <c r="N271" s="582"/>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84"/>
      <c r="N272" s="585"/>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86"/>
      <c r="N273" s="587"/>
    </row>
    <row r="274" spans="1:14" ht="13.5" thickBot="1">
      <c r="A274" s="234">
        <v>1200000</v>
      </c>
      <c r="B274" s="31"/>
      <c r="C274" s="590"/>
      <c r="D274" s="591"/>
      <c r="E274" s="188" t="s">
        <v>57</v>
      </c>
      <c r="F274" s="189">
        <f>SUM(F272:F273)</f>
        <v>0</v>
      </c>
      <c r="G274" s="168"/>
      <c r="H274" s="572"/>
      <c r="I274" s="573"/>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88"/>
      <c r="N276" s="589"/>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88"/>
      <c r="N277" s="589"/>
    </row>
    <row r="278" spans="1:14" ht="8.25" customHeight="1" thickBot="1">
      <c r="A278" s="86"/>
      <c r="B278" s="31"/>
      <c r="C278" s="574"/>
      <c r="D278" s="575"/>
      <c r="E278" s="575"/>
      <c r="F278" s="575"/>
      <c r="G278" s="168"/>
      <c r="H278" s="575"/>
      <c r="I278" s="575"/>
      <c r="J278" s="575"/>
      <c r="K278" s="576"/>
      <c r="L278" s="31"/>
      <c r="M278" s="86"/>
      <c r="N278" s="203"/>
    </row>
    <row r="279" spans="1:14" ht="13.5" thickBot="1">
      <c r="A279" s="94"/>
      <c r="B279" s="149"/>
      <c r="C279" s="204" t="s">
        <v>226</v>
      </c>
      <c r="D279" s="205"/>
      <c r="E279" s="205"/>
      <c r="F279" s="206">
        <f>SUM(F275:F277)+F274</f>
        <v>98695.2</v>
      </c>
      <c r="G279" s="207"/>
      <c r="H279" s="583" t="s">
        <v>227</v>
      </c>
      <c r="I279" s="583"/>
      <c r="J279" s="583"/>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8"/>
      <c r="D282" s="562" t="s">
        <v>92</v>
      </c>
      <c r="E282" s="564" t="s">
        <v>93</v>
      </c>
      <c r="F282" s="566" t="s">
        <v>207</v>
      </c>
      <c r="G282" s="167"/>
      <c r="H282" s="171"/>
      <c r="I282" s="562" t="s">
        <v>92</v>
      </c>
      <c r="J282" s="564" t="s">
        <v>93</v>
      </c>
      <c r="K282" s="566" t="s">
        <v>207</v>
      </c>
      <c r="L282" s="170"/>
      <c r="M282" s="579" t="s">
        <v>206</v>
      </c>
      <c r="N282" s="581" t="s">
        <v>85</v>
      </c>
    </row>
    <row r="283" spans="1:14" ht="13.5" thickBot="1">
      <c r="A283" s="12" t="s">
        <v>13</v>
      </c>
      <c r="B283" s="31"/>
      <c r="C283" s="569"/>
      <c r="D283" s="563"/>
      <c r="E283" s="565"/>
      <c r="F283" s="567"/>
      <c r="G283" s="168"/>
      <c r="H283" s="31"/>
      <c r="I283" s="563"/>
      <c r="J283" s="565"/>
      <c r="K283" s="567"/>
      <c r="L283" s="32"/>
      <c r="M283" s="580"/>
      <c r="N283" s="582"/>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84"/>
      <c r="N284" s="585"/>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86"/>
      <c r="N285" s="587"/>
    </row>
    <row r="286" spans="1:14" ht="13.5" thickBot="1">
      <c r="A286" s="234">
        <v>1800000</v>
      </c>
      <c r="B286" s="31"/>
      <c r="C286" s="590"/>
      <c r="D286" s="591"/>
      <c r="E286" s="188" t="s">
        <v>57</v>
      </c>
      <c r="F286" s="189">
        <f>SUM(F284:F285)</f>
        <v>0</v>
      </c>
      <c r="G286" s="168"/>
      <c r="H286" s="572"/>
      <c r="I286" s="573"/>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88"/>
      <c r="N288" s="589"/>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88"/>
      <c r="N289" s="589"/>
    </row>
    <row r="290" spans="1:14" ht="8.25" customHeight="1" thickBot="1">
      <c r="A290" s="86"/>
      <c r="B290" s="31"/>
      <c r="C290" s="574"/>
      <c r="D290" s="575"/>
      <c r="E290" s="575"/>
      <c r="F290" s="575"/>
      <c r="G290" s="168"/>
      <c r="H290" s="575"/>
      <c r="I290" s="575"/>
      <c r="J290" s="575"/>
      <c r="K290" s="576"/>
      <c r="L290" s="31"/>
      <c r="M290" s="86"/>
      <c r="N290" s="203"/>
    </row>
    <row r="291" spans="1:14" ht="13.5" thickBot="1">
      <c r="A291" s="94"/>
      <c r="B291" s="149"/>
      <c r="C291" s="204" t="s">
        <v>226</v>
      </c>
      <c r="D291" s="205"/>
      <c r="E291" s="205"/>
      <c r="F291" s="206">
        <f>SUM(F287:F289)+F286</f>
        <v>139615.2</v>
      </c>
      <c r="G291" s="207"/>
      <c r="H291" s="583" t="s">
        <v>227</v>
      </c>
      <c r="I291" s="583"/>
      <c r="J291" s="583"/>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56" t="s">
        <v>101</v>
      </c>
      <c r="D302" s="557"/>
      <c r="E302" s="557"/>
      <c r="F302" s="558"/>
      <c r="G302" s="167"/>
      <c r="H302" s="556" t="s">
        <v>102</v>
      </c>
      <c r="I302" s="557"/>
      <c r="J302" s="557"/>
      <c r="K302" s="557"/>
      <c r="L302" s="557"/>
      <c r="M302" s="557"/>
      <c r="N302" s="558"/>
      <c r="O302" s="31"/>
    </row>
    <row r="303" spans="1:14" ht="13.5" customHeight="1" thickBot="1">
      <c r="A303"/>
      <c r="C303" s="559"/>
      <c r="D303" s="560"/>
      <c r="E303" s="560"/>
      <c r="F303" s="561"/>
      <c r="G303" s="168"/>
      <c r="H303" s="559"/>
      <c r="I303" s="560"/>
      <c r="J303" s="560"/>
      <c r="K303" s="560"/>
      <c r="L303" s="560"/>
      <c r="M303" s="560"/>
      <c r="N303" s="561"/>
    </row>
    <row r="304" spans="1:14" ht="60">
      <c r="A304" s="169" t="s">
        <v>22</v>
      </c>
      <c r="B304" s="170"/>
      <c r="C304" s="568"/>
      <c r="D304" s="562" t="s">
        <v>92</v>
      </c>
      <c r="E304" s="564" t="s">
        <v>93</v>
      </c>
      <c r="F304" s="566" t="s">
        <v>207</v>
      </c>
      <c r="G304" s="167"/>
      <c r="H304" s="171"/>
      <c r="I304" s="562" t="s">
        <v>92</v>
      </c>
      <c r="J304" s="564" t="s">
        <v>93</v>
      </c>
      <c r="K304" s="566" t="s">
        <v>207</v>
      </c>
      <c r="L304" s="170"/>
      <c r="M304" s="579" t="s">
        <v>206</v>
      </c>
      <c r="N304" s="581" t="s">
        <v>85</v>
      </c>
    </row>
    <row r="305" spans="1:14" ht="13.5" thickBot="1">
      <c r="A305" s="12" t="s">
        <v>13</v>
      </c>
      <c r="B305" s="31"/>
      <c r="C305" s="569"/>
      <c r="D305" s="563"/>
      <c r="E305" s="565"/>
      <c r="F305" s="567"/>
      <c r="G305" s="168"/>
      <c r="H305" s="31"/>
      <c r="I305" s="563"/>
      <c r="J305" s="565"/>
      <c r="K305" s="567"/>
      <c r="L305" s="32"/>
      <c r="M305" s="580"/>
      <c r="N305" s="582"/>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84"/>
      <c r="N306" s="585"/>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86"/>
      <c r="N307" s="587"/>
    </row>
    <row r="308" spans="1:14" ht="13.5" thickBot="1">
      <c r="A308" s="234">
        <v>2800000</v>
      </c>
      <c r="B308" s="31"/>
      <c r="C308" s="590"/>
      <c r="D308" s="591"/>
      <c r="E308" s="188" t="s">
        <v>57</v>
      </c>
      <c r="F308" s="189">
        <f>SUM(F306:F307)</f>
        <v>0</v>
      </c>
      <c r="G308" s="168"/>
      <c r="H308" s="572"/>
      <c r="I308" s="573"/>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88"/>
      <c r="N310" s="589"/>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88"/>
      <c r="N311" s="589"/>
    </row>
    <row r="312" spans="1:14" ht="8.25" customHeight="1" thickBot="1">
      <c r="A312" s="86"/>
      <c r="B312" s="31"/>
      <c r="C312" s="574"/>
      <c r="D312" s="575"/>
      <c r="E312" s="575"/>
      <c r="F312" s="575"/>
      <c r="G312" s="168"/>
      <c r="H312" s="575"/>
      <c r="I312" s="575"/>
      <c r="J312" s="575"/>
      <c r="K312" s="576"/>
      <c r="L312" s="31"/>
      <c r="M312" s="94"/>
      <c r="N312" s="261"/>
    </row>
    <row r="313" spans="1:14" ht="13.5" thickBot="1">
      <c r="A313" s="94"/>
      <c r="B313" s="149"/>
      <c r="C313" s="204" t="s">
        <v>226</v>
      </c>
      <c r="D313" s="205"/>
      <c r="E313" s="205"/>
      <c r="F313" s="206">
        <f>SUM(F309:F311)+F308</f>
        <v>191244.214</v>
      </c>
      <c r="G313" s="207"/>
      <c r="H313" s="583" t="s">
        <v>227</v>
      </c>
      <c r="I313" s="583"/>
      <c r="J313" s="583"/>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8"/>
      <c r="D316" s="562" t="s">
        <v>92</v>
      </c>
      <c r="E316" s="564" t="s">
        <v>93</v>
      </c>
      <c r="F316" s="566" t="s">
        <v>207</v>
      </c>
      <c r="G316" s="167"/>
      <c r="H316" s="171"/>
      <c r="I316" s="562" t="s">
        <v>92</v>
      </c>
      <c r="J316" s="564" t="s">
        <v>93</v>
      </c>
      <c r="K316" s="566" t="s">
        <v>207</v>
      </c>
      <c r="L316" s="170"/>
      <c r="M316" s="579" t="s">
        <v>206</v>
      </c>
      <c r="N316" s="581" t="s">
        <v>85</v>
      </c>
    </row>
    <row r="317" spans="1:14" ht="13.5" thickBot="1">
      <c r="A317" s="12" t="s">
        <v>13</v>
      </c>
      <c r="B317" s="31"/>
      <c r="C317" s="569"/>
      <c r="D317" s="563"/>
      <c r="E317" s="565"/>
      <c r="F317" s="567"/>
      <c r="G317" s="168"/>
      <c r="H317" s="31"/>
      <c r="I317" s="563"/>
      <c r="J317" s="565"/>
      <c r="K317" s="567"/>
      <c r="L317" s="32"/>
      <c r="M317" s="580"/>
      <c r="N317" s="582"/>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84"/>
      <c r="N318" s="585"/>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86"/>
      <c r="N319" s="587"/>
    </row>
    <row r="320" spans="1:14" ht="13.5" thickBot="1">
      <c r="A320" s="234">
        <v>10000000</v>
      </c>
      <c r="B320" s="31"/>
      <c r="C320" s="590"/>
      <c r="D320" s="591"/>
      <c r="E320" s="188" t="s">
        <v>57</v>
      </c>
      <c r="F320" s="189">
        <f>SUM(F318:F319)</f>
        <v>0</v>
      </c>
      <c r="G320" s="168"/>
      <c r="H320" s="572"/>
      <c r="I320" s="573"/>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88"/>
      <c r="N322" s="589"/>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88"/>
      <c r="N323" s="589"/>
    </row>
    <row r="324" spans="1:14" ht="8.25" customHeight="1" thickBot="1">
      <c r="A324" s="86"/>
      <c r="B324" s="31"/>
      <c r="C324" s="574"/>
      <c r="D324" s="575"/>
      <c r="E324" s="575"/>
      <c r="F324" s="575"/>
      <c r="G324" s="168"/>
      <c r="H324" s="575"/>
      <c r="I324" s="575"/>
      <c r="J324" s="575"/>
      <c r="K324" s="576"/>
      <c r="L324" s="31"/>
      <c r="M324" s="94"/>
      <c r="N324" s="261"/>
    </row>
    <row r="325" spans="1:14" ht="13.5" thickBot="1">
      <c r="A325" s="94"/>
      <c r="B325" s="149"/>
      <c r="C325" s="204" t="s">
        <v>226</v>
      </c>
      <c r="D325" s="205"/>
      <c r="E325" s="205"/>
      <c r="F325" s="206">
        <f>SUM(F321:F323)+F320</f>
        <v>682710.535</v>
      </c>
      <c r="G325" s="207"/>
      <c r="H325" s="583" t="s">
        <v>227</v>
      </c>
      <c r="I325" s="583"/>
      <c r="J325" s="583"/>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K304:K305"/>
    <mergeCell ref="M304:M305"/>
    <mergeCell ref="N304:N305"/>
    <mergeCell ref="M306:N307"/>
    <mergeCell ref="C308:D308"/>
    <mergeCell ref="H308:I308"/>
    <mergeCell ref="C304:C305"/>
    <mergeCell ref="D304:D305"/>
    <mergeCell ref="E304:E305"/>
    <mergeCell ref="F304:F305"/>
    <mergeCell ref="I304:I305"/>
    <mergeCell ref="J304:J305"/>
    <mergeCell ref="M288:N289"/>
    <mergeCell ref="C290:F290"/>
    <mergeCell ref="H290:K290"/>
    <mergeCell ref="H291:J291"/>
    <mergeCell ref="C302:F303"/>
    <mergeCell ref="H302:N303"/>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K190:K191"/>
    <mergeCell ref="M190:M191"/>
    <mergeCell ref="N190:N191"/>
    <mergeCell ref="M192:N193"/>
    <mergeCell ref="C194:D194"/>
    <mergeCell ref="H194:I194"/>
    <mergeCell ref="M184:N185"/>
    <mergeCell ref="C186:F186"/>
    <mergeCell ref="H186:K186"/>
    <mergeCell ref="H187:J187"/>
    <mergeCell ref="C190:C191"/>
    <mergeCell ref="D190:D191"/>
    <mergeCell ref="E190:E191"/>
    <mergeCell ref="F190:F191"/>
    <mergeCell ref="I190:I191"/>
    <mergeCell ref="J190:J191"/>
    <mergeCell ref="J178:J179"/>
    <mergeCell ref="K178:K179"/>
    <mergeCell ref="M178:M179"/>
    <mergeCell ref="N178:N179"/>
    <mergeCell ref="M180:N181"/>
    <mergeCell ref="C182:D182"/>
    <mergeCell ref="H182:I182"/>
    <mergeCell ref="M161:N163"/>
    <mergeCell ref="C164:F164"/>
    <mergeCell ref="H164:K164"/>
    <mergeCell ref="H165:J165"/>
    <mergeCell ref="H176:N177"/>
    <mergeCell ref="C178:C179"/>
    <mergeCell ref="D178:D179"/>
    <mergeCell ref="E178:E179"/>
    <mergeCell ref="F178:F179"/>
    <mergeCell ref="I178:I179"/>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N109:N110"/>
    <mergeCell ref="E109:E110"/>
    <mergeCell ref="F109:F110"/>
    <mergeCell ref="A13:D13"/>
    <mergeCell ref="C107:F108"/>
    <mergeCell ref="F89:F90"/>
    <mergeCell ref="C77:C78"/>
    <mergeCell ref="D77:D78"/>
    <mergeCell ref="E77:E78"/>
    <mergeCell ref="F77:F78"/>
    <mergeCell ref="C65:C66"/>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M91:N92"/>
    <mergeCell ref="I77:I78"/>
    <mergeCell ref="J77:J78"/>
    <mergeCell ref="K77:K78"/>
    <mergeCell ref="N89:N90"/>
    <mergeCell ref="M79:N80"/>
    <mergeCell ref="H86:J86"/>
    <mergeCell ref="N77:N78"/>
    <mergeCell ref="K65:K66"/>
    <mergeCell ref="M65:M66"/>
    <mergeCell ref="M67:N68"/>
    <mergeCell ref="M77:M78"/>
    <mergeCell ref="C69:D69"/>
    <mergeCell ref="H69:I69"/>
    <mergeCell ref="M70:N72"/>
    <mergeCell ref="C73:F73"/>
    <mergeCell ref="H73:K73"/>
    <mergeCell ref="H74:J74"/>
    <mergeCell ref="D65:D66"/>
    <mergeCell ref="E65:E66"/>
    <mergeCell ref="F65:F66"/>
    <mergeCell ref="M59:N60"/>
    <mergeCell ref="C61:F61"/>
    <mergeCell ref="H61:K61"/>
    <mergeCell ref="H62:J62"/>
    <mergeCell ref="N65:N66"/>
    <mergeCell ref="I65:I66"/>
    <mergeCell ref="J65:J66"/>
    <mergeCell ref="C58:D58"/>
    <mergeCell ref="H58:I58"/>
    <mergeCell ref="I54:I55"/>
    <mergeCell ref="J54:J55"/>
    <mergeCell ref="K54:K55"/>
    <mergeCell ref="M54:M55"/>
    <mergeCell ref="C54:C55"/>
    <mergeCell ref="D54:D55"/>
    <mergeCell ref="E54:E55"/>
    <mergeCell ref="M48:N49"/>
    <mergeCell ref="C50:F50"/>
    <mergeCell ref="H50:K50"/>
    <mergeCell ref="H51:J51"/>
    <mergeCell ref="N54:N55"/>
    <mergeCell ref="M56:N57"/>
    <mergeCell ref="C47:D47"/>
    <mergeCell ref="H47:I47"/>
    <mergeCell ref="I43:I44"/>
    <mergeCell ref="J43:J44"/>
    <mergeCell ref="K43:K44"/>
    <mergeCell ref="M43:M44"/>
    <mergeCell ref="C43:C44"/>
    <mergeCell ref="D43:D44"/>
    <mergeCell ref="M37:N38"/>
    <mergeCell ref="C39:F39"/>
    <mergeCell ref="H39:K39"/>
    <mergeCell ref="H40:J40"/>
    <mergeCell ref="N43:N44"/>
    <mergeCell ref="M45:N46"/>
    <mergeCell ref="K32:K33"/>
    <mergeCell ref="M32:M33"/>
    <mergeCell ref="N32:N33"/>
    <mergeCell ref="M34:N35"/>
    <mergeCell ref="C36:D36"/>
    <mergeCell ref="H36:I36"/>
    <mergeCell ref="C32:C33"/>
    <mergeCell ref="D32:D33"/>
    <mergeCell ref="E32:E33"/>
    <mergeCell ref="F32:F33"/>
    <mergeCell ref="I32:I33"/>
    <mergeCell ref="J32:J33"/>
    <mergeCell ref="K21:K22"/>
    <mergeCell ref="M21:M22"/>
    <mergeCell ref="N21:N22"/>
    <mergeCell ref="H28:K28"/>
    <mergeCell ref="H29:J29"/>
    <mergeCell ref="M23:N24"/>
    <mergeCell ref="M26:N27"/>
    <mergeCell ref="C21:C22"/>
    <mergeCell ref="C25:D25"/>
    <mergeCell ref="F43:F44"/>
    <mergeCell ref="E43:E44"/>
    <mergeCell ref="F54:F55"/>
    <mergeCell ref="H19:N20"/>
    <mergeCell ref="H25:I25"/>
    <mergeCell ref="C28:F28"/>
    <mergeCell ref="I21:I22"/>
    <mergeCell ref="J21:J22"/>
    <mergeCell ref="A9:E9"/>
    <mergeCell ref="A7:F7"/>
    <mergeCell ref="A5:E5"/>
    <mergeCell ref="E18:F18"/>
    <mergeCell ref="E14:F14"/>
    <mergeCell ref="C176:F177"/>
    <mergeCell ref="C19:F20"/>
    <mergeCell ref="D21:D22"/>
    <mergeCell ref="E21:E22"/>
    <mergeCell ref="F21:F22"/>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2" activePane="bottomLeft" state="frozen"/>
      <selection pane="topLeft" activeCell="A1" sqref="A1"/>
      <selection pane="bottomLeft" activeCell="A27" sqref="A27"/>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03" t="str">
        <f>"Name of Utility:      "&amp;'Info Sheet'!B4</f>
        <v>Name of Utility:      Festival Hydro Inc-Seaforth Residential Rates</v>
      </c>
      <c r="B3" s="504"/>
      <c r="C3" s="504"/>
      <c r="D3" s="461" t="str">
        <f>'Info Sheet'!B21</f>
        <v>2005.V1.1</v>
      </c>
      <c r="E3" s="36"/>
      <c r="F3" s="14"/>
    </row>
    <row r="4" spans="1:6" ht="18">
      <c r="A4" s="304" t="str">
        <f>"License Number:   "&amp;'Info Sheet'!B6</f>
        <v>License Number:   ED-2002-0153</v>
      </c>
      <c r="B4" s="27"/>
      <c r="C4" s="397"/>
      <c r="D4" s="400" t="str">
        <f>'Info Sheet'!B8</f>
        <v>RP-2005-0013</v>
      </c>
      <c r="E4" s="36"/>
      <c r="F4" s="14"/>
    </row>
    <row r="5" spans="1:4" ht="15.75">
      <c r="A5" s="500" t="str">
        <f>"Name of Contact:  "&amp;'Info Sheet'!B12</f>
        <v>Name of Contact:  Debbie Reece</v>
      </c>
      <c r="B5" s="501"/>
      <c r="C5" s="501"/>
      <c r="D5" s="400" t="str">
        <f>'Info Sheet'!B10</f>
        <v>EB-2005-0027</v>
      </c>
    </row>
    <row r="6" spans="1:4" ht="18" customHeight="1">
      <c r="A6" s="505" t="str">
        <f>"E- Mail Address:    "&amp;'Info Sheet'!B14</f>
        <v>E- Mail Address:    dreece@festivalhydro.com</v>
      </c>
      <c r="B6" s="502"/>
      <c r="C6" s="502"/>
      <c r="D6" s="100"/>
    </row>
    <row r="7" spans="1:4" ht="15.75">
      <c r="A7" s="304" t="str">
        <f>"Phone Number:     "&amp;'Info Sheet'!B16</f>
        <v>Phone Number:     519-271-4703</v>
      </c>
      <c r="B7" s="502" t="str">
        <f>'Info Sheet'!$C$16&amp;" "&amp;'Info Sheet'!$D$16</f>
        <v>Extension: 268</v>
      </c>
      <c r="C7" s="502"/>
      <c r="D7" s="100"/>
    </row>
    <row r="8" spans="1:4" ht="16.5" thickBot="1">
      <c r="A8" s="305" t="str">
        <f>"Date:                      "&amp;('Info Sheet'!B18)</f>
        <v>Date:                      January 14, 2005</v>
      </c>
      <c r="B8" s="306"/>
      <c r="C8" s="398"/>
      <c r="D8" s="150"/>
    </row>
    <row r="9" spans="1:3" ht="15.75">
      <c r="A9" s="28"/>
      <c r="B9" s="29"/>
      <c r="C9" s="27"/>
    </row>
    <row r="10" spans="1:5" ht="16.5" customHeight="1">
      <c r="A10" s="310" t="s">
        <v>129</v>
      </c>
      <c r="B10" s="35"/>
      <c r="C10" s="40"/>
      <c r="D10" s="311"/>
      <c r="E10" s="35"/>
    </row>
    <row r="11" spans="1:5" ht="16.5" customHeight="1">
      <c r="A11" s="499" t="s">
        <v>217</v>
      </c>
      <c r="B11" s="499"/>
      <c r="C11" s="499"/>
      <c r="D11" s="499"/>
      <c r="E11" s="499"/>
    </row>
    <row r="12" spans="1:5" ht="14.25" customHeight="1">
      <c r="A12" s="499"/>
      <c r="B12" s="499"/>
      <c r="C12" s="499"/>
      <c r="D12" s="499"/>
      <c r="E12" s="499"/>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0.0072</v>
      </c>
      <c r="E19" s="15"/>
      <c r="F19" s="15"/>
      <c r="G19" s="15"/>
    </row>
    <row r="20" spans="1:7" ht="12.75">
      <c r="A20" s="112"/>
      <c r="B20" s="112"/>
      <c r="C20" s="113"/>
      <c r="D20" s="113"/>
      <c r="E20" s="15"/>
      <c r="F20" s="15"/>
      <c r="G20" s="15"/>
    </row>
    <row r="21" spans="1:7" ht="12.75">
      <c r="A21" s="109" t="s">
        <v>74</v>
      </c>
      <c r="B21" s="109"/>
      <c r="C21" s="110"/>
      <c r="D21" s="114">
        <v>15.56</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c r="E33" s="15"/>
      <c r="F33" s="15"/>
      <c r="G33" s="15"/>
    </row>
    <row r="34" spans="1:7" ht="12.75">
      <c r="A34" s="112"/>
      <c r="C34" s="15"/>
      <c r="D34" s="15"/>
      <c r="E34" s="15"/>
      <c r="F34" s="15"/>
      <c r="G34" s="15"/>
    </row>
    <row r="35" spans="1:7" ht="12.75">
      <c r="A35" s="109" t="s">
        <v>74</v>
      </c>
      <c r="B35" s="34"/>
      <c r="C35" s="23"/>
      <c r="D35" s="108"/>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c r="E40" s="15"/>
      <c r="F40" s="15"/>
      <c r="G40" s="15"/>
    </row>
    <row r="41" spans="1:7" ht="12.75">
      <c r="A41" s="112"/>
      <c r="C41" s="15"/>
      <c r="D41" s="15"/>
      <c r="E41" s="15"/>
      <c r="F41" s="15"/>
      <c r="G41" s="15"/>
    </row>
    <row r="42" spans="1:7" ht="12.75">
      <c r="A42" s="109" t="s">
        <v>74</v>
      </c>
      <c r="B42" s="34"/>
      <c r="C42" s="23"/>
      <c r="D42" s="108"/>
      <c r="E42" s="15"/>
      <c r="F42" s="15"/>
      <c r="G42" s="15"/>
    </row>
    <row r="43" spans="2:7" ht="12.75">
      <c r="B43" s="15"/>
      <c r="C43" s="15"/>
      <c r="D43" s="49"/>
      <c r="E43" s="15"/>
      <c r="F43" s="15"/>
      <c r="G43" s="15"/>
    </row>
    <row r="44" spans="2:7" ht="12.75">
      <c r="B44" s="15"/>
      <c r="C44" s="15"/>
      <c r="D44" s="49"/>
      <c r="E44" s="15"/>
      <c r="F44" s="15"/>
      <c r="G44" s="15"/>
    </row>
    <row r="45" spans="1:7" ht="18">
      <c r="A45" s="55" t="s">
        <v>241</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162</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87"/>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c r="E68" s="15"/>
      <c r="F68" s="15"/>
      <c r="G68" s="15"/>
    </row>
    <row r="69" spans="1:7" ht="12.75">
      <c r="A69" s="112"/>
      <c r="C69" s="15"/>
      <c r="D69" s="15"/>
      <c r="E69" s="15"/>
      <c r="F69" s="15"/>
      <c r="G69" s="15"/>
    </row>
    <row r="70" spans="1:7" ht="12.75">
      <c r="A70" s="109" t="s">
        <v>220</v>
      </c>
      <c r="B70" s="34"/>
      <c r="C70" s="23"/>
      <c r="D70" s="108"/>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c r="E83" s="15"/>
      <c r="F83" s="15"/>
      <c r="G83" s="15"/>
    </row>
    <row r="84" spans="1:7" ht="12.75">
      <c r="A84" s="112"/>
      <c r="C84" s="15"/>
      <c r="D84" s="15"/>
      <c r="E84" s="15"/>
      <c r="F84" s="15"/>
      <c r="G84" s="15"/>
    </row>
    <row r="85" spans="1:7" ht="12.75">
      <c r="A85" s="109" t="s">
        <v>220</v>
      </c>
      <c r="B85" s="34"/>
      <c r="C85" s="23"/>
      <c r="D85" s="108"/>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tabSelected="1" zoomScalePageLayoutView="0" workbookViewId="0" topLeftCell="A34">
      <selection activeCell="B57" sqref="B57"/>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503" t="str">
        <f>"Name of Utility:      "&amp;'Info Sheet'!B4</f>
        <v>Name of Utility:      Festival Hydro Inc-Seaforth Residential Rates</v>
      </c>
      <c r="B3" s="504"/>
      <c r="C3" s="504"/>
      <c r="D3" s="461" t="str">
        <f>'Info Sheet'!B21</f>
        <v>2005.V1.1</v>
      </c>
      <c r="E3" s="36"/>
      <c r="F3" s="116"/>
      <c r="G3" s="117"/>
    </row>
    <row r="4" spans="1:7" ht="18">
      <c r="A4" s="304" t="str">
        <f>"License Number:   "&amp;'Info Sheet'!B6</f>
        <v>License Number:   ED-2002-0153</v>
      </c>
      <c r="B4" s="462"/>
      <c r="C4" s="396"/>
      <c r="D4" s="400" t="str">
        <f>'Info Sheet'!B8</f>
        <v>RP-2005-0013</v>
      </c>
      <c r="E4" s="36"/>
      <c r="F4" s="116"/>
      <c r="G4" s="117"/>
    </row>
    <row r="5" spans="1:4" ht="15.75">
      <c r="A5" s="500" t="str">
        <f>"Name of Contact:  "&amp;'Info Sheet'!B12</f>
        <v>Name of Contact:  Debbie Reece</v>
      </c>
      <c r="B5" s="501"/>
      <c r="C5" s="501"/>
      <c r="D5" s="400" t="str">
        <f>'Info Sheet'!B10</f>
        <v>EB-2005-0027</v>
      </c>
    </row>
    <row r="6" spans="1:4" ht="15.75">
      <c r="A6" s="505" t="str">
        <f>"E- Mail Address:    "&amp;'Info Sheet'!B14</f>
        <v>E- Mail Address:    dreece@festivalhydro.com</v>
      </c>
      <c r="B6" s="502"/>
      <c r="C6" s="502"/>
      <c r="D6" s="466"/>
    </row>
    <row r="7" spans="1:4" ht="15.75">
      <c r="A7" s="304" t="str">
        <f>"Phone Number:     "&amp;'Info Sheet'!B16</f>
        <v>Phone Number:     519-271-4703</v>
      </c>
      <c r="B7" s="502" t="str">
        <f>'Info Sheet'!$C$16&amp;" "&amp;'Info Sheet'!$D$16</f>
        <v>Extension: 268</v>
      </c>
      <c r="C7" s="502"/>
      <c r="D7" s="466"/>
    </row>
    <row r="8" spans="1:10" ht="16.5" thickBot="1">
      <c r="A8" s="305" t="str">
        <f>"Date:                      "&amp;('Info Sheet'!B18)</f>
        <v>Date:                      January 14, 2005</v>
      </c>
      <c r="B8" s="464"/>
      <c r="C8" s="465"/>
      <c r="D8" s="467"/>
      <c r="J8" s="351" t="s">
        <v>150</v>
      </c>
    </row>
    <row r="9" spans="1:10" ht="15.75">
      <c r="A9" s="28"/>
      <c r="B9" s="29"/>
      <c r="C9" s="27"/>
      <c r="J9" s="351" t="s">
        <v>151</v>
      </c>
    </row>
    <row r="10" spans="1:7" ht="15">
      <c r="A10" s="509" t="s">
        <v>175</v>
      </c>
      <c r="B10" s="509"/>
      <c r="C10" s="509"/>
      <c r="D10" s="509"/>
      <c r="E10" s="509"/>
      <c r="F10" s="263"/>
      <c r="G10" s="318">
        <v>12969</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12969</v>
      </c>
    </row>
    <row r="15" spans="1:7" ht="15">
      <c r="A15" s="71"/>
      <c r="B15" s="71"/>
      <c r="C15" s="71"/>
      <c r="D15" s="71"/>
      <c r="E15" s="71"/>
      <c r="F15" s="265"/>
      <c r="G15" s="265"/>
    </row>
    <row r="16" spans="1:7" ht="15">
      <c r="A16" s="72" t="s">
        <v>149</v>
      </c>
      <c r="B16" s="72"/>
      <c r="C16" s="72"/>
      <c r="D16" s="72"/>
      <c r="E16" s="72"/>
      <c r="F16" s="263"/>
      <c r="G16" s="352" t="s">
        <v>243</v>
      </c>
    </row>
    <row r="17" spans="1:7" ht="14.25">
      <c r="A17" s="137"/>
      <c r="B17" s="138"/>
      <c r="C17" s="138"/>
      <c r="D17" s="138"/>
      <c r="E17" s="138"/>
      <c r="F17" s="138"/>
      <c r="G17" s="138"/>
    </row>
    <row r="18" spans="1:7" ht="15">
      <c r="A18" s="509" t="s">
        <v>177</v>
      </c>
      <c r="B18" s="509"/>
      <c r="C18" s="509"/>
      <c r="D18" s="509"/>
      <c r="E18" s="509"/>
      <c r="F18" s="263"/>
      <c r="G18" s="318">
        <v>12969</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13966.615384615385</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c r="C29" s="135">
        <v>7750073</v>
      </c>
      <c r="D29" s="266">
        <v>925</v>
      </c>
      <c r="E29" s="401">
        <v>225420.49</v>
      </c>
      <c r="F29" s="282">
        <f>IF(ISERROR(E29/$E$38),"",E29/$E$38)</f>
        <v>1</v>
      </c>
      <c r="G29" s="405">
        <f>IF(ISERROR($G$22*F29),0,$G$22*F29)</f>
        <v>13966.615384615385</v>
      </c>
      <c r="H29" s="269"/>
    </row>
    <row r="30" spans="1:8" ht="12.75">
      <c r="A30" s="148" t="s">
        <v>77</v>
      </c>
      <c r="B30" s="486"/>
      <c r="C30" s="135"/>
      <c r="D30" s="266"/>
      <c r="E30" s="401"/>
      <c r="F30" s="282">
        <f aca="true" t="shared" si="0" ref="F30:F36">IF(ISERROR(E30/$E$38),"",E30/$E$38)</f>
        <v>0</v>
      </c>
      <c r="G30" s="405">
        <f aca="true" t="shared" si="1" ref="G30:G36">IF(ISERROR($G$22*F30),0,$G$22*F30)</f>
        <v>0</v>
      </c>
      <c r="H30" s="269"/>
    </row>
    <row r="31" spans="1:8" ht="12.75">
      <c r="A31" s="148" t="s">
        <v>78</v>
      </c>
      <c r="B31" s="270"/>
      <c r="C31" s="135"/>
      <c r="D31" s="266"/>
      <c r="E31" s="401"/>
      <c r="F31" s="282">
        <f t="shared" si="0"/>
        <v>0</v>
      </c>
      <c r="G31" s="405">
        <f t="shared" si="1"/>
        <v>0</v>
      </c>
      <c r="H31" s="269"/>
    </row>
    <row r="32" spans="1:8" ht="12.75">
      <c r="A32" s="148" t="s">
        <v>236</v>
      </c>
      <c r="B32" s="266"/>
      <c r="C32" s="135"/>
      <c r="D32" s="266"/>
      <c r="E32" s="402"/>
      <c r="F32" s="282">
        <f t="shared" si="0"/>
        <v>0</v>
      </c>
      <c r="G32" s="405">
        <f t="shared" si="1"/>
        <v>0</v>
      </c>
      <c r="H32" s="271"/>
    </row>
    <row r="33" spans="1:8" ht="12.75">
      <c r="A33" s="148" t="s">
        <v>237</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c r="C35" s="135"/>
      <c r="D35" s="266"/>
      <c r="E35" s="403"/>
      <c r="F35" s="282">
        <f t="shared" si="0"/>
        <v>0</v>
      </c>
      <c r="G35" s="405">
        <f t="shared" si="1"/>
        <v>0</v>
      </c>
      <c r="H35" s="269"/>
    </row>
    <row r="36" spans="1:8" ht="12.75">
      <c r="A36" s="148" t="s">
        <v>82</v>
      </c>
      <c r="B36" s="273"/>
      <c r="C36" s="136"/>
      <c r="D36" s="274"/>
      <c r="E36" s="404"/>
      <c r="F36" s="283">
        <f t="shared" si="0"/>
        <v>0</v>
      </c>
      <c r="G36" s="406">
        <f t="shared" si="1"/>
        <v>0</v>
      </c>
      <c r="H36" s="272"/>
    </row>
    <row r="37" spans="1:8" ht="13.5" thickBot="1">
      <c r="A37" s="148"/>
      <c r="B37" s="265"/>
      <c r="C37" s="276"/>
      <c r="D37" s="277"/>
      <c r="E37" s="265"/>
      <c r="F37" s="278"/>
      <c r="G37" s="268"/>
      <c r="H37" s="56"/>
    </row>
    <row r="38" spans="1:8" ht="13.5" thickBot="1">
      <c r="A38" s="319" t="s">
        <v>16</v>
      </c>
      <c r="B38" s="320">
        <f aca="true" t="shared" si="2" ref="B38:G38">SUM(B29:B36)</f>
        <v>0</v>
      </c>
      <c r="C38" s="320">
        <f t="shared" si="2"/>
        <v>7750073</v>
      </c>
      <c r="D38" s="320">
        <f t="shared" si="2"/>
        <v>925</v>
      </c>
      <c r="E38" s="418">
        <f t="shared" si="2"/>
        <v>225420.49</v>
      </c>
      <c r="F38" s="321">
        <f t="shared" si="2"/>
        <v>1</v>
      </c>
      <c r="G38" s="419">
        <f t="shared" si="2"/>
        <v>13966.615384615385</v>
      </c>
      <c r="H38" s="56"/>
    </row>
    <row r="39" spans="1:8" ht="12.75">
      <c r="A39" s="86"/>
      <c r="B39" s="31"/>
      <c r="C39" s="507" t="s">
        <v>131</v>
      </c>
      <c r="D39" s="507"/>
      <c r="E39" s="507"/>
      <c r="F39" s="508"/>
      <c r="G39" s="420">
        <f>G22</f>
        <v>13966.615384615385</v>
      </c>
      <c r="H39" s="279"/>
    </row>
    <row r="40" spans="1:7" ht="13.5" thickBot="1">
      <c r="A40" s="94"/>
      <c r="B40" s="149"/>
      <c r="C40" s="149"/>
      <c r="D40" s="149"/>
      <c r="E40" s="149"/>
      <c r="F40" s="149"/>
      <c r="G40" s="150"/>
    </row>
    <row r="41" spans="1:7" ht="42" customHeight="1">
      <c r="A41" s="506" t="s">
        <v>212</v>
      </c>
      <c r="B41" s="506"/>
      <c r="C41" s="506"/>
      <c r="D41" s="506"/>
      <c r="E41" s="506"/>
      <c r="F41" s="506"/>
      <c r="G41" s="506"/>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13966.615384615385</v>
      </c>
      <c r="E47" s="112"/>
    </row>
    <row r="48" spans="1:5" ht="7.5" customHeight="1">
      <c r="A48" s="112"/>
      <c r="B48" s="285"/>
      <c r="C48" s="285"/>
      <c r="D48" s="286"/>
      <c r="E48" s="112"/>
    </row>
    <row r="49" spans="1:5" ht="12.75">
      <c r="A49" s="109" t="s">
        <v>108</v>
      </c>
      <c r="B49" s="485">
        <v>0.93</v>
      </c>
      <c r="C49" s="485">
        <v>0.07</v>
      </c>
      <c r="D49" s="293">
        <f>B49+C49</f>
        <v>1</v>
      </c>
      <c r="E49" s="112"/>
    </row>
    <row r="50" spans="1:5" ht="7.5" customHeight="1">
      <c r="A50" s="112"/>
      <c r="B50" s="287"/>
      <c r="C50" s="287"/>
      <c r="D50" s="287"/>
      <c r="E50" s="112"/>
    </row>
    <row r="51" spans="1:5" ht="13.5" customHeight="1">
      <c r="A51" s="109" t="s">
        <v>112</v>
      </c>
      <c r="B51" s="407">
        <f>$B49*$D47</f>
        <v>12988.952307692309</v>
      </c>
      <c r="C51" s="407">
        <f>C49*D47</f>
        <v>977.663076923077</v>
      </c>
      <c r="D51" s="407">
        <f>SUM(B51:C51)</f>
        <v>13966.615384615387</v>
      </c>
      <c r="E51" s="112"/>
    </row>
    <row r="52" spans="1:5" ht="7.5" customHeight="1">
      <c r="A52" s="112"/>
      <c r="B52" s="288"/>
      <c r="C52" s="288"/>
      <c r="D52" s="288"/>
      <c r="E52" s="112"/>
    </row>
    <row r="53" spans="1:5" ht="13.5" customHeight="1">
      <c r="A53" s="109" t="s">
        <v>106</v>
      </c>
      <c r="B53" s="295">
        <f>$C29</f>
        <v>7750073</v>
      </c>
      <c r="C53" s="294"/>
      <c r="D53" s="294"/>
      <c r="E53" s="112"/>
    </row>
    <row r="54" spans="1:5" ht="7.5" customHeight="1">
      <c r="A54" s="112"/>
      <c r="B54" s="289"/>
      <c r="C54" s="288"/>
      <c r="D54" s="288"/>
      <c r="E54" s="112"/>
    </row>
    <row r="55" spans="1:5" ht="13.5" customHeight="1">
      <c r="A55" s="109" t="s">
        <v>107</v>
      </c>
      <c r="B55" s="294"/>
      <c r="C55" s="295">
        <f>$D29</f>
        <v>925</v>
      </c>
      <c r="D55" s="294"/>
      <c r="E55" s="112"/>
    </row>
    <row r="56" spans="1:5" ht="7.5" customHeight="1">
      <c r="A56" s="112"/>
      <c r="B56" s="288"/>
      <c r="C56" s="289"/>
      <c r="D56" s="288"/>
      <c r="E56" s="112"/>
    </row>
    <row r="57" spans="1:5" ht="13.5" customHeight="1">
      <c r="A57" s="109" t="s">
        <v>180</v>
      </c>
      <c r="B57" s="492">
        <f>IF(ISERROR($B51/$B53),0,$B51/$B53)</f>
        <v>0.0016759780595218018</v>
      </c>
      <c r="C57" s="408"/>
      <c r="D57" s="296"/>
      <c r="E57" s="112"/>
    </row>
    <row r="58" spans="1:5" ht="7.5" customHeight="1">
      <c r="A58" s="112"/>
      <c r="B58" s="409"/>
      <c r="C58" s="409"/>
      <c r="D58" s="291"/>
      <c r="E58" s="112"/>
    </row>
    <row r="59" spans="1:5" ht="12.75">
      <c r="A59" s="109" t="s">
        <v>181</v>
      </c>
      <c r="B59" s="410"/>
      <c r="C59" s="491">
        <f>IF(ISERROR($C51/$C55/12),0,$C51/$C55/12)</f>
        <v>0.0880777546777547</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0</v>
      </c>
      <c r="E67" s="112"/>
    </row>
    <row r="68" spans="1:5" ht="7.5" customHeight="1">
      <c r="A68" s="112"/>
      <c r="B68" s="285"/>
      <c r="C68" s="285"/>
      <c r="D68" s="286"/>
      <c r="E68" s="112"/>
    </row>
    <row r="69" spans="1:5" ht="12.75">
      <c r="A69" s="109" t="s">
        <v>108</v>
      </c>
      <c r="B69" s="485"/>
      <c r="C69" s="485"/>
      <c r="D69" s="293">
        <f>B69+C69</f>
        <v>0</v>
      </c>
      <c r="E69" s="112"/>
    </row>
    <row r="70" spans="1:5" ht="7.5" customHeight="1">
      <c r="A70" s="112"/>
      <c r="B70" s="287"/>
      <c r="C70" s="287"/>
      <c r="D70" s="287"/>
      <c r="E70" s="112"/>
    </row>
    <row r="71" spans="1:5" ht="13.5" customHeight="1">
      <c r="A71" s="109" t="s">
        <v>112</v>
      </c>
      <c r="B71" s="407">
        <f>$B69*$D67</f>
        <v>0</v>
      </c>
      <c r="C71" s="407">
        <f>C69*D67</f>
        <v>0</v>
      </c>
      <c r="D71" s="407">
        <f>SUM(B71:C71)</f>
        <v>0</v>
      </c>
      <c r="E71" s="112"/>
    </row>
    <row r="72" spans="1:5" ht="7.5" customHeight="1">
      <c r="A72" s="112"/>
      <c r="B72" s="288"/>
      <c r="C72" s="288"/>
      <c r="D72" s="288"/>
      <c r="E72" s="112"/>
    </row>
    <row r="73" spans="1:5" ht="13.5" customHeight="1">
      <c r="A73" s="109" t="s">
        <v>106</v>
      </c>
      <c r="B73" s="295">
        <f>$C30</f>
        <v>0</v>
      </c>
      <c r="C73" s="294"/>
      <c r="D73" s="294"/>
      <c r="E73" s="112"/>
    </row>
    <row r="74" spans="1:5" ht="7.5" customHeight="1">
      <c r="A74" s="112"/>
      <c r="B74" s="289"/>
      <c r="C74" s="288"/>
      <c r="D74" s="288"/>
      <c r="E74" s="112"/>
    </row>
    <row r="75" spans="1:5" ht="13.5" customHeight="1">
      <c r="A75" s="109" t="s">
        <v>107</v>
      </c>
      <c r="B75" s="294"/>
      <c r="C75" s="295">
        <f>$D30</f>
        <v>0</v>
      </c>
      <c r="D75" s="294"/>
      <c r="E75" s="112"/>
    </row>
    <row r="76" spans="1:5" ht="7.5" customHeight="1">
      <c r="A76" s="112"/>
      <c r="B76" s="288"/>
      <c r="C76" s="289"/>
      <c r="D76" s="288"/>
      <c r="E76" s="112"/>
    </row>
    <row r="77" spans="1:5" ht="13.5" customHeight="1">
      <c r="A77" s="109" t="s">
        <v>180</v>
      </c>
      <c r="B77" s="408">
        <f>IF(ISERROR($B71/$B73),0,$B71/$B73)</f>
        <v>0</v>
      </c>
      <c r="C77" s="408"/>
      <c r="D77" s="296"/>
      <c r="E77" s="112"/>
    </row>
    <row r="78" spans="1:5" ht="7.5" customHeight="1">
      <c r="A78" s="112"/>
      <c r="B78" s="409"/>
      <c r="C78" s="409"/>
      <c r="D78" s="291"/>
      <c r="E78" s="112"/>
    </row>
    <row r="79" spans="1:5" ht="12.75">
      <c r="A79" s="109" t="s">
        <v>181</v>
      </c>
      <c r="B79" s="410"/>
      <c r="C79" s="411">
        <f>IF(ISERROR($C71/$C75/12),0,$C71/$C75/12)</f>
        <v>0</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0</v>
      </c>
      <c r="E87" s="112"/>
    </row>
    <row r="88" spans="1:5" ht="7.5" customHeight="1">
      <c r="A88" s="112"/>
      <c r="B88" s="285"/>
      <c r="C88" s="285"/>
      <c r="D88" s="286"/>
      <c r="E88" s="112"/>
    </row>
    <row r="89" spans="1:5" ht="12.75">
      <c r="A89" s="109" t="s">
        <v>108</v>
      </c>
      <c r="B89" s="485"/>
      <c r="C89" s="485"/>
      <c r="D89" s="293">
        <f>B89+C89</f>
        <v>0</v>
      </c>
      <c r="E89" s="112"/>
    </row>
    <row r="90" spans="1:5" ht="7.5" customHeight="1">
      <c r="A90" s="112"/>
      <c r="B90" s="287"/>
      <c r="C90" s="287"/>
      <c r="D90" s="287"/>
      <c r="E90" s="112"/>
    </row>
    <row r="91" spans="1:5" ht="13.5" customHeight="1">
      <c r="A91" s="109" t="s">
        <v>112</v>
      </c>
      <c r="B91" s="407">
        <f>$B89*$D87</f>
        <v>0</v>
      </c>
      <c r="C91" s="407">
        <f>C89*D87</f>
        <v>0</v>
      </c>
      <c r="D91" s="407">
        <f>SUM(B91:C91)</f>
        <v>0</v>
      </c>
      <c r="E91" s="112"/>
    </row>
    <row r="92" spans="1:5" ht="7.5" customHeight="1">
      <c r="A92" s="112"/>
      <c r="B92" s="288"/>
      <c r="C92" s="288"/>
      <c r="D92" s="288"/>
      <c r="E92" s="112"/>
    </row>
    <row r="93" spans="1:5" ht="13.5" customHeight="1">
      <c r="A93" s="109" t="s">
        <v>172</v>
      </c>
      <c r="B93" s="295">
        <f>$B31</f>
        <v>0</v>
      </c>
      <c r="C93" s="294"/>
      <c r="D93" s="294"/>
      <c r="E93" s="112"/>
    </row>
    <row r="94" spans="1:5" ht="7.5" customHeight="1">
      <c r="A94" s="112"/>
      <c r="B94" s="289"/>
      <c r="C94" s="288"/>
      <c r="D94" s="288"/>
      <c r="E94" s="112"/>
    </row>
    <row r="95" spans="1:5" ht="13.5" customHeight="1">
      <c r="A95" s="109" t="s">
        <v>107</v>
      </c>
      <c r="B95" s="294"/>
      <c r="C95" s="295">
        <f>$D31</f>
        <v>0</v>
      </c>
      <c r="D95" s="294"/>
      <c r="E95" s="112"/>
    </row>
    <row r="96" spans="1:5" ht="7.5" customHeight="1">
      <c r="A96" s="112"/>
      <c r="B96" s="288"/>
      <c r="C96" s="289"/>
      <c r="D96" s="288"/>
      <c r="E96" s="112"/>
    </row>
    <row r="97" spans="1:6" ht="13.5" customHeight="1">
      <c r="A97" s="109" t="s">
        <v>229</v>
      </c>
      <c r="B97" s="408">
        <f>IF(ISERROR($B91/$B93),0,$B91/$B93)</f>
        <v>0</v>
      </c>
      <c r="C97" s="408"/>
      <c r="D97" s="296"/>
      <c r="E97" s="112"/>
      <c r="F97" s="385"/>
    </row>
    <row r="98" spans="1:5" ht="7.5" customHeight="1">
      <c r="A98" s="112"/>
      <c r="B98" s="409"/>
      <c r="C98" s="409"/>
      <c r="D98" s="291"/>
      <c r="E98" s="112"/>
    </row>
    <row r="99" spans="1:5" ht="12.75">
      <c r="A99" s="109" t="s">
        <v>181</v>
      </c>
      <c r="B99" s="410"/>
      <c r="C99" s="411">
        <f>IF(ISERROR($C91/$C95/12),0,$C91/$C95/12)</f>
        <v>0</v>
      </c>
      <c r="D99" s="297"/>
      <c r="E99" s="112"/>
    </row>
    <row r="100" spans="1:5" ht="12.75">
      <c r="A100" s="298"/>
      <c r="B100" s="299"/>
      <c r="C100" s="300"/>
      <c r="D100" s="299"/>
      <c r="E100" s="112"/>
    </row>
    <row r="101" spans="1:5" ht="12.75">
      <c r="A101" s="298"/>
      <c r="B101" s="299"/>
      <c r="C101" s="300"/>
      <c r="D101" s="299"/>
      <c r="E101" s="112"/>
    </row>
    <row r="102" ht="15.75">
      <c r="A102" s="54" t="s">
        <v>238</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c r="C109" s="485"/>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239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c r="C129" s="485"/>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0</v>
      </c>
      <c r="E167" s="112"/>
    </row>
    <row r="168" spans="1:5" ht="7.5" customHeight="1">
      <c r="A168" s="112"/>
      <c r="B168" s="285"/>
      <c r="C168" s="285"/>
      <c r="D168" s="286"/>
      <c r="E168" s="112"/>
    </row>
    <row r="169" spans="1:5" ht="12.75">
      <c r="A169" s="109" t="s">
        <v>108</v>
      </c>
      <c r="B169" s="485"/>
      <c r="C169" s="485"/>
      <c r="D169" s="293">
        <f>B169+C169</f>
        <v>0</v>
      </c>
      <c r="E169" s="112"/>
    </row>
    <row r="170" spans="1:5" ht="7.5" customHeight="1">
      <c r="A170" s="112"/>
      <c r="B170" s="287"/>
      <c r="C170" s="287"/>
      <c r="D170" s="287"/>
      <c r="E170" s="112"/>
    </row>
    <row r="171" spans="1:5" ht="13.5" customHeight="1">
      <c r="A171" s="109" t="s">
        <v>112</v>
      </c>
      <c r="B171" s="407">
        <f>$B169*$D167</f>
        <v>0</v>
      </c>
      <c r="C171" s="407">
        <f>C169*D167</f>
        <v>0</v>
      </c>
      <c r="D171" s="407">
        <f>SUM(B171:C171)</f>
        <v>0</v>
      </c>
      <c r="E171" s="112"/>
    </row>
    <row r="172" spans="1:5" ht="7.5" customHeight="1">
      <c r="A172" s="112"/>
      <c r="B172" s="288"/>
      <c r="C172" s="288"/>
      <c r="D172" s="288"/>
      <c r="E172" s="112"/>
    </row>
    <row r="173" spans="1:5" ht="13.5" customHeight="1">
      <c r="A173" s="109" t="s">
        <v>172</v>
      </c>
      <c r="B173" s="295">
        <f>$B35</f>
        <v>0</v>
      </c>
      <c r="C173" s="294"/>
      <c r="D173" s="294"/>
      <c r="E173" s="112"/>
    </row>
    <row r="174" spans="1:5" ht="7.5" customHeight="1">
      <c r="A174" s="112"/>
      <c r="B174" s="289"/>
      <c r="C174" s="288"/>
      <c r="D174" s="288"/>
      <c r="E174" s="112"/>
    </row>
    <row r="175" spans="1:5" ht="13.5" customHeight="1">
      <c r="A175" s="109" t="s">
        <v>107</v>
      </c>
      <c r="B175" s="294"/>
      <c r="C175" s="295">
        <f>$D35</f>
        <v>0</v>
      </c>
      <c r="D175" s="294"/>
      <c r="E175" s="112"/>
    </row>
    <row r="176" spans="1:5" ht="7.5" customHeight="1">
      <c r="A176" s="112"/>
      <c r="B176" s="288"/>
      <c r="C176" s="289"/>
      <c r="D176" s="288"/>
      <c r="E176" s="112"/>
    </row>
    <row r="177" spans="1:5" ht="13.5" customHeight="1">
      <c r="A177" s="109" t="s">
        <v>182</v>
      </c>
      <c r="B177" s="408">
        <f>IF(ISERROR($B171/$B173),0,$B171/$B173)</f>
        <v>0</v>
      </c>
      <c r="C177" s="408"/>
      <c r="D177" s="296"/>
      <c r="E177" s="112"/>
    </row>
    <row r="178" spans="1:5" ht="7.5" customHeight="1">
      <c r="A178" s="112"/>
      <c r="B178" s="409"/>
      <c r="C178" s="409"/>
      <c r="D178" s="291"/>
      <c r="E178" s="112"/>
    </row>
    <row r="179" spans="1:5" ht="12.75">
      <c r="A179" s="109" t="s">
        <v>181</v>
      </c>
      <c r="B179" s="410"/>
      <c r="C179" s="411">
        <f>IF(ISERROR($C171/$C175/12),0,$C171/$C175/12)</f>
        <v>0</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0</v>
      </c>
      <c r="E187" s="112"/>
    </row>
    <row r="188" spans="1:5" ht="7.5" customHeight="1">
      <c r="A188" s="112"/>
      <c r="B188" s="285"/>
      <c r="C188" s="285"/>
      <c r="D188" s="286"/>
      <c r="E188" s="112"/>
    </row>
    <row r="189" spans="1:5" ht="12.75">
      <c r="A189" s="109" t="s">
        <v>108</v>
      </c>
      <c r="B189" s="485"/>
      <c r="C189" s="485"/>
      <c r="D189" s="293">
        <f>B189+C189</f>
        <v>0</v>
      </c>
      <c r="E189" s="112"/>
    </row>
    <row r="190" spans="1:5" ht="7.5" customHeight="1">
      <c r="A190" s="112"/>
      <c r="B190" s="287"/>
      <c r="C190" s="287"/>
      <c r="D190" s="287"/>
      <c r="E190" s="112"/>
    </row>
    <row r="191" spans="1:5" ht="13.5" customHeight="1">
      <c r="A191" s="109" t="s">
        <v>112</v>
      </c>
      <c r="B191" s="407">
        <f>$B189*$D187</f>
        <v>0</v>
      </c>
      <c r="C191" s="407">
        <f>C189*D187</f>
        <v>0</v>
      </c>
      <c r="D191" s="407">
        <f>SUM(B191:C191)</f>
        <v>0</v>
      </c>
      <c r="E191" s="112"/>
    </row>
    <row r="192" spans="1:5" ht="7.5" customHeight="1">
      <c r="A192" s="112"/>
      <c r="B192" s="288"/>
      <c r="C192" s="288"/>
      <c r="D192" s="288"/>
      <c r="E192" s="112"/>
    </row>
    <row r="193" spans="1:5" ht="13.5" customHeight="1">
      <c r="A193" s="109" t="s">
        <v>172</v>
      </c>
      <c r="B193" s="295">
        <f>$B36</f>
        <v>0</v>
      </c>
      <c r="C193" s="294"/>
      <c r="D193" s="294"/>
      <c r="E193" s="112"/>
    </row>
    <row r="194" spans="1:5" ht="7.5" customHeight="1">
      <c r="A194" s="112"/>
      <c r="B194" s="289"/>
      <c r="C194" s="288"/>
      <c r="D194" s="288"/>
      <c r="E194" s="112"/>
    </row>
    <row r="195" spans="1:5" ht="13.5" customHeight="1">
      <c r="A195" s="109" t="s">
        <v>107</v>
      </c>
      <c r="B195" s="294"/>
      <c r="C195" s="295">
        <f>$D36</f>
        <v>0</v>
      </c>
      <c r="D195" s="294"/>
      <c r="E195" s="112"/>
    </row>
    <row r="196" spans="1:5" ht="7.5" customHeight="1">
      <c r="A196" s="112"/>
      <c r="B196" s="288"/>
      <c r="C196" s="289"/>
      <c r="D196" s="288"/>
      <c r="E196" s="112"/>
    </row>
    <row r="197" spans="1:5" ht="13.5" customHeight="1">
      <c r="A197" s="109" t="s">
        <v>182</v>
      </c>
      <c r="B197" s="408">
        <f>IF(ISERROR($B191/$B193),0,$B191/$B193)</f>
        <v>0</v>
      </c>
      <c r="C197" s="408"/>
      <c r="D197" s="296"/>
      <c r="E197" s="112"/>
    </row>
    <row r="198" spans="1:5" ht="7.5" customHeight="1">
      <c r="A198" s="112"/>
      <c r="B198" s="409"/>
      <c r="C198" s="409"/>
      <c r="D198" s="291"/>
      <c r="E198" s="112"/>
    </row>
    <row r="199" spans="1:5" ht="12.75">
      <c r="A199" s="109" t="s">
        <v>181</v>
      </c>
      <c r="B199" s="410"/>
      <c r="C199" s="411">
        <f>IF(ISERROR($C191/$C195/12),0,$C191/$C195/12)</f>
        <v>0</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32" activePane="bottomLeft" state="frozen"/>
      <selection pane="topLeft" activeCell="A1" sqref="A1"/>
      <selection pane="bottomLeft" activeCell="B59" sqref="B59"/>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03" t="str">
        <f>"Name of Utility:      "&amp;'Info Sheet'!B4</f>
        <v>Name of Utility:      Festival Hydro Inc-Seaforth Residential Rates</v>
      </c>
      <c r="B3" s="504"/>
      <c r="C3" s="504"/>
      <c r="D3" s="461" t="str">
        <f>'Info Sheet'!$B$21</f>
        <v>2005.V1.1</v>
      </c>
      <c r="E3" s="26"/>
      <c r="F3" s="31"/>
      <c r="G3" s="31"/>
    </row>
    <row r="4" spans="1:7" ht="18">
      <c r="A4" s="304" t="str">
        <f>"License Number:   "&amp;'Info Sheet'!B6</f>
        <v>License Number:   ED-2002-0153</v>
      </c>
      <c r="B4" s="27"/>
      <c r="C4" s="397"/>
      <c r="D4" s="400" t="str">
        <f>'Info Sheet'!B8</f>
        <v>RP-2005-0013</v>
      </c>
      <c r="E4" s="26"/>
      <c r="F4" s="31"/>
      <c r="G4" s="31"/>
    </row>
    <row r="5" spans="1:7" ht="15.75">
      <c r="A5" s="500" t="str">
        <f>"Name of Contact:  "&amp;'Info Sheet'!B12</f>
        <v>Name of Contact:  Debbie Reece</v>
      </c>
      <c r="B5" s="501"/>
      <c r="C5" s="501"/>
      <c r="D5" s="400" t="str">
        <f>'Info Sheet'!B10</f>
        <v>EB-2005-0027</v>
      </c>
      <c r="E5" s="31"/>
      <c r="F5" s="31"/>
      <c r="G5" s="31"/>
    </row>
    <row r="6" spans="1:4" ht="18" customHeight="1">
      <c r="A6" s="505" t="str">
        <f>"E- Mail Address:    "&amp;'Info Sheet'!B14</f>
        <v>E- Mail Address:    dreece@festivalhydro.com</v>
      </c>
      <c r="B6" s="502"/>
      <c r="C6" s="502"/>
      <c r="D6" s="100"/>
    </row>
    <row r="7" spans="1:4" ht="15.75">
      <c r="A7" s="304" t="str">
        <f>"Phone Number:     "&amp;'Info Sheet'!B16</f>
        <v>Phone Number:     519-271-4703</v>
      </c>
      <c r="B7" s="502" t="str">
        <f>'Info Sheet'!$C$16&amp;" "&amp;'Info Sheet'!$D$16</f>
        <v>Extension: 268</v>
      </c>
      <c r="C7" s="502"/>
      <c r="D7" s="100"/>
    </row>
    <row r="8" spans="1:4" ht="16.5" thickBot="1">
      <c r="A8" s="510" t="str">
        <f>"Date:                      "&amp;('Info Sheet'!B18)</f>
        <v>Date:                      January 14, 2005</v>
      </c>
      <c r="B8" s="511"/>
      <c r="C8" s="511"/>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0.008875978059521802</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15.648077754677756</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hidden="1">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1">
      <selection activeCell="G15" sqref="G15"/>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503" t="str">
        <f>"Name of Utility:      "&amp;'Info Sheet'!B4</f>
        <v>Name of Utility:      Festival Hydro Inc-Seaforth Residential Rates</v>
      </c>
      <c r="B3" s="504"/>
      <c r="C3" s="504"/>
      <c r="D3" s="461" t="str">
        <f>'Info Sheet'!$B$21</f>
        <v>2005.V1.1</v>
      </c>
      <c r="E3" s="36"/>
      <c r="F3" s="116"/>
      <c r="G3" s="117"/>
    </row>
    <row r="4" spans="1:7" ht="18">
      <c r="A4" s="304" t="str">
        <f>"License Number:   "&amp;'Info Sheet'!B6</f>
        <v>License Number:   ED-2002-0153</v>
      </c>
      <c r="B4" s="462"/>
      <c r="C4" s="396"/>
      <c r="D4" s="400" t="str">
        <f>'Info Sheet'!B8</f>
        <v>RP-2005-0013</v>
      </c>
      <c r="E4" s="36"/>
      <c r="F4" s="116"/>
      <c r="G4" s="117"/>
    </row>
    <row r="5" spans="1:4" ht="15.75">
      <c r="A5" s="304" t="str">
        <f>"Name of Contact:  "&amp;'Info Sheet'!B12</f>
        <v>Name of Contact:  Debbie Reece</v>
      </c>
      <c r="B5" s="514" t="str">
        <f>'Info Sheet'!B10</f>
        <v>EB-2005-0027</v>
      </c>
      <c r="C5" s="514"/>
      <c r="D5" s="515"/>
    </row>
    <row r="6" spans="1:4" ht="15.75">
      <c r="A6" s="505" t="str">
        <f>"E- Mail Address:    "&amp;'Info Sheet'!B14</f>
        <v>E- Mail Address:    dreece@festivalhydro.com</v>
      </c>
      <c r="B6" s="502"/>
      <c r="C6" s="502"/>
      <c r="D6" s="466"/>
    </row>
    <row r="7" spans="1:4" ht="15.75">
      <c r="A7" s="304" t="str">
        <f>"Phone Number:     "&amp;'Info Sheet'!B16</f>
        <v>Phone Number:     519-271-4703</v>
      </c>
      <c r="B7" s="502" t="str">
        <f>'Info Sheet'!$C$16&amp;" "&amp;'Info Sheet'!$D$16</f>
        <v>Extension: 268</v>
      </c>
      <c r="C7" s="502"/>
      <c r="D7" s="466"/>
    </row>
    <row r="8" spans="1:4" ht="16.5" thickBot="1">
      <c r="A8" s="305" t="str">
        <f>"Date:                      "&amp;('Info Sheet'!B18)</f>
        <v>Date:                      January 14, 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9" t="s">
        <v>153</v>
      </c>
      <c r="B14" s="509"/>
      <c r="C14" s="509"/>
      <c r="D14" s="509"/>
      <c r="E14" s="34"/>
      <c r="F14" s="263"/>
      <c r="G14" s="264">
        <v>24557</v>
      </c>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v>8061625</v>
      </c>
      <c r="D22" s="266">
        <v>944</v>
      </c>
      <c r="E22" s="402">
        <v>266622.22</v>
      </c>
      <c r="F22" s="267">
        <f>IF(ISERROR(E22/E$31),"",E22/E$31)</f>
        <v>1</v>
      </c>
      <c r="G22" s="405">
        <f>IF(ISERROR($G$32*F22),0,$G$32*F22)</f>
        <v>24557</v>
      </c>
      <c r="H22" s="269"/>
    </row>
    <row r="23" spans="1:8" ht="12.75">
      <c r="A23" s="148" t="s">
        <v>77</v>
      </c>
      <c r="B23" s="266"/>
      <c r="C23" s="266"/>
      <c r="D23" s="266"/>
      <c r="E23" s="402"/>
      <c r="F23" s="267">
        <f aca="true" t="shared" si="0" ref="F23:F29">IF(ISERROR(E23/E$31),"",E23/E$31)</f>
        <v>0</v>
      </c>
      <c r="G23" s="405">
        <f aca="true" t="shared" si="1" ref="G23:G28">IF(ISERROR($G$32*F23),0,$G$32*F23)</f>
        <v>0</v>
      </c>
      <c r="H23" s="269"/>
    </row>
    <row r="24" spans="1:8" ht="12.75">
      <c r="A24" s="148" t="s">
        <v>78</v>
      </c>
      <c r="B24" s="266"/>
      <c r="C24" s="266"/>
      <c r="D24" s="266"/>
      <c r="E24" s="402"/>
      <c r="F24" s="267">
        <f t="shared" si="0"/>
        <v>0</v>
      </c>
      <c r="G24" s="405">
        <f t="shared" si="1"/>
        <v>0</v>
      </c>
      <c r="H24" s="269"/>
    </row>
    <row r="25" spans="1:8" ht="12.75">
      <c r="A25" s="148" t="s">
        <v>79</v>
      </c>
      <c r="B25" s="266"/>
      <c r="C25" s="266"/>
      <c r="D25" s="266"/>
      <c r="E25" s="402"/>
      <c r="F25" s="267">
        <f t="shared" si="0"/>
        <v>0</v>
      </c>
      <c r="G25" s="405">
        <f t="shared" si="1"/>
        <v>0</v>
      </c>
      <c r="H25" s="271"/>
    </row>
    <row r="26" spans="1:8" ht="12.75">
      <c r="A26" s="148" t="s">
        <v>162</v>
      </c>
      <c r="B26" s="266"/>
      <c r="C26" s="266"/>
      <c r="D26" s="266"/>
      <c r="E26" s="402"/>
      <c r="F26" s="267">
        <f t="shared" si="0"/>
        <v>0</v>
      </c>
      <c r="G26" s="405">
        <f t="shared" si="1"/>
        <v>0</v>
      </c>
      <c r="H26" s="271"/>
    </row>
    <row r="27" spans="1:8" ht="12.75">
      <c r="A27" s="148" t="s">
        <v>80</v>
      </c>
      <c r="B27" s="266"/>
      <c r="C27" s="266"/>
      <c r="D27" s="266"/>
      <c r="E27" s="402"/>
      <c r="F27" s="267">
        <f t="shared" si="0"/>
        <v>0</v>
      </c>
      <c r="G27" s="405">
        <f t="shared" si="1"/>
        <v>0</v>
      </c>
      <c r="H27" s="271"/>
    </row>
    <row r="28" spans="1:8" ht="12.75">
      <c r="A28" s="148" t="s">
        <v>81</v>
      </c>
      <c r="B28" s="266"/>
      <c r="C28" s="266"/>
      <c r="D28" s="266"/>
      <c r="E28" s="402"/>
      <c r="F28" s="267">
        <f t="shared" si="0"/>
        <v>0</v>
      </c>
      <c r="G28" s="405">
        <f t="shared" si="1"/>
        <v>0</v>
      </c>
      <c r="H28" s="269"/>
    </row>
    <row r="29" spans="1:8" ht="12.75">
      <c r="A29" s="148" t="s">
        <v>82</v>
      </c>
      <c r="B29" s="274"/>
      <c r="C29" s="274"/>
      <c r="D29" s="274"/>
      <c r="E29" s="413"/>
      <c r="F29" s="275">
        <f t="shared" si="0"/>
        <v>0</v>
      </c>
      <c r="G29" s="406">
        <f>IF(ISERROR($G$32*F29),0,$G$32*F29)</f>
        <v>0</v>
      </c>
      <c r="H29" s="272"/>
    </row>
    <row r="30" spans="1:8" ht="12.75">
      <c r="A30" s="148"/>
      <c r="B30" s="265"/>
      <c r="C30" s="276"/>
      <c r="D30" s="277"/>
      <c r="E30" s="265"/>
      <c r="F30" s="278"/>
      <c r="G30" s="268"/>
      <c r="H30" s="56"/>
    </row>
    <row r="31" spans="1:8" ht="12.75">
      <c r="A31" s="148" t="s">
        <v>16</v>
      </c>
      <c r="B31" s="488">
        <f>SUM(B24:B30)</f>
        <v>0</v>
      </c>
      <c r="C31" s="154">
        <f>SUM(C22:C29)</f>
        <v>8061625</v>
      </c>
      <c r="D31" s="154">
        <f>SUM(D22:D29)</f>
        <v>944</v>
      </c>
      <c r="E31" s="416">
        <f>SUM(E22:E29)</f>
        <v>266622.22</v>
      </c>
      <c r="F31" s="156">
        <f>SUM(F22:F29)</f>
        <v>1</v>
      </c>
      <c r="G31" s="414">
        <f>SUM(G22:G29)</f>
        <v>24557</v>
      </c>
      <c r="H31" s="56"/>
    </row>
    <row r="32" spans="1:8" ht="12.75">
      <c r="A32" s="86"/>
      <c r="B32" s="31"/>
      <c r="C32" s="512" t="s">
        <v>156</v>
      </c>
      <c r="D32" s="512"/>
      <c r="E32" s="512"/>
      <c r="F32" s="513"/>
      <c r="G32" s="415">
        <f>G14</f>
        <v>24557</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24557</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24557</v>
      </c>
      <c r="C46" s="407">
        <f>C44*D42</f>
        <v>0</v>
      </c>
      <c r="D46" s="407">
        <f>SUM(B46:C46)</f>
        <v>24557</v>
      </c>
      <c r="E46" s="112"/>
    </row>
    <row r="47" spans="1:5" ht="12.75">
      <c r="A47" s="112"/>
      <c r="B47" s="288"/>
      <c r="C47" s="288"/>
      <c r="D47" s="288"/>
      <c r="E47" s="112"/>
    </row>
    <row r="48" spans="1:5" ht="12.75">
      <c r="A48" s="109" t="s">
        <v>106</v>
      </c>
      <c r="B48" s="295">
        <f>$C22</f>
        <v>8061625</v>
      </c>
      <c r="C48" s="294"/>
      <c r="D48" s="294"/>
      <c r="E48" s="112"/>
    </row>
    <row r="49" spans="1:5" ht="12.75">
      <c r="A49" s="112"/>
      <c r="B49" s="289"/>
      <c r="C49" s="288"/>
      <c r="D49" s="288"/>
      <c r="E49" s="112"/>
    </row>
    <row r="50" spans="1:5" ht="12.75">
      <c r="A50" s="109" t="s">
        <v>187</v>
      </c>
      <c r="B50" s="417">
        <f>IF(ISERROR($B46/$B48),0,$B46/$B48)</f>
        <v>0.0030461600483773434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0</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0</v>
      </c>
      <c r="C63" s="407">
        <f>C61*D59</f>
        <v>0</v>
      </c>
      <c r="D63" s="407">
        <f>SUM(B63:C63)</f>
        <v>0</v>
      </c>
      <c r="E63" s="112"/>
    </row>
    <row r="64" spans="1:5" ht="12.75">
      <c r="A64" s="112"/>
      <c r="B64" s="288"/>
      <c r="C64" s="288"/>
      <c r="D64" s="288"/>
      <c r="E64" s="112"/>
    </row>
    <row r="65" spans="1:5" ht="12.75">
      <c r="A65" s="109" t="s">
        <v>106</v>
      </c>
      <c r="B65" s="295">
        <f>$C23</f>
        <v>0</v>
      </c>
      <c r="C65" s="294"/>
      <c r="D65" s="294"/>
      <c r="E65" s="112"/>
    </row>
    <row r="66" spans="1:5" ht="12.75">
      <c r="A66" s="112"/>
      <c r="B66" s="289"/>
      <c r="C66" s="288"/>
      <c r="D66" s="288"/>
      <c r="E66" s="112"/>
    </row>
    <row r="67" spans="1:5" ht="12.75">
      <c r="A67" s="109" t="s">
        <v>187</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0</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0</v>
      </c>
      <c r="C80" s="407">
        <f>C78*D76</f>
        <v>0</v>
      </c>
      <c r="D80" s="407">
        <f>SUM(B80:C80)</f>
        <v>0</v>
      </c>
      <c r="E80" s="112"/>
    </row>
    <row r="81" spans="1:5" ht="12.75">
      <c r="A81" s="112"/>
      <c r="B81" s="288"/>
      <c r="C81" s="288"/>
      <c r="D81" s="288"/>
      <c r="E81" s="112"/>
    </row>
    <row r="82" spans="1:5" ht="12.75">
      <c r="A82" s="109" t="s">
        <v>172</v>
      </c>
      <c r="B82" s="295">
        <f>$B24</f>
        <v>0</v>
      </c>
      <c r="C82" s="294"/>
      <c r="D82" s="294"/>
      <c r="E82" s="112"/>
    </row>
    <row r="83" spans="1:5" ht="12.75">
      <c r="A83" s="112"/>
      <c r="B83" s="289"/>
      <c r="C83" s="288"/>
      <c r="D83" s="288"/>
      <c r="E83" s="112"/>
    </row>
    <row r="84" spans="1:5" ht="12.75">
      <c r="A84" s="109" t="s">
        <v>188</v>
      </c>
      <c r="B84" s="417">
        <f>IF(ISERROR($B80/$B82),0,$B80/$B82)</f>
        <v>0</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0</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0</v>
      </c>
      <c r="C148" s="407">
        <f>C146*D144</f>
        <v>0</v>
      </c>
      <c r="D148" s="407">
        <f>SUM(B148:C148)</f>
        <v>0</v>
      </c>
      <c r="E148" s="112"/>
    </row>
    <row r="149" spans="1:5" ht="12.75">
      <c r="A149" s="112"/>
      <c r="B149" s="288"/>
      <c r="C149" s="288"/>
      <c r="D149" s="288"/>
      <c r="E149" s="112"/>
    </row>
    <row r="150" spans="1:5" ht="12.75">
      <c r="A150" s="109" t="s">
        <v>172</v>
      </c>
      <c r="B150" s="295">
        <f>$B28</f>
        <v>0</v>
      </c>
      <c r="C150" s="294"/>
      <c r="D150" s="294"/>
      <c r="E150" s="112"/>
    </row>
    <row r="151" spans="1:5" ht="12.75">
      <c r="A151" s="112"/>
      <c r="B151" s="289"/>
      <c r="C151" s="288"/>
      <c r="D151" s="288"/>
      <c r="E151" s="112"/>
    </row>
    <row r="152" spans="1:5" ht="12.75">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0</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0</v>
      </c>
      <c r="C165" s="407">
        <f>C163*D161</f>
        <v>0</v>
      </c>
      <c r="D165" s="407">
        <f>SUM(B165:C165)</f>
        <v>0</v>
      </c>
      <c r="E165" s="112"/>
    </row>
    <row r="166" spans="1:5" ht="12.75">
      <c r="A166" s="112"/>
      <c r="B166" s="288"/>
      <c r="C166" s="288"/>
      <c r="D166" s="288"/>
      <c r="E166" s="112"/>
    </row>
    <row r="167" spans="1:5" ht="12.75">
      <c r="A167" s="109" t="s">
        <v>172</v>
      </c>
      <c r="B167" s="295">
        <f>$B29</f>
        <v>0</v>
      </c>
      <c r="C167" s="294"/>
      <c r="D167" s="294"/>
      <c r="E167" s="112"/>
    </row>
    <row r="168" spans="1:5" ht="12.75">
      <c r="A168" s="112"/>
      <c r="B168" s="289"/>
      <c r="C168" s="288"/>
      <c r="D168" s="288"/>
      <c r="E168" s="112"/>
    </row>
    <row r="169" spans="1:5" ht="12.75">
      <c r="A169" s="109" t="s">
        <v>188</v>
      </c>
      <c r="B169" s="417">
        <f>IF(ISERROR($B165/$B167),0,$B165/$B167)</f>
        <v>0</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8"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10">
      <selection activeCell="A10" sqref="A10"/>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03" t="str">
        <f>"Name of Utility:      "&amp;'Info Sheet'!B4</f>
        <v>Name of Utility:      Festival Hydro Inc-Seaforth Residential Rates</v>
      </c>
      <c r="B3" s="504"/>
      <c r="C3" s="504"/>
      <c r="D3" s="461" t="str">
        <f>'Info Sheet'!$B$21</f>
        <v>2005.V1.1</v>
      </c>
      <c r="E3" s="36"/>
    </row>
    <row r="4" spans="1:5" ht="18">
      <c r="A4" s="304" t="str">
        <f>"License Number:   "&amp;'Info Sheet'!B6</f>
        <v>License Number:   ED-2002-0153</v>
      </c>
      <c r="B4" s="27"/>
      <c r="C4" s="397"/>
      <c r="D4" s="400" t="str">
        <f>'Info Sheet'!B8</f>
        <v>RP-2005-0013</v>
      </c>
      <c r="E4" s="36"/>
    </row>
    <row r="5" spans="1:4" ht="15.75">
      <c r="A5" s="500" t="str">
        <f>"Name of Contact:  "&amp;'Info Sheet'!B12</f>
        <v>Name of Contact:  Debbie Reece</v>
      </c>
      <c r="B5" s="501"/>
      <c r="C5" s="501"/>
      <c r="D5" s="400" t="str">
        <f>'Info Sheet'!B10</f>
        <v>EB-2005-0027</v>
      </c>
    </row>
    <row r="6" spans="1:4" ht="18" customHeight="1">
      <c r="A6" s="505" t="str">
        <f>"E- Mail Address:    "&amp;'Info Sheet'!B14</f>
        <v>E- Mail Address:    dreece@festivalhydro.com</v>
      </c>
      <c r="B6" s="502"/>
      <c r="C6" s="502"/>
      <c r="D6" s="100"/>
    </row>
    <row r="7" spans="1:4" ht="15.75">
      <c r="A7" s="304" t="str">
        <f>"Phone Number:     "&amp;'Info Sheet'!B16</f>
        <v>Phone Number:     519-271-4703</v>
      </c>
      <c r="B7" s="502" t="str">
        <f>'Info Sheet'!$C$16&amp;" "&amp;'Info Sheet'!$D$16</f>
        <v>Extension: 268</v>
      </c>
      <c r="C7" s="502"/>
      <c r="D7" s="100"/>
    </row>
    <row r="8" spans="1:4" ht="16.5" thickBot="1">
      <c r="A8" s="510" t="str">
        <f>"Date:                      "&amp;('Info Sheet'!B18)</f>
        <v>Date:                      January 14, 2005</v>
      </c>
      <c r="B8" s="511"/>
      <c r="C8" s="511"/>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0.011922138107899145</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15.648077754677756</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6" t="s">
        <v>3</v>
      </c>
      <c r="B21" s="516"/>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6" t="s">
        <v>4</v>
      </c>
      <c r="B28" s="516"/>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6" t="s">
        <v>5</v>
      </c>
      <c r="B35" s="516"/>
      <c r="C35" s="516"/>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c>
      <c r="C37" s="15"/>
      <c r="D37" s="49"/>
      <c r="E37" s="15"/>
      <c r="F37" s="15"/>
      <c r="G37" s="15"/>
    </row>
    <row r="38" spans="2:7" ht="12.75">
      <c r="B38" s="15"/>
      <c r="C38" s="15"/>
      <c r="D38" s="49"/>
      <c r="E38" s="15"/>
      <c r="F38" s="15"/>
      <c r="G38" s="15"/>
    </row>
    <row r="39" spans="1:7" ht="12.75">
      <c r="A39" s="9" t="s">
        <v>23</v>
      </c>
      <c r="B39" s="49">
        <f>IF('3. 2005 Base Rate Schedule'!B37="","",'3. 2005 Base Rate Schedule'!B37)</f>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c>
      <c r="C65" s="15"/>
      <c r="D65" s="49"/>
      <c r="E65" s="15"/>
      <c r="F65" s="15"/>
      <c r="G65" s="15"/>
    </row>
    <row r="66" spans="2:7" ht="12.75">
      <c r="B66" s="15"/>
      <c r="C66" s="15"/>
      <c r="D66" s="49"/>
      <c r="E66" s="15"/>
      <c r="F66" s="15"/>
      <c r="G66" s="15"/>
    </row>
    <row r="67" spans="1:7" ht="12.75">
      <c r="A67" s="9" t="s">
        <v>24</v>
      </c>
      <c r="B67" s="49">
        <f>IF('3. 2005 Base Rate Schedule'!B65="","",'3. 2005 Base Rate Schedule'!B65)</f>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c>
      <c r="C80" s="15"/>
      <c r="D80" s="49"/>
      <c r="E80" s="15"/>
      <c r="F80" s="15"/>
      <c r="G80" s="15"/>
    </row>
    <row r="81" spans="2:7" ht="12.75">
      <c r="B81" s="15"/>
      <c r="C81" s="15"/>
      <c r="D81" s="49"/>
      <c r="E81" s="15"/>
      <c r="F81" s="15"/>
      <c r="G81" s="15"/>
    </row>
    <row r="82" spans="1:7" ht="12.75">
      <c r="A82" s="9" t="s">
        <v>24</v>
      </c>
      <c r="B82" s="49">
        <f>IF('3. 2005 Base Rate Schedule'!B80="","",'3. 2005 Base Rate Schedule'!B80)</f>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zoomScalePageLayoutView="0" workbookViewId="0" topLeftCell="A1">
      <pane ySplit="1" topLeftCell="A23" activePane="bottomLeft" state="frozen"/>
      <selection pane="topLeft" activeCell="H27" sqref="H27"/>
      <selection pane="bottomLeft" activeCell="D64" sqref="D64"/>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160</v>
      </c>
      <c r="B1" s="35"/>
      <c r="C1" s="35"/>
      <c r="D1" s="10"/>
    </row>
    <row r="2" ht="13.5" thickBot="1"/>
    <row r="3" spans="1:3" ht="15.75">
      <c r="A3" s="503" t="str">
        <f>"Name of Utility:      "&amp;'Info Sheet'!B4</f>
        <v>Name of Utility:      Festival Hydro Inc-Seaforth Residential Rates</v>
      </c>
      <c r="B3" s="504"/>
      <c r="C3" s="461" t="str">
        <f>'Info Sheet'!$B$21</f>
        <v>2005.V1.1</v>
      </c>
    </row>
    <row r="4" spans="1:3" ht="15.75">
      <c r="A4" s="304" t="str">
        <f>"License Number:   "&amp;'Info Sheet'!B6</f>
        <v>License Number:   ED-2002-0153</v>
      </c>
      <c r="B4" s="462"/>
      <c r="C4" s="400" t="str">
        <f>'Info Sheet'!B8</f>
        <v>RP-2005-0013</v>
      </c>
    </row>
    <row r="5" spans="1:3" ht="18" customHeight="1">
      <c r="A5" s="500" t="str">
        <f>"Name of Contact:  "&amp;'Info Sheet'!B12</f>
        <v>Name of Contact:  Debbie Reece</v>
      </c>
      <c r="B5" s="501"/>
      <c r="C5" s="400" t="str">
        <f>'Info Sheet'!B10</f>
        <v>EB-2005-0027</v>
      </c>
    </row>
    <row r="6" spans="1:3" ht="15.75">
      <c r="A6" s="505" t="str">
        <f>"E- Mail Address:    "&amp;'Info Sheet'!B14</f>
        <v>E- Mail Address:    dreece@festivalhydro.com</v>
      </c>
      <c r="B6" s="502"/>
      <c r="C6" s="466"/>
    </row>
    <row r="7" spans="1:4" ht="20.25">
      <c r="A7" s="304" t="str">
        <f>"Phone Number:     "&amp;'Info Sheet'!B16</f>
        <v>Phone Number:     519-271-4703</v>
      </c>
      <c r="B7" s="502" t="str">
        <f>'Info Sheet'!$C$16&amp;" "&amp;'Info Sheet'!$D$16</f>
        <v>Extension: 268</v>
      </c>
      <c r="C7" s="524"/>
      <c r="D7" s="13"/>
    </row>
    <row r="8" spans="1:4" ht="21" thickBot="1">
      <c r="A8" s="510" t="str">
        <f>"Date:                      "&amp;('Info Sheet'!B18)</f>
        <v>Date:                      January 14, 2005</v>
      </c>
      <c r="B8" s="511"/>
      <c r="C8" s="469"/>
      <c r="D8" s="13"/>
    </row>
    <row r="9" spans="2:4" ht="12" customHeight="1">
      <c r="B9" s="29"/>
      <c r="C9" s="27"/>
      <c r="D9" s="13"/>
    </row>
    <row r="10" spans="1:4" ht="64.5" customHeight="1">
      <c r="A10" s="523" t="s">
        <v>222</v>
      </c>
      <c r="B10" s="523"/>
      <c r="C10" s="523"/>
      <c r="D10" s="523"/>
    </row>
    <row r="11" spans="1:4" ht="13.5" customHeight="1">
      <c r="A11" s="38"/>
      <c r="B11" s="39"/>
      <c r="C11" s="40"/>
      <c r="D11" s="525" t="s">
        <v>169</v>
      </c>
    </row>
    <row r="12" spans="1:4" ht="15" customHeight="1">
      <c r="A12" s="527" t="s">
        <v>38</v>
      </c>
      <c r="B12" s="525" t="s">
        <v>64</v>
      </c>
      <c r="C12" s="40" t="s">
        <v>174</v>
      </c>
      <c r="D12" s="525"/>
    </row>
    <row r="13" spans="1:4" ht="15" customHeight="1">
      <c r="A13" s="528"/>
      <c r="B13" s="526"/>
      <c r="C13" s="41"/>
      <c r="D13" s="526"/>
    </row>
    <row r="14" spans="1:5" ht="14.25" customHeight="1">
      <c r="A14" s="42"/>
      <c r="C14" s="43"/>
      <c r="E14" s="15"/>
    </row>
    <row r="15" spans="1:5" ht="7.5" customHeight="1" thickBot="1">
      <c r="A15" s="11"/>
      <c r="B15" s="17"/>
      <c r="C15" s="17"/>
      <c r="D15" s="44"/>
      <c r="E15" s="15"/>
    </row>
    <row r="16" spans="1:5" ht="15">
      <c r="A16" s="324" t="s">
        <v>39</v>
      </c>
      <c r="B16" s="325">
        <v>1580</v>
      </c>
      <c r="C16" s="326"/>
      <c r="D16" s="327">
        <v>0</v>
      </c>
      <c r="E16" s="15"/>
    </row>
    <row r="17" spans="1:5" ht="15">
      <c r="A17" s="328" t="s">
        <v>43</v>
      </c>
      <c r="B17" s="58">
        <v>1582</v>
      </c>
      <c r="C17" s="59"/>
      <c r="D17" s="329">
        <v>0</v>
      </c>
      <c r="E17" s="15"/>
    </row>
    <row r="18" spans="1:5" ht="15">
      <c r="A18" s="328" t="s">
        <v>40</v>
      </c>
      <c r="B18" s="58">
        <v>1584</v>
      </c>
      <c r="C18" s="59"/>
      <c r="D18" s="329">
        <v>0</v>
      </c>
      <c r="E18" s="15"/>
    </row>
    <row r="19" spans="1:5" ht="15">
      <c r="A19" s="328" t="s">
        <v>41</v>
      </c>
      <c r="B19" s="58">
        <v>1586</v>
      </c>
      <c r="C19" s="59"/>
      <c r="D19" s="329">
        <v>0</v>
      </c>
      <c r="E19" s="15"/>
    </row>
    <row r="20" spans="1:5" ht="15">
      <c r="A20" s="328" t="s">
        <v>42</v>
      </c>
      <c r="B20" s="58">
        <v>1588</v>
      </c>
      <c r="C20" s="59"/>
      <c r="D20" s="329">
        <v>0</v>
      </c>
      <c r="E20" s="15"/>
    </row>
    <row r="21" spans="1:5" ht="15">
      <c r="A21" s="330" t="s">
        <v>132</v>
      </c>
      <c r="B21" s="331"/>
      <c r="C21" s="332"/>
      <c r="D21" s="333">
        <f>SUM(D16:D20)</f>
        <v>0</v>
      </c>
      <c r="E21" s="15"/>
    </row>
    <row r="22" spans="1:5" ht="15">
      <c r="A22" s="101"/>
      <c r="B22" s="322"/>
      <c r="C22" s="21"/>
      <c r="D22" s="87"/>
      <c r="E22" s="15"/>
    </row>
    <row r="23" spans="1:5" ht="15">
      <c r="A23" s="519" t="s">
        <v>209</v>
      </c>
      <c r="B23" s="509"/>
      <c r="C23" s="509"/>
      <c r="D23" s="329">
        <v>0</v>
      </c>
      <c r="E23" s="15"/>
    </row>
    <row r="24" spans="1:5" ht="15">
      <c r="A24" s="101"/>
      <c r="B24" s="322"/>
      <c r="C24" s="21"/>
      <c r="D24" s="87"/>
      <c r="E24" s="15"/>
    </row>
    <row r="25" spans="1:5" ht="15.75" thickBot="1">
      <c r="A25" s="334" t="s">
        <v>134</v>
      </c>
      <c r="B25" s="335"/>
      <c r="C25" s="336"/>
      <c r="D25" s="337">
        <f>D21-D23</f>
        <v>0</v>
      </c>
      <c r="E25" s="15"/>
    </row>
    <row r="26" ht="13.5" thickBot="1"/>
    <row r="27" spans="1:5" ht="15">
      <c r="A27" s="324" t="s">
        <v>44</v>
      </c>
      <c r="B27" s="325">
        <v>1508</v>
      </c>
      <c r="C27" s="326"/>
      <c r="D27" s="327"/>
      <c r="E27" s="15"/>
    </row>
    <row r="28" spans="1:5" ht="15">
      <c r="A28" s="338" t="s">
        <v>45</v>
      </c>
      <c r="B28" s="60">
        <v>1518</v>
      </c>
      <c r="C28" s="61"/>
      <c r="D28" s="339">
        <v>0</v>
      </c>
      <c r="E28" s="15"/>
    </row>
    <row r="29" spans="1:5" ht="15">
      <c r="A29" s="338" t="s">
        <v>46</v>
      </c>
      <c r="B29" s="60">
        <v>1548</v>
      </c>
      <c r="C29" s="62"/>
      <c r="D29" s="339">
        <v>0</v>
      </c>
      <c r="E29" s="15"/>
    </row>
    <row r="30" spans="1:5" ht="15">
      <c r="A30" s="338" t="s">
        <v>47</v>
      </c>
      <c r="B30" s="60">
        <v>1525</v>
      </c>
      <c r="C30" s="61"/>
      <c r="D30" s="339">
        <v>0</v>
      </c>
      <c r="E30" s="15"/>
    </row>
    <row r="31" spans="1:5" ht="15">
      <c r="A31" s="338" t="s">
        <v>48</v>
      </c>
      <c r="B31" s="60">
        <v>1562</v>
      </c>
      <c r="C31" s="61"/>
      <c r="D31" s="339">
        <v>0</v>
      </c>
      <c r="E31" s="15"/>
    </row>
    <row r="32" spans="1:5" ht="15">
      <c r="A32" s="340" t="s">
        <v>61</v>
      </c>
      <c r="B32" s="60">
        <v>1563</v>
      </c>
      <c r="C32" s="61"/>
      <c r="D32" s="339">
        <v>0</v>
      </c>
      <c r="E32" s="15"/>
    </row>
    <row r="33" spans="1:5" ht="15">
      <c r="A33" s="338" t="s">
        <v>49</v>
      </c>
      <c r="B33" s="60">
        <v>1570</v>
      </c>
      <c r="C33" s="61"/>
      <c r="D33" s="339">
        <v>0</v>
      </c>
      <c r="E33" s="15"/>
    </row>
    <row r="34" spans="1:5" ht="15">
      <c r="A34" s="338" t="s">
        <v>58</v>
      </c>
      <c r="B34" s="60">
        <v>1571</v>
      </c>
      <c r="C34" s="61"/>
      <c r="D34" s="339">
        <v>0</v>
      </c>
      <c r="E34" s="15"/>
    </row>
    <row r="35" spans="1:5" ht="15">
      <c r="A35" s="338" t="s">
        <v>50</v>
      </c>
      <c r="B35" s="60">
        <v>1572</v>
      </c>
      <c r="C35" s="61"/>
      <c r="D35" s="339"/>
      <c r="E35" s="15"/>
    </row>
    <row r="36" spans="1:5" ht="15">
      <c r="A36" s="338" t="s">
        <v>51</v>
      </c>
      <c r="B36" s="60">
        <v>1574</v>
      </c>
      <c r="C36" s="63"/>
      <c r="D36" s="341"/>
      <c r="E36" s="15"/>
    </row>
    <row r="37" spans="1:5" ht="15">
      <c r="A37" s="338" t="s">
        <v>52</v>
      </c>
      <c r="B37" s="60">
        <v>2425</v>
      </c>
      <c r="C37" s="63"/>
      <c r="D37" s="341"/>
      <c r="E37" s="15"/>
    </row>
    <row r="38" spans="1:5" ht="15">
      <c r="A38" s="330" t="s">
        <v>133</v>
      </c>
      <c r="B38" s="331"/>
      <c r="C38" s="332"/>
      <c r="D38" s="333">
        <f>SUM(D27:D37)</f>
        <v>0</v>
      </c>
      <c r="E38" s="15"/>
    </row>
    <row r="39" spans="1:5" ht="15">
      <c r="A39" s="92"/>
      <c r="B39" s="322"/>
      <c r="C39" s="70"/>
      <c r="D39" s="342"/>
      <c r="E39" s="15"/>
    </row>
    <row r="40" spans="1:5" ht="15">
      <c r="A40" s="519" t="s">
        <v>210</v>
      </c>
      <c r="B40" s="509"/>
      <c r="C40" s="509"/>
      <c r="D40" s="329">
        <v>0</v>
      </c>
      <c r="E40" s="15"/>
    </row>
    <row r="41" spans="1:5" ht="15">
      <c r="A41" s="101"/>
      <c r="B41" s="322"/>
      <c r="C41" s="21"/>
      <c r="D41" s="87"/>
      <c r="E41" s="15"/>
    </row>
    <row r="42" spans="1:5" ht="15.75" thickBot="1">
      <c r="A42" s="334" t="s">
        <v>135</v>
      </c>
      <c r="B42" s="335"/>
      <c r="C42" s="336"/>
      <c r="D42" s="337">
        <f>D38-D40</f>
        <v>0</v>
      </c>
      <c r="E42" s="15"/>
    </row>
    <row r="43" spans="1:5" ht="15.75" thickBot="1">
      <c r="A43" s="258"/>
      <c r="B43" s="322"/>
      <c r="C43" s="21"/>
      <c r="D43" s="323"/>
      <c r="E43" s="15"/>
    </row>
    <row r="44" spans="1:5" ht="15.75" thickBot="1">
      <c r="A44" s="64" t="s">
        <v>127</v>
      </c>
      <c r="B44" s="65"/>
      <c r="C44" s="77"/>
      <c r="D44" s="66">
        <f>D25+D42</f>
        <v>0</v>
      </c>
      <c r="E44" s="15"/>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0</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0">
        <f>IF(D47&gt;D25,"---------------------------------------- Please go to Section 2 ----------------------------------------",IF(D47&lt;D25,"---------------------------------------- Please go to Section 1 ----------------------------------------",""))</f>
      </c>
      <c r="B51" s="520"/>
      <c r="C51" s="520"/>
      <c r="D51" s="520"/>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21" t="s">
        <v>138</v>
      </c>
      <c r="B57" s="522"/>
      <c r="C57" s="73" t="s">
        <v>59</v>
      </c>
      <c r="D57" s="102" t="str">
        <f>IF(D47&lt;D25,D25,"N/A")</f>
        <v>N/A</v>
      </c>
      <c r="E57" s="15"/>
    </row>
    <row r="58" spans="1:6" ht="15">
      <c r="A58" s="88"/>
      <c r="B58" s="21"/>
      <c r="C58" s="21"/>
      <c r="D58" s="87"/>
      <c r="E58" s="15"/>
      <c r="F58" s="22"/>
    </row>
    <row r="59" spans="1:6" ht="15">
      <c r="A59" s="519" t="s">
        <v>128</v>
      </c>
      <c r="B59" s="509"/>
      <c r="C59" s="73" t="s">
        <v>60</v>
      </c>
      <c r="D59" s="102" t="str">
        <f>IF(D47&lt;D25,D47,"N/A")</f>
        <v>N/A</v>
      </c>
      <c r="E59" s="15"/>
      <c r="F59" s="21"/>
    </row>
    <row r="60" spans="1:6" ht="15" thickBot="1">
      <c r="A60" s="92"/>
      <c r="B60" s="21"/>
      <c r="C60" s="21"/>
      <c r="D60" s="99"/>
      <c r="E60" s="15"/>
      <c r="F60" s="11"/>
    </row>
    <row r="61" spans="1:6" ht="15.75" thickBot="1">
      <c r="A61" s="88" t="s">
        <v>142</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5" ht="15">
      <c r="A70" s="521" t="s">
        <v>139</v>
      </c>
      <c r="B70" s="522"/>
      <c r="C70" s="73"/>
      <c r="D70" s="102" t="str">
        <f>IF(D47&gt;D25,D47,"N/A")</f>
        <v>N/A</v>
      </c>
      <c r="E70" s="15"/>
    </row>
    <row r="71" spans="1:5" ht="15">
      <c r="A71" s="88"/>
      <c r="B71" s="21"/>
      <c r="C71" s="74"/>
      <c r="D71" s="90"/>
      <c r="E71" s="15"/>
    </row>
    <row r="72" spans="1:5" ht="15">
      <c r="A72" s="519" t="s">
        <v>138</v>
      </c>
      <c r="B72" s="509"/>
      <c r="C72" s="73"/>
      <c r="D72" s="103" t="str">
        <f>IF(D47&gt;D25,D25,"N/A")</f>
        <v>N/A</v>
      </c>
      <c r="E72" s="15"/>
    </row>
    <row r="73" spans="1:6" ht="15">
      <c r="A73" s="88"/>
      <c r="B73" s="21"/>
      <c r="C73" s="74"/>
      <c r="D73" s="91"/>
      <c r="E73" s="15"/>
      <c r="F73" s="21"/>
    </row>
    <row r="74" spans="1:6" ht="15">
      <c r="A74" s="519" t="s">
        <v>141</v>
      </c>
      <c r="B74" s="509"/>
      <c r="C74" s="75"/>
      <c r="D74" s="103" t="str">
        <f>IF(D47&gt;D25,D72,"N/A")</f>
        <v>N/A</v>
      </c>
      <c r="E74" s="15"/>
      <c r="F74" s="11"/>
    </row>
    <row r="75" spans="1:5" ht="14.25">
      <c r="A75" s="92"/>
      <c r="B75" s="21"/>
      <c r="C75" s="74"/>
      <c r="D75" s="93"/>
      <c r="E75" s="15"/>
    </row>
    <row r="76" spans="1:5" ht="15">
      <c r="A76" s="519" t="s">
        <v>140</v>
      </c>
      <c r="B76" s="509"/>
      <c r="C76" s="76"/>
      <c r="D76" s="103" t="str">
        <f>IF(D47&gt;D25,D70-D74,"N/A")</f>
        <v>N/A</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17" t="s">
        <v>71</v>
      </c>
      <c r="B83" s="517"/>
      <c r="C83" s="19"/>
      <c r="D83" s="80"/>
      <c r="E83" s="15"/>
    </row>
    <row r="84" spans="1:5" ht="21" customHeight="1">
      <c r="A84" s="518"/>
      <c r="B84" s="518"/>
      <c r="C84" s="23"/>
      <c r="D84" s="51"/>
      <c r="E84" s="15"/>
    </row>
    <row r="85" spans="2:5" ht="12.75">
      <c r="B85" s="49"/>
      <c r="C85" s="15"/>
      <c r="D85" s="49"/>
      <c r="E85" s="15"/>
    </row>
    <row r="86" spans="2:5" ht="12.75">
      <c r="B86" s="15"/>
      <c r="C86" s="15"/>
      <c r="D86" s="49"/>
      <c r="E86" s="15"/>
    </row>
    <row r="87" spans="1:5" ht="23.25" customHeight="1">
      <c r="A87" s="517" t="s">
        <v>72</v>
      </c>
      <c r="B87" s="517"/>
      <c r="C87" s="19"/>
      <c r="D87" s="80"/>
      <c r="E87" s="15"/>
    </row>
    <row r="88" spans="1:5" ht="24.75" customHeight="1">
      <c r="A88" s="518"/>
      <c r="B88" s="518"/>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7:B57"/>
    <mergeCell ref="A70:B70"/>
    <mergeCell ref="A59:B59"/>
    <mergeCell ref="A10:D10"/>
    <mergeCell ref="B7:C7"/>
    <mergeCell ref="A23:C23"/>
    <mergeCell ref="A40:C40"/>
    <mergeCell ref="D11:D13"/>
    <mergeCell ref="B12:B13"/>
    <mergeCell ref="A12:A13"/>
    <mergeCell ref="A5:B5"/>
    <mergeCell ref="A3:B3"/>
    <mergeCell ref="A6:B6"/>
    <mergeCell ref="A8:B8"/>
    <mergeCell ref="A83:B84"/>
    <mergeCell ref="A87:B88"/>
    <mergeCell ref="A72:B72"/>
    <mergeCell ref="A74:B74"/>
    <mergeCell ref="A76:B76"/>
    <mergeCell ref="A51:D51"/>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A29">
      <selection activeCell="B50" sqref="B50"/>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503" t="str">
        <f>"Name of Utility:      "&amp;'Info Sheet'!B4</f>
        <v>Name of Utility:      Festival Hydro Inc-Seaforth Residential Rates</v>
      </c>
      <c r="B3" s="504"/>
      <c r="C3" s="504"/>
      <c r="D3" s="461" t="str">
        <f>'Info Sheet'!$B$21</f>
        <v>2005.V1.1</v>
      </c>
      <c r="E3" s="36"/>
      <c r="F3" s="116"/>
      <c r="G3" s="117"/>
    </row>
    <row r="4" spans="1:7" ht="18">
      <c r="A4" s="304" t="str">
        <f>"License Number:   "&amp;'Info Sheet'!B6</f>
        <v>License Number:   ED-2002-0153</v>
      </c>
      <c r="B4" s="462"/>
      <c r="C4" s="396"/>
      <c r="D4" s="400" t="str">
        <f>'Info Sheet'!B8</f>
        <v>RP-2005-0013</v>
      </c>
      <c r="E4" s="36"/>
      <c r="F4" s="116"/>
      <c r="G4" s="117"/>
    </row>
    <row r="5" spans="1:4" ht="15.75">
      <c r="A5" s="500" t="str">
        <f>"Name of Contact:  "&amp;'Info Sheet'!B12</f>
        <v>Name of Contact:  Debbie Reece</v>
      </c>
      <c r="B5" s="501"/>
      <c r="C5" s="468"/>
      <c r="D5" s="400" t="str">
        <f>'Info Sheet'!B10</f>
        <v>EB-2005-0027</v>
      </c>
    </row>
    <row r="6" spans="1:4" ht="15.75">
      <c r="A6" s="505" t="str">
        <f>"E- Mail Address:    "&amp;'Info Sheet'!B14</f>
        <v>E- Mail Address:    dreece@festivalhydro.com</v>
      </c>
      <c r="B6" s="502"/>
      <c r="C6" s="502"/>
      <c r="D6" s="466"/>
    </row>
    <row r="7" spans="1:4" ht="15.75">
      <c r="A7" s="304" t="str">
        <f>"Phone Number:     "&amp;'Info Sheet'!B16</f>
        <v>Phone Number:     519-271-4703</v>
      </c>
      <c r="B7" s="502" t="str">
        <f>'Info Sheet'!$C$16&amp;" "&amp;'Info Sheet'!$D$16</f>
        <v>Extension: 268</v>
      </c>
      <c r="C7" s="502"/>
      <c r="D7" s="466"/>
    </row>
    <row r="8" spans="1:4" ht="16.5" thickBot="1">
      <c r="A8" s="305" t="str">
        <f>"Date:                      "&amp;('Info Sheet'!B18)</f>
        <v>Date:                      January 14,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9" t="s">
        <v>124</v>
      </c>
      <c r="B14" s="509"/>
      <c r="C14" s="509"/>
      <c r="D14" s="509"/>
      <c r="E14" s="34"/>
      <c r="F14" s="139"/>
      <c r="G14" s="389">
        <v>-1707</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8061625</v>
      </c>
      <c r="D22" s="124">
        <f>'4. 2003 Data &amp; 2005 PILs'!D22</f>
        <v>944</v>
      </c>
      <c r="E22" s="383">
        <f>'4. 2003 Data &amp; 2005 PILs'!E22</f>
        <v>266622.22</v>
      </c>
      <c r="F22" s="145">
        <f>IF(ISERROR(C22/C$31),"",C22/C$31)</f>
        <v>1</v>
      </c>
      <c r="G22" s="421">
        <f>IF(ISERROR($G$32*F22),0,$G$32*F22)</f>
        <v>-1707</v>
      </c>
      <c r="H22" s="125"/>
    </row>
    <row r="23" spans="1:8" ht="12.75">
      <c r="A23" s="148" t="s">
        <v>77</v>
      </c>
      <c r="B23" s="124">
        <f>'4. 2003 Data &amp; 2005 PILs'!B23</f>
        <v>0</v>
      </c>
      <c r="C23" s="124">
        <f>'4. 2003 Data &amp; 2005 PILs'!C23</f>
        <v>0</v>
      </c>
      <c r="D23" s="124">
        <f>'4. 2003 Data &amp; 2005 PILs'!D23</f>
        <v>0</v>
      </c>
      <c r="E23" s="383">
        <f>'4. 2003 Data &amp; 2005 PILs'!E23</f>
        <v>0</v>
      </c>
      <c r="F23" s="145">
        <f aca="true" t="shared" si="0" ref="F23:F29">IF(ISERROR(C23/C$31),"",C23/C$31)</f>
        <v>0</v>
      </c>
      <c r="G23" s="421">
        <f aca="true" t="shared" si="1" ref="G23:G29">IF(ISERROR($G$32*F23),0,$G$32*F23)</f>
        <v>0</v>
      </c>
      <c r="H23" s="125"/>
    </row>
    <row r="24" spans="1:8" ht="12.75">
      <c r="A24" s="148" t="s">
        <v>78</v>
      </c>
      <c r="B24" s="124">
        <f>'4. 2003 Data &amp; 2005 PILs'!B24</f>
        <v>0</v>
      </c>
      <c r="C24" s="124">
        <f>'4. 2003 Data &amp; 2005 PILs'!C24</f>
        <v>0</v>
      </c>
      <c r="D24" s="124">
        <f>'4. 2003 Data &amp; 2005 PILs'!D24</f>
        <v>0</v>
      </c>
      <c r="E24" s="383">
        <f>'4. 2003 Data &amp; 2005 PILs'!E24</f>
        <v>0</v>
      </c>
      <c r="F24" s="145">
        <f t="shared" si="0"/>
        <v>0</v>
      </c>
      <c r="G24" s="421">
        <f t="shared" si="1"/>
        <v>0</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0</v>
      </c>
      <c r="C28" s="124">
        <f>'4. 2003 Data &amp; 2005 PILs'!C28</f>
        <v>0</v>
      </c>
      <c r="D28" s="124">
        <f>'4. 2003 Data &amp; 2005 PILs'!D28</f>
        <v>0</v>
      </c>
      <c r="E28" s="383">
        <f>'4. 2003 Data &amp; 2005 PILs'!E28</f>
        <v>0</v>
      </c>
      <c r="F28" s="145">
        <f t="shared" si="0"/>
        <v>0</v>
      </c>
      <c r="G28" s="421">
        <f t="shared" si="1"/>
        <v>0</v>
      </c>
      <c r="H28" s="125"/>
    </row>
    <row r="29" spans="1:8" ht="12.75">
      <c r="A29" s="148" t="s">
        <v>82</v>
      </c>
      <c r="B29" s="366">
        <f>'4. 2003 Data &amp; 2005 PILs'!B29</f>
        <v>0</v>
      </c>
      <c r="C29" s="366">
        <f>'4. 2003 Data &amp; 2005 PILs'!C29</f>
        <v>0</v>
      </c>
      <c r="D29" s="366">
        <f>'4. 2003 Data &amp; 2005 PILs'!D29</f>
        <v>0</v>
      </c>
      <c r="E29" s="384">
        <f>'4. 2003 Data &amp; 2005 PILs'!E29</f>
        <v>0</v>
      </c>
      <c r="F29" s="146">
        <f t="shared" si="0"/>
        <v>0</v>
      </c>
      <c r="G29" s="422">
        <f t="shared" si="1"/>
        <v>0</v>
      </c>
      <c r="H29" s="127"/>
    </row>
    <row r="30" spans="1:8" ht="12.75">
      <c r="A30" s="148"/>
      <c r="B30" s="119"/>
      <c r="C30" s="128"/>
      <c r="D30" s="129"/>
      <c r="E30" s="119"/>
      <c r="F30" s="147"/>
      <c r="G30" s="421"/>
      <c r="H30" s="105"/>
    </row>
    <row r="31" spans="1:8" ht="12.75">
      <c r="A31" s="148" t="s">
        <v>16</v>
      </c>
      <c r="B31" s="31"/>
      <c r="C31" s="154">
        <f>SUM(C22:C29)</f>
        <v>8061625</v>
      </c>
      <c r="D31" s="154">
        <f>SUM(D22:D29)</f>
        <v>944</v>
      </c>
      <c r="E31" s="155">
        <f>SUM(E22:E29)</f>
        <v>266622.22</v>
      </c>
      <c r="F31" s="156">
        <f>SUM(F22:F29)</f>
        <v>1</v>
      </c>
      <c r="G31" s="414">
        <f>SUM(G22:G29)</f>
        <v>-1707</v>
      </c>
      <c r="H31" s="105"/>
    </row>
    <row r="32" spans="1:8" ht="12.75">
      <c r="A32" s="86"/>
      <c r="B32" s="31"/>
      <c r="C32" s="512" t="s">
        <v>219</v>
      </c>
      <c r="D32" s="512"/>
      <c r="E32" s="512"/>
      <c r="F32" s="513"/>
      <c r="G32" s="423">
        <f>G14</f>
        <v>-1707</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-1707</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-1707</v>
      </c>
      <c r="C46" s="407">
        <f>C44*D42</f>
        <v>0</v>
      </c>
      <c r="D46" s="407">
        <f>SUM(B46:C46)</f>
        <v>-1707</v>
      </c>
      <c r="E46" s="112"/>
    </row>
    <row r="47" spans="1:5" ht="7.5" customHeight="1">
      <c r="A47" s="112"/>
      <c r="B47" s="288"/>
      <c r="C47" s="288"/>
      <c r="D47" s="288"/>
      <c r="E47" s="112"/>
    </row>
    <row r="48" spans="1:5" ht="13.5" customHeight="1">
      <c r="A48" s="109" t="s">
        <v>106</v>
      </c>
      <c r="B48" s="295">
        <f>$C22</f>
        <v>8061625</v>
      </c>
      <c r="C48" s="294"/>
      <c r="D48" s="294"/>
      <c r="E48" s="112"/>
    </row>
    <row r="49" spans="1:5" ht="7.5" customHeight="1">
      <c r="A49" s="112"/>
      <c r="B49" s="289"/>
      <c r="C49" s="288"/>
      <c r="D49" s="288"/>
      <c r="E49" s="112"/>
    </row>
    <row r="50" spans="1:5" ht="13.5" customHeight="1">
      <c r="A50" s="109" t="s">
        <v>192</v>
      </c>
      <c r="B50" s="490">
        <f>IF(ISERROR($B46/$B48),0,$B46/$B48)</f>
        <v>-0.00021174391019180376</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0</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0</v>
      </c>
      <c r="C63" s="407">
        <f>C61*D59</f>
        <v>0</v>
      </c>
      <c r="D63" s="407">
        <f>SUM(B63:C63)</f>
        <v>0</v>
      </c>
      <c r="E63" s="112"/>
    </row>
    <row r="64" spans="1:5" ht="7.5" customHeight="1">
      <c r="A64" s="112"/>
      <c r="B64" s="288"/>
      <c r="C64" s="288"/>
      <c r="D64" s="288"/>
      <c r="E64" s="112"/>
    </row>
    <row r="65" spans="1:5" ht="13.5" customHeight="1">
      <c r="A65" s="109" t="s">
        <v>106</v>
      </c>
      <c r="B65" s="295">
        <f>$C23</f>
        <v>0</v>
      </c>
      <c r="C65" s="294"/>
      <c r="D65" s="294"/>
      <c r="E65" s="112"/>
    </row>
    <row r="66" spans="1:5" ht="7.5" customHeight="1">
      <c r="A66" s="112"/>
      <c r="B66" s="289"/>
      <c r="C66" s="288"/>
      <c r="D66" s="288"/>
      <c r="E66" s="112"/>
    </row>
    <row r="67" spans="1:5" ht="13.5" customHeight="1">
      <c r="A67" s="109" t="s">
        <v>192</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0</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0</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0</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A21">
      <selection activeCell="B50" sqref="B50"/>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503" t="str">
        <f>"Name of Utility:      "&amp;'Info Sheet'!B4</f>
        <v>Name of Utility:      Festival Hydro Inc-Seaforth Residential Rates</v>
      </c>
      <c r="B3" s="504"/>
      <c r="C3" s="504"/>
      <c r="D3" s="461" t="str">
        <f>'Info Sheet'!$B$21</f>
        <v>2005.V1.1</v>
      </c>
      <c r="E3" s="36"/>
      <c r="F3" s="116"/>
      <c r="G3" s="117"/>
    </row>
    <row r="4" spans="1:7" ht="18">
      <c r="A4" s="304" t="str">
        <f>"License Number:   "&amp;'Info Sheet'!B6</f>
        <v>License Number:   ED-2002-0153</v>
      </c>
      <c r="B4" s="27"/>
      <c r="C4" s="397"/>
      <c r="D4" s="400" t="str">
        <f>'Info Sheet'!B8</f>
        <v>RP-2005-0013</v>
      </c>
      <c r="E4" s="36"/>
      <c r="F4" s="116"/>
      <c r="G4" s="117"/>
    </row>
    <row r="5" spans="1:4" ht="15.75">
      <c r="A5" s="500" t="str">
        <f>"Name of Contact:  "&amp;'Info Sheet'!B12</f>
        <v>Name of Contact:  Debbie Reece</v>
      </c>
      <c r="B5" s="501"/>
      <c r="C5" s="395"/>
      <c r="D5" s="400" t="str">
        <f>'Info Sheet'!B10</f>
        <v>EB-2005-0027</v>
      </c>
    </row>
    <row r="6" spans="1:4" ht="18" customHeight="1">
      <c r="A6" s="505" t="str">
        <f>"E- Mail Address:    "&amp;'Info Sheet'!B14</f>
        <v>E- Mail Address:    dreece@festivalhydro.com</v>
      </c>
      <c r="B6" s="502"/>
      <c r="C6" s="502"/>
      <c r="D6" s="100"/>
    </row>
    <row r="7" spans="1:4" ht="15.75">
      <c r="A7" s="304" t="str">
        <f>"Phone Number:     "&amp;'Info Sheet'!B16</f>
        <v>Phone Number:     519-271-4703</v>
      </c>
      <c r="B7" s="502" t="str">
        <f>'Info Sheet'!$C$16&amp;" "&amp;'Info Sheet'!$D$16</f>
        <v>Extension: 268</v>
      </c>
      <c r="C7" s="502"/>
      <c r="D7" s="100"/>
    </row>
    <row r="8" spans="1:4" ht="16.5" thickBot="1">
      <c r="A8" s="305" t="str">
        <f>"Date:                      "&amp;('Info Sheet'!B18)</f>
        <v>Date:                      January 14,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9" t="s">
        <v>143</v>
      </c>
      <c r="B14" s="509"/>
      <c r="C14" s="509"/>
      <c r="D14" s="509"/>
      <c r="E14" s="34"/>
      <c r="F14" s="263"/>
      <c r="G14" s="389">
        <v>3017</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8061625</v>
      </c>
      <c r="D22" s="309">
        <f>'4. 2003 Data &amp; 2005 PILs'!D22</f>
        <v>944</v>
      </c>
      <c r="E22" s="428">
        <f>'4. 2003 Data &amp; 2005 PILs'!E22</f>
        <v>266622.22</v>
      </c>
      <c r="F22" s="267">
        <f>IF(ISERROR(E22/E$31),"",E22/E$31)</f>
        <v>1</v>
      </c>
      <c r="G22" s="424">
        <f>IF(ISERROR($G$32*F22),0,$G$32*F22)</f>
        <v>3017</v>
      </c>
      <c r="H22" s="269"/>
    </row>
    <row r="23" spans="1:8" ht="12.75">
      <c r="A23" s="148" t="s">
        <v>77</v>
      </c>
      <c r="B23" s="309">
        <f>'4. 2003 Data &amp; 2005 PILs'!B23</f>
        <v>0</v>
      </c>
      <c r="C23" s="309">
        <f>'4. 2003 Data &amp; 2005 PILs'!C23</f>
        <v>0</v>
      </c>
      <c r="D23" s="309">
        <f>'4. 2003 Data &amp; 2005 PILs'!D23</f>
        <v>0</v>
      </c>
      <c r="E23" s="428">
        <f>'4. 2003 Data &amp; 2005 PILs'!E23</f>
        <v>0</v>
      </c>
      <c r="F23" s="267">
        <f aca="true" t="shared" si="0" ref="F23:F29">IF(ISERROR(E23/E$31),"",E23/E$31)</f>
        <v>0</v>
      </c>
      <c r="G23" s="424">
        <f aca="true" t="shared" si="1" ref="G23:G29">IF(ISERROR($G$32*F23),0,$G$32*F23)</f>
        <v>0</v>
      </c>
      <c r="H23" s="269"/>
    </row>
    <row r="24" spans="1:8" ht="12.75">
      <c r="A24" s="148" t="s">
        <v>78</v>
      </c>
      <c r="B24" s="309">
        <f>'4. 2003 Data &amp; 2005 PILs'!B24</f>
        <v>0</v>
      </c>
      <c r="C24" s="309">
        <f>'4. 2003 Data &amp; 2005 PILs'!C24</f>
        <v>0</v>
      </c>
      <c r="D24" s="309">
        <f>'4. 2003 Data &amp; 2005 PILs'!D24</f>
        <v>0</v>
      </c>
      <c r="E24" s="428">
        <f>'4. 2003 Data &amp; 2005 PILs'!E24</f>
        <v>0</v>
      </c>
      <c r="F24" s="267">
        <f t="shared" si="0"/>
        <v>0</v>
      </c>
      <c r="G24" s="424">
        <f t="shared" si="1"/>
        <v>0</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0</v>
      </c>
      <c r="C28" s="309">
        <f>'4. 2003 Data &amp; 2005 PILs'!C28</f>
        <v>0</v>
      </c>
      <c r="D28" s="309">
        <f>'4. 2003 Data &amp; 2005 PILs'!D28</f>
        <v>0</v>
      </c>
      <c r="E28" s="428">
        <f>'4. 2003 Data &amp; 2005 PILs'!E28</f>
        <v>0</v>
      </c>
      <c r="F28" s="267">
        <f t="shared" si="0"/>
        <v>0</v>
      </c>
      <c r="G28" s="424">
        <f t="shared" si="1"/>
        <v>0</v>
      </c>
      <c r="H28" s="269"/>
    </row>
    <row r="29" spans="1:8" ht="12.75">
      <c r="A29" s="148" t="s">
        <v>82</v>
      </c>
      <c r="B29" s="365">
        <f>'4. 2003 Data &amp; 2005 PILs'!B29</f>
        <v>0</v>
      </c>
      <c r="C29" s="365">
        <f>'4. 2003 Data &amp; 2005 PILs'!C29</f>
        <v>0</v>
      </c>
      <c r="D29" s="365">
        <f>'4. 2003 Data &amp; 2005 PILs'!D29</f>
        <v>0</v>
      </c>
      <c r="E29" s="429">
        <f>'4. 2003 Data &amp; 2005 PILs'!E29</f>
        <v>0</v>
      </c>
      <c r="F29" s="275">
        <f t="shared" si="0"/>
        <v>0</v>
      </c>
      <c r="G29" s="425">
        <f t="shared" si="1"/>
        <v>0</v>
      </c>
      <c r="H29" s="272"/>
    </row>
    <row r="30" spans="1:8" ht="12.75">
      <c r="A30" s="148"/>
      <c r="B30" s="265"/>
      <c r="C30" s="276"/>
      <c r="D30" s="277"/>
      <c r="E30" s="430"/>
      <c r="F30" s="278"/>
      <c r="G30" s="424"/>
      <c r="H30" s="56"/>
    </row>
    <row r="31" spans="1:8" ht="12.75">
      <c r="A31" s="148" t="s">
        <v>16</v>
      </c>
      <c r="B31" s="31"/>
      <c r="C31" s="154">
        <f>SUM(C22:C29)</f>
        <v>8061625</v>
      </c>
      <c r="D31" s="154">
        <f>SUM(D22:D29)</f>
        <v>944</v>
      </c>
      <c r="E31" s="431">
        <f>SUM(E22:E29)</f>
        <v>266622.22</v>
      </c>
      <c r="F31" s="156">
        <f>SUM(F22:F29)</f>
        <v>1</v>
      </c>
      <c r="G31" s="426">
        <f>SUM(G22:G29)</f>
        <v>3017</v>
      </c>
      <c r="H31" s="56"/>
    </row>
    <row r="32" spans="1:8" ht="12.75">
      <c r="A32" s="86"/>
      <c r="B32" s="31"/>
      <c r="C32" s="512" t="s">
        <v>157</v>
      </c>
      <c r="D32" s="512"/>
      <c r="E32" s="512"/>
      <c r="F32" s="513"/>
      <c r="G32" s="427">
        <f>G14</f>
        <v>3017</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3017</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3017</v>
      </c>
      <c r="C46" s="407">
        <f>C44*D42</f>
        <v>0</v>
      </c>
      <c r="D46" s="407">
        <f>SUM(B46:C46)</f>
        <v>3017</v>
      </c>
      <c r="E46" s="112"/>
    </row>
    <row r="47" spans="1:5" ht="7.5" customHeight="1">
      <c r="A47" s="112"/>
      <c r="B47" s="288"/>
      <c r="C47" s="288"/>
      <c r="D47" s="288"/>
      <c r="E47" s="112"/>
    </row>
    <row r="48" spans="1:5" ht="13.5" customHeight="1">
      <c r="A48" s="109" t="s">
        <v>106</v>
      </c>
      <c r="B48" s="295">
        <f>$C22</f>
        <v>8061625</v>
      </c>
      <c r="C48" s="294"/>
      <c r="D48" s="294"/>
      <c r="E48" s="112"/>
    </row>
    <row r="49" spans="1:5" ht="7.5" customHeight="1">
      <c r="A49" s="112"/>
      <c r="B49" s="289"/>
      <c r="C49" s="288"/>
      <c r="D49" s="288"/>
      <c r="E49" s="112"/>
    </row>
    <row r="50" spans="1:5" ht="13.5" customHeight="1">
      <c r="A50" s="109" t="s">
        <v>192</v>
      </c>
      <c r="B50" s="490">
        <f>IF(ISERROR($B46/$B48),0,$B46/$B48)</f>
        <v>0.0003742421658164452</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0</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0</v>
      </c>
      <c r="C63" s="407">
        <f>C61*D59</f>
        <v>0</v>
      </c>
      <c r="D63" s="407">
        <f>SUM(B63:C63)</f>
        <v>0</v>
      </c>
      <c r="E63" s="112"/>
    </row>
    <row r="64" spans="1:5" ht="7.5" customHeight="1">
      <c r="A64" s="112"/>
      <c r="B64" s="288"/>
      <c r="C64" s="288"/>
      <c r="D64" s="288"/>
      <c r="E64" s="112"/>
    </row>
    <row r="65" spans="1:5" ht="13.5" customHeight="1">
      <c r="A65" s="109" t="s">
        <v>106</v>
      </c>
      <c r="B65" s="295">
        <f>$C23</f>
        <v>0</v>
      </c>
      <c r="C65" s="294"/>
      <c r="D65" s="294"/>
      <c r="E65" s="112"/>
    </row>
    <row r="66" spans="1:5" ht="7.5" customHeight="1">
      <c r="A66" s="112"/>
      <c r="B66" s="289"/>
      <c r="C66" s="288"/>
      <c r="D66" s="288"/>
      <c r="E66" s="112"/>
    </row>
    <row r="67" spans="1:5" ht="13.5" customHeight="1">
      <c r="A67" s="109" t="s">
        <v>192</v>
      </c>
      <c r="B67" s="417">
        <f>IF(ISERROR($B63/$B65),0,$B63/$B65)</f>
        <v>0</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0</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0</v>
      </c>
      <c r="C80" s="407">
        <f>C78*D76</f>
        <v>0</v>
      </c>
      <c r="D80" s="407">
        <f>SUM(B80:C80)</f>
        <v>0</v>
      </c>
      <c r="E80" s="112"/>
    </row>
    <row r="81" spans="1:5" ht="7.5" customHeight="1">
      <c r="A81" s="112"/>
      <c r="B81" s="288"/>
      <c r="C81" s="288"/>
      <c r="D81" s="288"/>
      <c r="E81" s="112"/>
    </row>
    <row r="82" spans="1:5" ht="13.5" customHeight="1">
      <c r="A82" s="109" t="s">
        <v>172</v>
      </c>
      <c r="B82" s="295">
        <f>$B24</f>
        <v>0</v>
      </c>
      <c r="C82" s="294"/>
      <c r="D82" s="294"/>
      <c r="E82" s="112"/>
    </row>
    <row r="83" spans="1:5" ht="7.5" customHeight="1">
      <c r="A83" s="112"/>
      <c r="B83" s="289"/>
      <c r="C83" s="288"/>
      <c r="D83" s="288"/>
      <c r="E83" s="112"/>
    </row>
    <row r="84" spans="1:5" ht="13.5" customHeight="1">
      <c r="A84" s="109" t="s">
        <v>188</v>
      </c>
      <c r="B84" s="417">
        <f>IF(ISERROR($B80/$B82),0,$B80/$B82)</f>
        <v>0</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0</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0</v>
      </c>
      <c r="C148" s="407">
        <f>C146*D144</f>
        <v>0</v>
      </c>
      <c r="D148" s="407">
        <f>SUM(B148:C148)</f>
        <v>0</v>
      </c>
      <c r="E148" s="112"/>
    </row>
    <row r="149" spans="1:5" ht="7.5" customHeight="1">
      <c r="A149" s="112"/>
      <c r="B149" s="288"/>
      <c r="C149" s="288"/>
      <c r="D149" s="288"/>
      <c r="E149" s="112"/>
    </row>
    <row r="150" spans="1:5" ht="13.5" customHeight="1">
      <c r="A150" s="109" t="s">
        <v>172</v>
      </c>
      <c r="B150" s="295">
        <f>$B28</f>
        <v>0</v>
      </c>
      <c r="C150" s="294"/>
      <c r="D150" s="294"/>
      <c r="E150" s="112"/>
    </row>
    <row r="151" spans="1:5" ht="7.5" customHeight="1">
      <c r="A151" s="112"/>
      <c r="B151" s="289"/>
      <c r="C151" s="288"/>
      <c r="D151" s="288"/>
      <c r="E151" s="112"/>
    </row>
    <row r="152" spans="1:5" ht="13.5" customHeight="1">
      <c r="A152" s="109" t="s">
        <v>188</v>
      </c>
      <c r="B152" s="417">
        <f>IF(ISERROR($B148/$B150),0,$B148/$B150)</f>
        <v>0</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0</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0</v>
      </c>
      <c r="C165" s="407">
        <f>C163*D161</f>
        <v>0</v>
      </c>
      <c r="D165" s="407">
        <f>SUM(B165:C165)</f>
        <v>0</v>
      </c>
      <c r="E165" s="112"/>
    </row>
    <row r="166" spans="1:5" ht="7.5" customHeight="1">
      <c r="A166" s="112"/>
      <c r="B166" s="288"/>
      <c r="C166" s="288"/>
      <c r="D166" s="288"/>
      <c r="E166" s="112"/>
    </row>
    <row r="167" spans="1:5" ht="13.5" customHeight="1">
      <c r="A167" s="109" t="s">
        <v>172</v>
      </c>
      <c r="B167" s="295">
        <f>$B29</f>
        <v>0</v>
      </c>
      <c r="C167" s="294"/>
      <c r="D167" s="294"/>
      <c r="E167" s="112"/>
    </row>
    <row r="168" spans="1:5" ht="7.5" customHeight="1">
      <c r="A168" s="112"/>
      <c r="B168" s="289"/>
      <c r="C168" s="288"/>
      <c r="D168" s="288"/>
      <c r="E168" s="112"/>
    </row>
    <row r="169" spans="1:5" ht="13.5" customHeight="1">
      <c r="A169" s="109" t="s">
        <v>188</v>
      </c>
      <c r="B169" s="417">
        <f>IF(ISERROR($B165/$B167),0,$B165/$B167)</f>
        <v>0</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reeced</cp:lastModifiedBy>
  <cp:lastPrinted>2005-03-30T21:24:32Z</cp:lastPrinted>
  <dcterms:created xsi:type="dcterms:W3CDTF">2001-10-05T18:25:02Z</dcterms:created>
  <dcterms:modified xsi:type="dcterms:W3CDTF">2011-12-04T18:31:43Z</dcterms:modified>
  <cp:category/>
  <cp:version/>
  <cp:contentType/>
  <cp:contentStatus/>
</cp:coreProperties>
</file>