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45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<sst xmlns="http://schemas.openxmlformats.org/spreadsheetml/2006/main" count="878" uniqueCount="508">
  <si>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</si>
  <si>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</si>
  <si>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</si>
  <si>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</si>
  <si>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</si>
  <si>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</si>
  <si>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</si>
  <si>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</si>
  <si>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</si>
  <si>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</si>
  <si>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</si>
  <si>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</si>
  <si>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</si>
  <si>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</si>
  <si>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</si>
  <si>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</si>
  <si>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</si>
  <si>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</si>
  <si>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</si>
  <si>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</si>
  <si>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</si>
  <si>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</si>
  <si>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</si>
  <si>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</si>
  <si>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</si>
  <si>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</si>
  <si>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</si>
  <si>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</si>
  <si>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</si>
  <si>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</si>
  <si>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</si>
  <si>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</si>
  <si>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</si>
  <si>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</si>
  <si>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</si>
  <si>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</si>
  <si>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</si>
  <si>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</si>
  <si>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</si>
  <si>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</si>
  <si>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</si>
  <si>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</si>
  <si>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</si>
  <si>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</si>
  <si>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</si>
  <si>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</si>
  <si>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</si>
  <si>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</si>
  <si>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</si>
  <si>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</si>
  <si>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</si>
  <si>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</si>
  <si>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</si>
  <si>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</si>
  <si>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</si>
  <si>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</si>
  <si>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</si>
  <si>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</si>
  <si>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</si>
  <si>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</si>
  <si>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</si>
  <si>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</si>
  <si>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</si>
  <si>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</si>
  <si>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</si>
  <si>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</si>
  <si>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</si>
  <si>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</si>
  <si>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</si>
  <si>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</si>
  <si>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</si>
  <si>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</si>
  <si>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</si>
  <si>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</si>
  <si>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</si>
  <si>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</si>
  <si>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</si>
  <si>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</si>
  <si>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</si>
  <si>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</si>
  <si>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</si>
  <si>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</si>
  <si>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</si>
  <si>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</si>
  <si>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</si>
  <si>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</si>
  <si>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</si>
  <si>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</si>
  <si>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</si>
  <si>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</si>
  <si>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</si>
  <si>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</si>
  <si>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</si>
  <si>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</si>
  <si>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</si>
  <si>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</si>
  <si>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</si>
  <si>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</si>
  <si>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</si>
  <si>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</si>
  <si>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</si>
  <si>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</si>
  <si>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</si>
  <si>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</si>
  <si>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</si>
  <si>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</si>
  <si>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</si>
  <si>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</si>
  <si>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</si>
  <si>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</si>
  <si>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</si>
  <si>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</si>
  <si>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</si>
  <si>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</si>
  <si>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</si>
  <si>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</si>
  <si>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</si>
  <si>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</si>
  <si>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</si>
  <si>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</si>
  <si>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</si>
  <si>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</si>
  <si>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</si>
  <si>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</si>
  <si>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</si>
  <si>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</si>
  <si>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</si>
  <si>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</si>
  <si>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</si>
  <si>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</si>
  <si>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</si>
  <si>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</si>
  <si>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</si>
  <si>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</si>
  <si>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</si>
  <si>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</si>
  <si>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</si>
  <si>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</si>
  <si>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</si>
  <si>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</si>
  <si>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</si>
  <si>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</si>
  <si>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</si>
  <si>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</si>
  <si>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</si>
  <si>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</si>
  <si>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</si>
  <si>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</si>
  <si>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</si>
  <si>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</si>
  <si>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</si>
  <si>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</si>
  <si>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</si>
  <si>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</si>
  <si>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</si>
  <si>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</si>
  <si>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</si>
  <si>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</si>
  <si>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</si>
  <si>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</si>
  <si>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</si>
  <si>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</si>
  <si>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</si>
  <si>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</si>
  <si>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</si>
  <si>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</si>
  <si>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</si>
  <si>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</si>
  <si>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</si>
  <si>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</si>
  <si>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</si>
  <si>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</si>
  <si>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</si>
  <si>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</si>
  <si>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</si>
  <si>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</si>
  <si>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</si>
  <si>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</si>
  <si>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</si>
  <si>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</si>
  <si>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</si>
  <si>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</si>
  <si>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</si>
  <si>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</si>
  <si>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</si>
  <si>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</si>
  <si>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</si>
  <si>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</si>
  <si>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</si>
  <si>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</si>
  <si>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</si>
  <si>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</si>
  <si>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</si>
  <si>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</si>
  <si>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</si>
  <si>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</si>
  <si>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</si>
  <si>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</si>
  <si>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</si>
  <si>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</si>
  <si>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</si>
  <si>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</si>
  <si>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</si>
  <si>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</si>
  <si>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</si>
  <si>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</si>
  <si>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</si>
  <si>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</si>
  <si>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</si>
  <si>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</si>
  <si>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</si>
  <si>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</si>
  <si>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</si>
  <si>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</si>
  <si>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</si>
  <si>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</si>
  <si>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</si>
  <si>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</si>
  <si>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</si>
  <si>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</si>
  <si>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</si>
  <si>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</si>
  <si>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</si>
  <si>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</si>
  <si>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</si>
  <si>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</si>
  <si>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</si>
  <si>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</si>
  <si>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</si>
  <si>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</si>
  <si>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</si>
  <si>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</si>
  <si>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</si>
  <si>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</si>
  <si>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</si>
  <si>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</si>
  <si>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</si>
  <si>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</si>
  <si>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</si>
  <si>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</si>
  <si>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</si>
  <si>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</si>
  <si>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</si>
  <si>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</si>
  <si>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</si>
  <si>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</si>
  <si>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</si>
  <si>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</si>
  <si>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</si>
  <si>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</si>
  <si>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</si>
  <si>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</si>
  <si>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</si>
  <si>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</si>
  <si>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</si>
  <si>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</si>
  <si>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</si>
  <si>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</si>
  <si>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</si>
  <si>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</si>
  <si>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</si>
  <si>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</si>
  <si>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</si>
  <si>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</si>
  <si>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</si>
  <si>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</si>
  <si>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</si>
  <si>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</si>
  <si>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</si>
  <si>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</si>
  <si>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</si>
  <si>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</si>
  <si>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</si>
  <si>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</si>
  <si>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</si>
  <si>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</si>
  <si>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</si>
  <si>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</si>
  <si>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</si>
  <si>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</si>
  <si>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</si>
  <si>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</si>
  <si>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</si>
  <si>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</si>
  <si>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</si>
  <si>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</si>
  <si>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</si>
  <si>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</si>
  <si>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</si>
  <si>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</si>
  <si>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</si>
  <si>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</si>
  <si>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</si>
  <si>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</si>
  <si>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</si>
  <si>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</si>
  <si>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</si>
  <si>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</si>
  <si>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</si>
  <si>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</si>
  <si>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</si>
  <si>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</si>
  <si>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</si>
  <si>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</si>
  <si>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</si>
  <si>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</si>
  <si>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</si>
  <si>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</si>
  <si>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</si>
  <si>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</si>
  <si>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</si>
  <si>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</si>
  <si>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</si>
  <si>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</si>
  <si>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</si>
  <si>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</si>
  <si>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</si>
  <si>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</si>
  <si>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</si>
  <si>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</si>
  <si>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</si>
  <si>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</si>
  <si>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</si>
  <si>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</si>
  <si>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</si>
  <si>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</si>
  <si>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</si>
  <si>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</si>
  <si>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</si>
  <si>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</si>
  <si>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</si>
  <si>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</si>
  <si>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</si>
  <si>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</si>
  <si>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</si>
  <si>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</si>
  <si>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</si>
  <si>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</si>
  <si>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</si>
  <si>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</si>
  <si>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</si>
  <si>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</si>
  <si>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</si>
  <si>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</si>
  <si>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</si>
  <si>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</si>
  <si>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</si>
  <si>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</si>
  <si>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</si>
  <si>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</si>
  <si>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</si>
  <si>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</si>
  <si>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</si>
  <si>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</si>
  <si>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</si>
  <si>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</si>
  <si>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</si>
  <si>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</si>
  <si>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</si>
  <si>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</si>
  <si>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</si>
  <si>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</si>
  <si>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</si>
  <si>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</si>
  <si>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</si>
  <si>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</si>
  <si>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</si>
  <si>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</si>
  <si>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</si>
  <si>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</si>
  <si>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</si>
  <si>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</si>
  <si>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</si>
  <si>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</si>
  <si>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</si>
  <si>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</si>
  <si>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</si>
  <si>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</si>
  <si>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</si>
  <si>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</si>
  <si>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</si>
  <si>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</si>
  <si>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</si>
  <si>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</si>
  <si>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</si>
  <si>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</si>
  <si>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</si>
  <si>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</si>
  <si>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</si>
  <si>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</si>
  <si>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</si>
  <si>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</si>
  <si>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</si>
  <si>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</si>
  <si>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</si>
  <si>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</si>
  <si>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</si>
  <si>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</si>
  <si>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</si>
  <si>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</si>
  <si>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</si>
  <si>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</si>
  <si>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</si>
  <si>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</si>
  <si>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</si>
  <si>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</si>
  <si>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</si>
  <si>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</si>
  <si>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</si>
  <si>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</si>
  <si>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</si>
  <si>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</si>
  <si>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</si>
  <si>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</si>
  <si>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</si>
  <si>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</si>
  <si>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</si>
  <si>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</si>
  <si>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</si>
  <si>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</si>
  <si>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</si>
  <si>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</si>
  <si>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</si>
  <si>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</si>
  <si>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</si>
  <si>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</si>
  <si>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</si>
  <si>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</si>
  <si>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</si>
  <si>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</si>
  <si>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</si>
  <si>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</si>
  <si>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</si>
  <si>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</si>
  <si>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</si>
  <si>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</si>
  <si>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</si>
  <si>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</si>
  <si>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</si>
  <si>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</si>
  <si>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</si>
  <si>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</si>
  <si>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</si>
  <si>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</si>
  <si>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</si>
  <si>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</si>
  <si>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</si>
  <si>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</si>
  <si>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</si>
  <si>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</si>
  <si>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</si>
  <si>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</si>
  <si>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</si>
  <si>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</si>
  <si>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</si>
  <si>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</si>
  <si>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</si>
  <si>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</si>
  <si>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</si>
  <si>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</si>
  <si>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</si>
  <si>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</si>
  <si>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</si>
  <si>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</si>
  <si>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</si>
  <si>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</si>
  <si>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</si>
  <si>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</si>
  <si>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</si>
  <si>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</si>
  <si>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</si>
  <si>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</si>
  <si>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</si>
  <si>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</si>
  <si>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</si>
  <si>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</si>
  <si>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</si>
  <si>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</si>
  <si>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</si>
  <si>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</si>
  <si>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</si>
  <si>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</si>
  <si>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</si>
  <si>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</si>
  <si>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</si>
  <si>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</si>
  <si>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</si>
  <si>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</si>
  <si>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</si>
  <si>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</si>
  <si>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</si>
  <si>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</si>
  <si>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Y</t>
  </si>
  <si>
    <t>N</t>
  </si>
  <si>
    <t>Other - Liability for Future Benefits</t>
  </si>
  <si>
    <t>Pre-October 2001  Income</t>
  </si>
  <si>
    <t>Transition Expenses Capitalized for accounting</t>
  </si>
  <si>
    <t>Reg Assets variance (pre &amp; post market) Adjustment</t>
  </si>
  <si>
    <t>Alternative #3 (includes contra Acct 1563)</t>
  </si>
  <si>
    <t>Interest Adjustment for Tax Purposes  (carry forward to Cell I112)</t>
  </si>
  <si>
    <t xml:space="preserve">Actual Interest deducted on MoF filing  (Cell K36+K41) </t>
  </si>
  <si>
    <t>PILs TAXES - EB-2011-0167</t>
  </si>
  <si>
    <t>Utility Name: Festival  Hydro Inc.</t>
  </si>
  <si>
    <t xml:space="preserve">     Other Interest Expense (Customer Deposits/ IESO LC) CHeCK</t>
  </si>
  <si>
    <t>Secction 12(1)(a) income (customer deposits) Check</t>
  </si>
  <si>
    <t>Section 20(1)(m) reserve (customer deposits) check</t>
  </si>
  <si>
    <t>Transition Expenses Capitalized for accounting Check</t>
  </si>
  <si>
    <t>Pre-October 2001  Income Check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</si>
</sst>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[$-409]dddd\,\ mmmm\ dd\,\ yyyy"/>
    <numFmt numFmtId="213" formatCode="[$-409]h:mm:ss\ AM/PM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 wrapText="1"/>
    </xf>
    <xf numFmtId="3" fontId="0" fillId="42" borderId="14" xfId="0" applyNumberForma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40" borderId="0" xfId="0" applyFont="1" applyFill="1" applyAlignment="1">
      <alignment vertical="top" wrapText="1"/>
    </xf>
    <xf numFmtId="0" fontId="19" fillId="0" borderId="0" xfId="0" applyFont="1" applyFill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57" fillId="0" borderId="0" xfId="0" applyFont="1" applyFill="1" applyBorder="1" applyAlignment="1">
      <alignment vertical="top"/>
    </xf>
    <xf numFmtId="0" fontId="58" fillId="0" borderId="0" xfId="0" applyFont="1" applyFill="1" applyBorder="1" applyAlignment="1">
      <alignment vertical="top"/>
    </xf>
    <xf numFmtId="10" fontId="0" fillId="0" borderId="0" xfId="63" applyFont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 quotePrefix="1">
      <alignment vertical="top" wrapText="1"/>
      <protection/>
    </xf>
    <xf numFmtId="180" fontId="0" fillId="0" borderId="0" xfId="0" applyNumberFormat="1" applyFill="1" applyAlignment="1">
      <alignment vertical="top"/>
    </xf>
    <xf numFmtId="9" fontId="0" fillId="0" borderId="0" xfId="0" applyNumberFormat="1" applyFill="1" applyAlignment="1">
      <alignment vertical="top"/>
    </xf>
    <xf numFmtId="0" fontId="57" fillId="0" borderId="0" xfId="0" applyFont="1" applyAlignment="1" quotePrefix="1">
      <alignment vertical="top"/>
    </xf>
    <xf numFmtId="0" fontId="57" fillId="0" borderId="0" xfId="0" applyFont="1" applyAlignment="1">
      <alignment vertical="top" wrapText="1"/>
    </xf>
    <xf numFmtId="3" fontId="0" fillId="37" borderId="14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10" fontId="0" fillId="0" borderId="0" xfId="63" applyFont="1" applyFill="1" applyBorder="1" applyAlignment="1" applyProtection="1">
      <alignment vertical="top"/>
      <protection locked="0"/>
    </xf>
    <xf numFmtId="10" fontId="0" fillId="0" borderId="0" xfId="63" applyFont="1" applyFill="1" applyBorder="1" applyAlignment="1" applyProtection="1">
      <alignment vertical="top"/>
      <protection locked="0"/>
    </xf>
    <xf numFmtId="3" fontId="0" fillId="0" borderId="0" xfId="42" applyNumberFormat="1" applyFont="1" applyFill="1" applyBorder="1" applyAlignment="1" applyProtection="1">
      <alignment vertical="top"/>
      <protection locked="0"/>
    </xf>
    <xf numFmtId="10" fontId="0" fillId="32" borderId="14" xfId="0" applyNumberFormat="1" applyFill="1" applyBorder="1" applyAlignment="1" applyProtection="1" quotePrefix="1">
      <alignment vertical="top"/>
      <protection/>
    </xf>
    <xf numFmtId="3" fontId="0" fillId="43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horizontal="right" vertical="top"/>
      <protection/>
    </xf>
    <xf numFmtId="3" fontId="0" fillId="32" borderId="18" xfId="0" applyNumberFormat="1" applyFill="1" applyBorder="1" applyAlignment="1" applyProtection="1">
      <alignment vertical="top"/>
      <protection/>
    </xf>
    <xf numFmtId="37" fontId="0" fillId="32" borderId="14" xfId="0" applyNumberFormat="1" applyFill="1" applyBorder="1" applyAlignment="1" applyProtection="1">
      <alignment/>
      <protection/>
    </xf>
    <xf numFmtId="3" fontId="0" fillId="32" borderId="14" xfId="0" applyNumberFormat="1" applyFill="1" applyBorder="1" applyAlignment="1" applyProtection="1" quotePrefix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view="pageLayout" workbookViewId="0" topLeftCell="A1">
      <selection activeCell="A23" sqref="A2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501</v>
      </c>
      <c r="C1" s="8"/>
      <c r="E1" s="2" t="s">
        <v>463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502</v>
      </c>
      <c r="C3" s="8"/>
      <c r="D3" s="456" t="s">
        <v>449</v>
      </c>
      <c r="E3" s="8"/>
      <c r="F3" s="8"/>
      <c r="G3" s="8"/>
      <c r="H3" s="8"/>
    </row>
    <row r="4" spans="1:8" ht="12.75">
      <c r="A4" s="2" t="s">
        <v>475</v>
      </c>
      <c r="C4" s="8"/>
      <c r="D4" s="455" t="s">
        <v>444</v>
      </c>
      <c r="E4" s="429"/>
      <c r="H4" s="8"/>
    </row>
    <row r="5" spans="1:8" ht="12.75">
      <c r="A5" s="52"/>
      <c r="C5" s="8"/>
      <c r="D5" s="454" t="s">
        <v>445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493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493</v>
      </c>
    </row>
    <row r="18" spans="1:4" ht="15" customHeight="1">
      <c r="A18" s="390" t="s">
        <v>314</v>
      </c>
      <c r="C18" s="8"/>
      <c r="D18" s="8"/>
    </row>
    <row r="19" spans="1:4" ht="15" customHeight="1">
      <c r="A19" s="512" t="s">
        <v>315</v>
      </c>
      <c r="B19" s="8" t="s">
        <v>312</v>
      </c>
      <c r="C19" s="8" t="s">
        <v>64</v>
      </c>
      <c r="D19" s="389" t="s">
        <v>492</v>
      </c>
    </row>
    <row r="20" spans="1:4" ht="13.5" thickBot="1">
      <c r="A20" s="513"/>
      <c r="B20" s="8" t="s">
        <v>313</v>
      </c>
      <c r="C20" s="8" t="s">
        <v>64</v>
      </c>
      <c r="D20" s="258"/>
    </row>
    <row r="21" spans="1:4" ht="12.75">
      <c r="A21" s="512" t="s">
        <v>311</v>
      </c>
      <c r="B21" s="8" t="s">
        <v>312</v>
      </c>
      <c r="C21" s="8"/>
      <c r="D21" s="424">
        <v>1</v>
      </c>
    </row>
    <row r="22" spans="1:4" ht="12.75">
      <c r="A22" s="512"/>
      <c r="B22" s="8" t="s">
        <v>313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476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296</v>
      </c>
    </row>
    <row r="27" spans="1:5" ht="12.75">
      <c r="A27" s="256" t="s">
        <v>68</v>
      </c>
      <c r="C27" s="8"/>
      <c r="E27" s="445" t="s">
        <v>297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286</v>
      </c>
      <c r="D31" s="422">
        <v>31136775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2666864.77875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681997</v>
      </c>
      <c r="E43" s="388">
        <f>D43</f>
        <v>681997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1984867.77875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7">
        <v>661623</v>
      </c>
      <c r="E47" s="388">
        <f aca="true" t="shared" si="0" ref="E47:E53">D47</f>
        <v>661623</v>
      </c>
      <c r="H47" s="40"/>
      <c r="J47" s="5"/>
      <c r="K47" s="5"/>
    </row>
    <row r="48" spans="1:11" ht="12.75">
      <c r="A48" t="s">
        <v>289</v>
      </c>
      <c r="D48" s="427">
        <v>661623</v>
      </c>
      <c r="E48" s="388">
        <f>D48</f>
        <v>661623</v>
      </c>
      <c r="F48" s="22"/>
      <c r="H48" s="40"/>
      <c r="J48" s="5"/>
      <c r="K48" s="5"/>
    </row>
    <row r="49" spans="1:11" ht="12.75">
      <c r="A49" t="s">
        <v>290</v>
      </c>
      <c r="D49" s="428">
        <v>0</v>
      </c>
      <c r="E49" s="388">
        <v>0</v>
      </c>
      <c r="F49" s="22"/>
      <c r="H49" s="40"/>
      <c r="J49" s="5"/>
      <c r="K49" s="5"/>
    </row>
    <row r="50" spans="1:11" ht="12.75">
      <c r="A50" t="s">
        <v>291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441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464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292</v>
      </c>
      <c r="E54" s="254">
        <f>SUM(E43:E53)</f>
        <v>2005243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15568387.5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1538156.685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15568387.5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2">
        <f>D60*D39</f>
        <v>1128708.09375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3">
        <f>IF(D41&gt;0,(((D43+D47)/D41)*D62),0)</f>
        <v>568665.7910099241</v>
      </c>
      <c r="F64" s="5"/>
      <c r="H64" s="32"/>
      <c r="J64" s="5"/>
      <c r="K64" s="5"/>
    </row>
    <row r="65" spans="1:11" ht="12.75">
      <c r="A65" s="33" t="s">
        <v>380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3">
        <f>IF(D41&gt;0,(((D43+D47+D48)/D41)*D62),0)</f>
        <v>848687.2008172796</v>
      </c>
      <c r="F66" s="5"/>
      <c r="H66" s="32"/>
      <c r="J66" s="5"/>
      <c r="K66" s="5"/>
    </row>
    <row r="67" spans="1:11" ht="12.75">
      <c r="A67" s="33" t="s">
        <v>381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3">
        <f>IF(D41&gt;0,(((D43+D47+D48)/D41)*D62),0)</f>
        <v>848687.2008172796</v>
      </c>
      <c r="F68" s="5"/>
      <c r="H68" s="32"/>
      <c r="J68" s="5"/>
    </row>
    <row r="69" spans="1:10" ht="12.75">
      <c r="A69" s="33" t="s">
        <v>382</v>
      </c>
      <c r="B69" s="5"/>
      <c r="C69" s="5"/>
      <c r="D69" s="5"/>
      <c r="F69" s="5"/>
      <c r="H69" s="32"/>
      <c r="J69" s="5"/>
    </row>
    <row r="70" spans="1:10" ht="12.75">
      <c r="A70" s="45" t="s">
        <v>450</v>
      </c>
      <c r="B70" s="5"/>
      <c r="C70" s="5"/>
      <c r="D70" s="253">
        <f>D62</f>
        <v>1128708.09375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&amp;R&amp;9Festival Hydro Inc.
EB-2008-0381
Deferred PILs Combined Proceeding
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Layout" zoomScaleNormal="90" workbookViewId="0" topLeftCell="A117">
      <selection activeCell="E132" sqref="E13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EB-2011-0167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466</v>
      </c>
      <c r="H1" s="210"/>
    </row>
    <row r="2" spans="1:8" ht="12.75">
      <c r="A2" s="211" t="s">
        <v>465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467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Festival  Hydro Inc.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255</v>
      </c>
      <c r="B10" s="430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60">
        <f>REGINFO!E54</f>
        <v>2005243</v>
      </c>
      <c r="D16" s="17"/>
      <c r="E16" s="268">
        <f>G16-C16</f>
        <v>882801</v>
      </c>
      <c r="F16" s="3"/>
      <c r="G16" s="268">
        <f>TAXREC!E50</f>
        <v>2888044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1951722</v>
      </c>
      <c r="D20" s="18"/>
      <c r="E20" s="268">
        <f>G20-C20</f>
        <v>195462</v>
      </c>
      <c r="F20" s="6"/>
      <c r="G20" s="268">
        <f>TAXREC!E61</f>
        <v>2147184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263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262</v>
      </c>
      <c r="B23" s="127">
        <v>4</v>
      </c>
      <c r="C23" s="262"/>
      <c r="D23" s="18"/>
      <c r="E23" s="268">
        <f>G23-C23</f>
        <v>1039000</v>
      </c>
      <c r="F23" s="6"/>
      <c r="G23" s="268">
        <f>TAXREC!E64</f>
        <v>1039000</v>
      </c>
      <c r="H23" s="151"/>
    </row>
    <row r="24" spans="1:8" ht="12.75">
      <c r="A24" s="158" t="s">
        <v>264</v>
      </c>
      <c r="B24" s="127">
        <v>5</v>
      </c>
      <c r="C24" s="262">
        <v>36651</v>
      </c>
      <c r="D24" s="18"/>
      <c r="E24" s="268">
        <f>G24-C24</f>
        <v>-36651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77" t="s">
        <v>397</v>
      </c>
      <c r="B30" s="127"/>
      <c r="C30" s="260"/>
      <c r="D30" s="18"/>
      <c r="E30" s="268">
        <f>G30-C30</f>
        <v>4933</v>
      </c>
      <c r="F30" s="6"/>
      <c r="G30" s="268">
        <f>TAXREC!E66</f>
        <v>4933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1358147</v>
      </c>
      <c r="D33" s="132"/>
      <c r="E33" s="268">
        <f aca="true" t="shared" si="0" ref="E33:E42">G33-C33</f>
        <v>261745</v>
      </c>
      <c r="F33" s="6"/>
      <c r="G33" s="268">
        <f>TAXREC!E97+TAXREC!E98</f>
        <v>1619892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265</v>
      </c>
      <c r="B36" s="127">
        <v>10</v>
      </c>
      <c r="C36" s="262">
        <v>0</v>
      </c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848687.2008172796</v>
      </c>
      <c r="D37" s="132"/>
      <c r="E37" s="268">
        <f t="shared" si="0"/>
        <v>209558.79918272037</v>
      </c>
      <c r="F37" s="6"/>
      <c r="G37" s="268">
        <f>TAXREC!E51</f>
        <v>1058246</v>
      </c>
      <c r="H37" s="151"/>
    </row>
    <row r="38" spans="1:8" ht="12.75">
      <c r="A38" s="155" t="s">
        <v>261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260</v>
      </c>
      <c r="B39" s="125">
        <v>4</v>
      </c>
      <c r="C39" s="262"/>
      <c r="D39" s="132"/>
      <c r="E39" s="268">
        <f t="shared" si="0"/>
        <v>1007971</v>
      </c>
      <c r="F39" s="6"/>
      <c r="G39" s="268">
        <f>TAXREC!E105</f>
        <v>1007971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9418</v>
      </c>
      <c r="F44" s="6"/>
      <c r="G44" s="251">
        <f>TAXREC!E130</f>
        <v>9418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77" t="s">
        <v>397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4">
        <f>C16+SUM(C20:C30)-SUM(C33:C48)</f>
        <v>1786781.7991827205</v>
      </c>
      <c r="D50" s="102"/>
      <c r="E50" s="264">
        <f>E16+SUM(E20:E30)-SUM(E33:E48)</f>
        <v>596852.2008172795</v>
      </c>
      <c r="F50" s="432" t="s">
        <v>369</v>
      </c>
      <c r="G50" s="264">
        <f>G16+SUM(G20:G30)-SUM(G33:G48)</f>
        <v>2383634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0</v>
      </c>
      <c r="F53" s="114"/>
      <c r="G53" s="506">
        <f>TAXREC!E151</f>
        <v>0.3862</v>
      </c>
      <c r="H53" s="151"/>
      <c r="I53" s="470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690055.1308443666</v>
      </c>
      <c r="D55" s="102"/>
      <c r="E55" s="268">
        <f>G55-C55</f>
        <v>216037.7665556334</v>
      </c>
      <c r="F55" s="432" t="s">
        <v>370</v>
      </c>
      <c r="G55" s="265">
        <f>TAXREC!E144</f>
        <v>906092.8974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2" t="s">
        <v>370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10" ht="13.5" thickBot="1">
      <c r="A60" s="150" t="s">
        <v>37</v>
      </c>
      <c r="B60" s="134"/>
      <c r="C60" s="267">
        <f>+C55-C58</f>
        <v>690055.1308443666</v>
      </c>
      <c r="D60" s="133"/>
      <c r="E60" s="270">
        <f>+E55-E58</f>
        <v>216037.7665556334</v>
      </c>
      <c r="F60" s="432" t="s">
        <v>370</v>
      </c>
      <c r="G60" s="270">
        <f>+G55-G58</f>
        <v>906092.8974</v>
      </c>
      <c r="H60" s="135"/>
      <c r="I60" s="494"/>
      <c r="J60" s="34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31136775</v>
      </c>
      <c r="D66" s="102"/>
      <c r="E66" s="268">
        <f>G66-C66</f>
        <v>-31136775</v>
      </c>
      <c r="F66" s="6"/>
      <c r="G66" s="507"/>
      <c r="H66" s="151"/>
      <c r="I66" s="502"/>
    </row>
    <row r="67" spans="1:10" ht="12.75">
      <c r="A67" s="152" t="s">
        <v>362</v>
      </c>
      <c r="B67" s="125">
        <v>16</v>
      </c>
      <c r="C67" s="261">
        <f>IF(C66&gt;0,'Tax Rates'!C21,0)</f>
        <v>5000000</v>
      </c>
      <c r="D67" s="102"/>
      <c r="E67" s="268">
        <f>G67-C67</f>
        <v>-5000000</v>
      </c>
      <c r="F67" s="6"/>
      <c r="G67" s="507"/>
      <c r="H67" s="151"/>
      <c r="I67" s="471"/>
      <c r="J67" s="487"/>
    </row>
    <row r="68" spans="1:8" ht="12.75">
      <c r="A68" s="152" t="s">
        <v>42</v>
      </c>
      <c r="B68" s="125"/>
      <c r="C68" s="265">
        <f>IF((C66-C67)&gt;0,C66-C67,0)</f>
        <v>26136775</v>
      </c>
      <c r="D68" s="102"/>
      <c r="E68" s="268">
        <f>SUM(E66:E67)</f>
        <v>-36136775</v>
      </c>
      <c r="F68" s="114"/>
      <c r="G68" s="265">
        <v>36164667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363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9" ht="12.75">
      <c r="A72" s="152" t="s">
        <v>316</v>
      </c>
      <c r="B72" s="125"/>
      <c r="C72" s="265">
        <f>IF(C68&gt;0,C68*C70,0)*REGINFO!$B$6/REGINFO!$B$7</f>
        <v>78410.325</v>
      </c>
      <c r="D72" s="101"/>
      <c r="E72" s="268">
        <f>+G72-C72</f>
        <v>30083.676000000007</v>
      </c>
      <c r="F72" s="472" t="s">
        <v>474</v>
      </c>
      <c r="G72" s="265">
        <f>IF(G68&gt;0,G68*G70,0)*REGINFO!$B$6/REGINFO!$B$7</f>
        <v>108494.001</v>
      </c>
      <c r="H72" s="161"/>
      <c r="I72" s="494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31136775</v>
      </c>
      <c r="D75" s="102"/>
      <c r="E75" s="268">
        <f>+G75-C75</f>
        <v>7735669</v>
      </c>
      <c r="F75" s="6"/>
      <c r="G75" s="507">
        <v>38872444</v>
      </c>
      <c r="H75" s="151"/>
      <c r="I75" s="502"/>
    </row>
    <row r="76" spans="1:9" ht="12.75">
      <c r="A76" s="152" t="s">
        <v>362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507">
        <v>10000000</v>
      </c>
      <c r="H76" s="151"/>
      <c r="I76" s="471"/>
    </row>
    <row r="77" spans="1:8" ht="12.75">
      <c r="A77" s="152" t="s">
        <v>42</v>
      </c>
      <c r="B77" s="125"/>
      <c r="C77" s="265">
        <f>IF((C75-C76)&gt;0,C75-C76,0)</f>
        <v>21136775</v>
      </c>
      <c r="D77" s="19"/>
      <c r="E77" s="268">
        <f>SUM(E75:E76)</f>
        <v>7735669</v>
      </c>
      <c r="F77" s="114"/>
      <c r="G77" s="265">
        <f>G75-G76</f>
        <v>28872444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363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317</v>
      </c>
      <c r="B81" s="125"/>
      <c r="C81" s="265">
        <f>IF(C77&gt;0,C77*C79,0)*REGINFO!$B$6/REGINFO!$B$7</f>
        <v>47557.74374999999</v>
      </c>
      <c r="D81" s="102"/>
      <c r="E81" s="268">
        <f>+G81-C81</f>
        <v>17405.25525000001</v>
      </c>
      <c r="F81" s="6"/>
      <c r="G81" s="265">
        <f>G77*G79*B9/B10</f>
        <v>64962.998999999996</v>
      </c>
      <c r="H81" s="151"/>
    </row>
    <row r="82" spans="1:8" ht="12.75">
      <c r="A82" s="152" t="s">
        <v>318</v>
      </c>
      <c r="B82" s="125">
        <v>21</v>
      </c>
      <c r="C82" s="301">
        <f>IF(C77&gt;0,IF(C60&gt;0,C50*'Tax Rates'!C20,0),0)</f>
        <v>20011.95615084647</v>
      </c>
      <c r="D82" s="102"/>
      <c r="E82" s="268">
        <f>+G82-C82</f>
        <v>7455.0438491535315</v>
      </c>
      <c r="F82" s="6"/>
      <c r="G82" s="301">
        <v>27467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27545.78759915352</v>
      </c>
      <c r="D84" s="16"/>
      <c r="E84" s="268">
        <f>E81-E82</f>
        <v>9950.211400846478</v>
      </c>
      <c r="F84" s="103"/>
      <c r="G84" s="265">
        <f>G81-G82</f>
        <v>37495.998999999996</v>
      </c>
      <c r="H84" s="161"/>
      <c r="I84" s="494"/>
      <c r="L84" s="22"/>
    </row>
    <row r="85" spans="1:9" ht="12.75">
      <c r="A85" s="152"/>
      <c r="B85" s="125"/>
      <c r="C85" s="105"/>
      <c r="D85" s="11"/>
      <c r="E85" s="141"/>
      <c r="F85" s="6"/>
      <c r="G85" s="141"/>
      <c r="H85" s="163"/>
      <c r="I85" s="34"/>
    </row>
    <row r="86" spans="1:9" ht="12.75">
      <c r="A86" s="154" t="s">
        <v>118</v>
      </c>
      <c r="B86" s="128"/>
      <c r="C86" s="105"/>
      <c r="D86" s="11"/>
      <c r="E86" s="115"/>
      <c r="F86" s="3"/>
      <c r="G86" s="123"/>
      <c r="H86" s="151"/>
      <c r="I86" s="34"/>
    </row>
    <row r="87" spans="1:9" ht="12.75">
      <c r="A87" s="154"/>
      <c r="B87" s="128"/>
      <c r="C87" s="105"/>
      <c r="D87" s="11"/>
      <c r="E87" s="114"/>
      <c r="F87" s="6"/>
      <c r="G87" s="198"/>
      <c r="H87" s="151"/>
      <c r="I87" s="34"/>
    </row>
    <row r="88" spans="1:9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  <c r="I88" s="34"/>
    </row>
    <row r="89" spans="1:9" ht="12.75">
      <c r="A89" s="150"/>
      <c r="B89" s="129"/>
      <c r="C89" s="110"/>
      <c r="D89" s="11"/>
      <c r="E89" s="114"/>
      <c r="F89" s="6"/>
      <c r="G89" s="198"/>
      <c r="H89" s="151"/>
      <c r="I89" s="34"/>
    </row>
    <row r="90" spans="1:9" ht="12.75">
      <c r="A90" s="158" t="s">
        <v>371</v>
      </c>
      <c r="B90" s="127">
        <v>22</v>
      </c>
      <c r="C90" s="265">
        <f>C60/(1-C88)</f>
        <v>1104088.2093509866</v>
      </c>
      <c r="D90" s="20"/>
      <c r="E90" s="139"/>
      <c r="F90" s="431" t="s">
        <v>485</v>
      </c>
      <c r="G90" s="271">
        <f>TAXREC!E156</f>
        <v>906092.8974</v>
      </c>
      <c r="H90" s="151"/>
      <c r="I90" s="494"/>
    </row>
    <row r="91" spans="1:9" ht="12.75">
      <c r="A91" s="158" t="s">
        <v>372</v>
      </c>
      <c r="B91" s="127">
        <v>23</v>
      </c>
      <c r="C91" s="265">
        <f>C84/(1-C88)</f>
        <v>44073.26015864563</v>
      </c>
      <c r="D91" s="20"/>
      <c r="E91" s="139"/>
      <c r="F91" s="431" t="s">
        <v>485</v>
      </c>
      <c r="G91" s="271">
        <f>TAXREC!E158</f>
        <v>37496</v>
      </c>
      <c r="H91" s="151"/>
      <c r="I91" s="494"/>
    </row>
    <row r="92" spans="1:9" ht="12.75">
      <c r="A92" s="158" t="s">
        <v>350</v>
      </c>
      <c r="B92" s="127">
        <v>24</v>
      </c>
      <c r="C92" s="265">
        <f>C72</f>
        <v>78410.325</v>
      </c>
      <c r="D92" s="20"/>
      <c r="E92" s="139"/>
      <c r="F92" s="431" t="s">
        <v>485</v>
      </c>
      <c r="G92" s="271">
        <f>TAXREC!E157</f>
        <v>108494</v>
      </c>
      <c r="H92" s="151"/>
      <c r="I92" s="494"/>
    </row>
    <row r="93" spans="1:9" ht="12.75">
      <c r="A93" s="158"/>
      <c r="B93" s="127"/>
      <c r="C93" s="110"/>
      <c r="D93" s="11"/>
      <c r="E93" s="139"/>
      <c r="F93" s="6"/>
      <c r="G93" s="139"/>
      <c r="H93" s="151"/>
      <c r="I93" s="34"/>
    </row>
    <row r="94" spans="1:9" ht="13.5" thickBot="1">
      <c r="A94" s="158"/>
      <c r="B94" s="127"/>
      <c r="C94" s="110"/>
      <c r="D94" s="11"/>
      <c r="E94" s="139"/>
      <c r="F94" s="6"/>
      <c r="G94" s="139"/>
      <c r="H94" s="151"/>
      <c r="I94" s="34"/>
    </row>
    <row r="95" spans="1:9" ht="13.5" thickBot="1">
      <c r="A95" s="156" t="s">
        <v>486</v>
      </c>
      <c r="B95" s="125">
        <v>25</v>
      </c>
      <c r="C95" s="270">
        <f>SUM(C90:C93)</f>
        <v>1226571.7945096323</v>
      </c>
      <c r="D95" s="6"/>
      <c r="E95" s="139"/>
      <c r="F95" s="431" t="s">
        <v>485</v>
      </c>
      <c r="G95" s="414">
        <f>SUM(G90:G94)</f>
        <v>1052082.8974000001</v>
      </c>
      <c r="H95" s="164"/>
      <c r="I95" s="34"/>
    </row>
    <row r="96" spans="1:8" ht="12.75">
      <c r="A96" s="404" t="s">
        <v>307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304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348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1039000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-36651</v>
      </c>
      <c r="F105" s="37"/>
      <c r="G105" s="201"/>
      <c r="H105" s="164"/>
    </row>
    <row r="106" spans="1:8" ht="12.75">
      <c r="A106" s="158" t="s">
        <v>365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366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364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320</v>
      </c>
      <c r="B112" s="127">
        <v>11</v>
      </c>
      <c r="C112" s="112"/>
      <c r="D112" s="3"/>
      <c r="E112" s="251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1007971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367</v>
      </c>
      <c r="B117" s="127">
        <v>12</v>
      </c>
      <c r="C117" s="112"/>
      <c r="D117" s="3"/>
      <c r="E117" s="251">
        <f>E44</f>
        <v>9418</v>
      </c>
      <c r="F117" s="37"/>
      <c r="G117" s="201"/>
      <c r="H117" s="164"/>
    </row>
    <row r="118" spans="1:8" ht="12.75">
      <c r="A118" s="158" t="s">
        <v>368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-15040</v>
      </c>
      <c r="F120" s="37"/>
      <c r="G120" s="201"/>
      <c r="H120" s="164"/>
    </row>
    <row r="121" spans="1:10" ht="12.75">
      <c r="A121" s="152"/>
      <c r="B121" s="127"/>
      <c r="C121" s="112"/>
      <c r="D121" s="117"/>
      <c r="E121" s="110"/>
      <c r="F121" s="37"/>
      <c r="G121" s="201"/>
      <c r="H121" s="164"/>
      <c r="I121" s="35"/>
      <c r="J121" s="34"/>
    </row>
    <row r="122" spans="1:10" ht="12.75">
      <c r="A122" s="157" t="s">
        <v>488</v>
      </c>
      <c r="B122" s="127"/>
      <c r="C122" s="112"/>
      <c r="D122" s="3" t="s">
        <v>231</v>
      </c>
      <c r="E122" s="508">
        <f>+'Tax Rates'!F52</f>
        <v>0.3862</v>
      </c>
      <c r="F122" s="470"/>
      <c r="G122" s="201" t="s">
        <v>102</v>
      </c>
      <c r="H122" s="164"/>
      <c r="I122" s="494"/>
      <c r="J122" s="34"/>
    </row>
    <row r="123" spans="1:10" ht="12.75">
      <c r="A123" s="158"/>
      <c r="B123" s="127"/>
      <c r="C123" s="112"/>
      <c r="D123" s="3"/>
      <c r="E123" s="110"/>
      <c r="F123" s="37"/>
      <c r="G123" s="201" t="s">
        <v>102</v>
      </c>
      <c r="H123" s="164"/>
      <c r="I123" s="494"/>
      <c r="J123" s="496"/>
    </row>
    <row r="124" spans="1:10" ht="12.75">
      <c r="A124" s="158" t="s">
        <v>246</v>
      </c>
      <c r="B124" s="127"/>
      <c r="C124" s="112"/>
      <c r="D124" s="3" t="s">
        <v>189</v>
      </c>
      <c r="E124" s="265">
        <f>E120*E122</f>
        <v>-5808.447999999999</v>
      </c>
      <c r="F124" s="37"/>
      <c r="G124" s="201"/>
      <c r="H124" s="164"/>
      <c r="I124" s="494"/>
      <c r="J124" s="496"/>
    </row>
    <row r="125" spans="1:10" ht="12.75">
      <c r="A125" s="158"/>
      <c r="B125" s="127"/>
      <c r="C125" s="112"/>
      <c r="D125" s="3"/>
      <c r="E125" s="110"/>
      <c r="F125" s="37"/>
      <c r="G125" s="201"/>
      <c r="H125" s="164"/>
      <c r="I125" s="494"/>
      <c r="J125" s="497"/>
    </row>
    <row r="126" spans="1:10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  <c r="I126" s="34"/>
      <c r="J126" s="496"/>
    </row>
    <row r="127" spans="1:10" ht="12.75">
      <c r="A127" s="158"/>
      <c r="B127" s="127"/>
      <c r="C127" s="112"/>
      <c r="D127" s="3"/>
      <c r="E127" s="110"/>
      <c r="F127" s="37"/>
      <c r="G127" s="201"/>
      <c r="H127" s="164"/>
      <c r="I127" s="494"/>
      <c r="J127" s="41"/>
    </row>
    <row r="128" spans="1:10" ht="12.75">
      <c r="A128" s="158" t="s">
        <v>117</v>
      </c>
      <c r="B128" s="127"/>
      <c r="C128" s="112"/>
      <c r="D128" s="3"/>
      <c r="E128" s="265">
        <f>E124-E126</f>
        <v>-5808.447999999999</v>
      </c>
      <c r="F128" s="37"/>
      <c r="G128" s="201"/>
      <c r="H128" s="164"/>
      <c r="I128" s="494"/>
      <c r="J128" s="41"/>
    </row>
    <row r="129" spans="1:10" ht="12.75">
      <c r="A129" s="167"/>
      <c r="B129" s="127"/>
      <c r="C129" s="112"/>
      <c r="D129" s="3"/>
      <c r="E129" s="509"/>
      <c r="F129" s="37"/>
      <c r="G129" s="201"/>
      <c r="H129" s="164"/>
      <c r="I129" s="494"/>
      <c r="J129" s="41"/>
    </row>
    <row r="130" spans="1:10" ht="12.75">
      <c r="A130" s="152" t="s">
        <v>196</v>
      </c>
      <c r="B130" s="127"/>
      <c r="C130" s="112"/>
      <c r="D130" s="3"/>
      <c r="E130" s="508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  <c r="I130" s="494"/>
      <c r="J130" s="41"/>
    </row>
    <row r="131" spans="1:11" ht="12.75">
      <c r="A131" s="150"/>
      <c r="B131" s="127"/>
      <c r="C131" s="112"/>
      <c r="D131" s="3"/>
      <c r="E131" s="110"/>
      <c r="F131" s="37"/>
      <c r="G131" s="201"/>
      <c r="H131" s="164"/>
      <c r="I131" s="494"/>
      <c r="J131" s="34"/>
      <c r="K131" s="41"/>
    </row>
    <row r="132" spans="1:11" ht="12.75">
      <c r="A132" s="168" t="s">
        <v>354</v>
      </c>
      <c r="B132" s="130"/>
      <c r="C132" s="112"/>
      <c r="D132" s="3"/>
      <c r="E132" s="264">
        <f>E128/(1-E130)</f>
        <v>-9293.5168</v>
      </c>
      <c r="F132" s="37"/>
      <c r="G132" s="201"/>
      <c r="H132" s="164"/>
      <c r="I132" s="494"/>
      <c r="J132" s="34"/>
      <c r="K132" s="41"/>
    </row>
    <row r="133" spans="1:11" ht="12.75">
      <c r="A133" s="168"/>
      <c r="B133" s="130"/>
      <c r="C133" s="112"/>
      <c r="D133" s="3"/>
      <c r="E133" s="107"/>
      <c r="F133" s="37"/>
      <c r="G133" s="201"/>
      <c r="H133" s="164"/>
      <c r="I133" s="493"/>
      <c r="J133" s="34"/>
      <c r="K133" s="41"/>
    </row>
    <row r="134" spans="1:8" ht="30">
      <c r="A134" s="169" t="s">
        <v>357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1786781.7991827205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10" ht="12.75">
      <c r="A138" s="171" t="s">
        <v>237</v>
      </c>
      <c r="B138" s="130"/>
      <c r="C138" s="112"/>
      <c r="D138" s="119" t="s">
        <v>231</v>
      </c>
      <c r="E138" s="508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  <c r="J138" s="492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690055.1308443666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690055.1308443666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690055.1308443666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31136775</v>
      </c>
      <c r="F151" s="37"/>
      <c r="G151" s="201"/>
      <c r="H151" s="164"/>
    </row>
    <row r="152" spans="1:8" ht="12.75">
      <c r="A152" s="171" t="s">
        <v>360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26136775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361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78410.325</v>
      </c>
      <c r="F157" s="37"/>
      <c r="G157" s="201"/>
      <c r="H157" s="164"/>
    </row>
    <row r="158" spans="1:8" ht="25.5">
      <c r="A158" s="171" t="s">
        <v>308</v>
      </c>
      <c r="B158" s="130"/>
      <c r="C158" s="112"/>
      <c r="D158" s="118" t="s">
        <v>188</v>
      </c>
      <c r="E158" s="306">
        <f>C72</f>
        <v>78410.325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510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31136775</v>
      </c>
      <c r="F162" s="37"/>
      <c r="G162" s="201"/>
      <c r="H162" s="164"/>
    </row>
    <row r="163" spans="1:8" ht="12.75">
      <c r="A163" s="171" t="s">
        <v>359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21136775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309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47557.74374999999</v>
      </c>
      <c r="F168" s="37"/>
      <c r="G168" s="201"/>
      <c r="H168" s="164"/>
    </row>
    <row r="169" spans="1:8" ht="12.75">
      <c r="A169" s="171" t="s">
        <v>319</v>
      </c>
      <c r="B169" s="130"/>
      <c r="C169" s="112"/>
      <c r="D169" s="118" t="s">
        <v>188</v>
      </c>
      <c r="E169" s="308">
        <f>IF(E164&gt;0,IF(E144&gt;0,E136*'Tax Rates'!C56,0),0)</f>
        <v>20011.95615084647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27545.78759915352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349</v>
      </c>
      <c r="B172" s="130"/>
      <c r="C172" s="112"/>
      <c r="D172" s="118" t="s">
        <v>188</v>
      </c>
      <c r="E172" s="306">
        <f>C84</f>
        <v>27545.78759915352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510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346</v>
      </c>
      <c r="B175" s="130"/>
      <c r="C175" s="112"/>
      <c r="D175" s="119"/>
      <c r="E175" s="508">
        <f>IF((E120+G50)&gt;'Tax Rates'!E47,'Tax Rates'!F52-1.12%,IF((E120+G50)&gt;'Tax Rates'!D47,'Tax Rates'!E52-1.12%,IF((E120+G50)&gt;'Tax Rates'!C47,'Tax Rates'!D52,'Tax Rates'!C52-1.12%)))</f>
        <v>0.375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355</v>
      </c>
      <c r="B181" s="130"/>
      <c r="C181" s="112"/>
      <c r="D181" s="119" t="s">
        <v>189</v>
      </c>
      <c r="E181" s="303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347</v>
      </c>
      <c r="B183" s="130"/>
      <c r="C183" s="112"/>
      <c r="D183" s="119" t="s">
        <v>187</v>
      </c>
      <c r="E183" s="303">
        <f>E132</f>
        <v>-9293.5168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356</v>
      </c>
      <c r="B185" s="130"/>
      <c r="C185" s="112"/>
      <c r="D185" s="119" t="s">
        <v>189</v>
      </c>
      <c r="E185" s="303">
        <f>E181+E183</f>
        <v>-9293.5168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1128708.09375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9">
        <f>REGINFO!D66</f>
        <v>848687.2008172796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9">
        <f>E193-E194</f>
        <v>280020.89293272037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79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79"/>
      <c r="H200" s="164"/>
    </row>
    <row r="201" spans="1:8" ht="12.75">
      <c r="A201" s="488" t="s">
        <v>500</v>
      </c>
      <c r="B201" s="127"/>
      <c r="C201" s="112"/>
      <c r="D201" s="120"/>
      <c r="E201" s="309">
        <f>G37+G42</f>
        <v>1058246</v>
      </c>
      <c r="F201" s="3"/>
      <c r="G201" s="479"/>
      <c r="H201" s="164"/>
    </row>
    <row r="202" spans="1:8" ht="12.75">
      <c r="A202" s="155" t="s">
        <v>345</v>
      </c>
      <c r="B202" s="127"/>
      <c r="C202" s="112"/>
      <c r="D202" s="120"/>
      <c r="E202" s="309">
        <f>REGINFO!D62</f>
        <v>1128708.09375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499</v>
      </c>
      <c r="B206" s="127"/>
      <c r="C206" s="112"/>
      <c r="D206" s="120"/>
      <c r="E206" s="51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280020.89293272037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&amp;R&amp;9Festival Hydro Inc.
EB-2008-0381
Deferred PILs Combined Proceeding
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Layout" zoomScale="75" zoomScalePageLayoutView="75" workbookViewId="0" topLeftCell="A92">
      <selection activeCell="A92" sqref="A9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EB-2011-0167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Festival 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81" t="s">
        <v>492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81" t="s">
        <v>493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481" t="s">
        <v>493</v>
      </c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481" t="s">
        <v>493</v>
      </c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258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273</v>
      </c>
      <c r="B31" s="23" t="s">
        <v>187</v>
      </c>
      <c r="C31" s="286">
        <v>50985273</v>
      </c>
      <c r="D31" s="287"/>
      <c r="E31" s="285">
        <f>C31-D31</f>
        <v>50985273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492765</v>
      </c>
      <c r="D32" s="287"/>
      <c r="E32" s="285">
        <f>C32-D32</f>
        <v>492765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103984</v>
      </c>
      <c r="D33" s="287">
        <v>68815</v>
      </c>
      <c r="E33" s="285">
        <f>C33-D33</f>
        <v>35169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43212401</v>
      </c>
      <c r="D39" s="287"/>
      <c r="E39" s="285">
        <f>C39-D39</f>
        <v>43212401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v>1114327</v>
      </c>
      <c r="D40" s="287"/>
      <c r="E40" s="285">
        <f aca="true" t="shared" si="0" ref="E40:E48">C40-D40</f>
        <v>1114327</v>
      </c>
      <c r="F40" s="11"/>
      <c r="G40" s="11"/>
      <c r="H40" s="6"/>
      <c r="I40" s="6"/>
    </row>
    <row r="41" spans="1:9" ht="12.75">
      <c r="A41" s="4" t="s">
        <v>274</v>
      </c>
      <c r="B41" s="23" t="s">
        <v>188</v>
      </c>
      <c r="C41" s="286">
        <v>885576</v>
      </c>
      <c r="D41" s="287"/>
      <c r="E41" s="285">
        <f t="shared" si="0"/>
        <v>885576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6">
        <v>1169856</v>
      </c>
      <c r="D42" s="287"/>
      <c r="E42" s="285">
        <f t="shared" si="0"/>
        <v>1169856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6">
        <v>2147184</v>
      </c>
      <c r="D43" s="287"/>
      <c r="E43" s="285">
        <f t="shared" si="0"/>
        <v>2147184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6">
        <v>95819</v>
      </c>
      <c r="D44" s="287"/>
      <c r="E44" s="285">
        <f t="shared" si="0"/>
        <v>95819</v>
      </c>
      <c r="F44" s="11"/>
      <c r="G44" s="11"/>
      <c r="H44" s="6"/>
      <c r="I44" s="6"/>
    </row>
    <row r="45" spans="1:11" ht="12.75">
      <c r="A45" s="498" t="s">
        <v>503</v>
      </c>
      <c r="B45" s="23" t="s">
        <v>188</v>
      </c>
      <c r="C45" s="286">
        <v>0</v>
      </c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2956859</v>
      </c>
      <c r="D50" s="282">
        <f>SUM(D31:D36)-SUM(D39:D49)</f>
        <v>68815</v>
      </c>
      <c r="E50" s="282">
        <f>SUM(E31:E35)-SUM(E39:E48)</f>
        <v>2888044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1058246</v>
      </c>
      <c r="D51" s="286"/>
      <c r="E51" s="283">
        <f>+C51-D51</f>
        <v>1058246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6">
        <v>895680</v>
      </c>
      <c r="D52" s="286"/>
      <c r="E52" s="284">
        <f>+C52-D52</f>
        <v>895680</v>
      </c>
      <c r="F52" s="8"/>
    </row>
    <row r="53" spans="1:6" ht="12.75">
      <c r="A53" s="2" t="s">
        <v>131</v>
      </c>
      <c r="B53" s="8" t="s">
        <v>189</v>
      </c>
      <c r="C53" s="282">
        <f>C50-C51-C52</f>
        <v>1002933</v>
      </c>
      <c r="D53" s="282">
        <f>D50-D51-D52</f>
        <v>68815</v>
      </c>
      <c r="E53" s="282">
        <f>E50-E51-E52</f>
        <v>934118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895680</v>
      </c>
      <c r="D59" s="288">
        <f>D52</f>
        <v>0</v>
      </c>
      <c r="E59" s="273">
        <f>+C59-D59</f>
        <v>895680</v>
      </c>
      <c r="F59" s="8"/>
    </row>
    <row r="60" spans="1:6" ht="12.75">
      <c r="A60" s="4" t="s">
        <v>327</v>
      </c>
      <c r="B60" s="8" t="s">
        <v>187</v>
      </c>
      <c r="C60" s="318">
        <v>0</v>
      </c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318">
        <f>C43</f>
        <v>2147184</v>
      </c>
      <c r="D61" s="288">
        <f>D43</f>
        <v>0</v>
      </c>
      <c r="E61" s="273">
        <f>+C61-D61</f>
        <v>2147184</v>
      </c>
      <c r="F61" s="8"/>
      <c r="G61" s="416"/>
    </row>
    <row r="62" spans="1:6" ht="12.75">
      <c r="A62" t="s">
        <v>6</v>
      </c>
      <c r="B62" s="8" t="s">
        <v>187</v>
      </c>
      <c r="C62" s="318">
        <v>0</v>
      </c>
      <c r="D62" s="288">
        <v>0</v>
      </c>
      <c r="E62" s="273">
        <f>+C62-D62</f>
        <v>0</v>
      </c>
      <c r="F62" s="8"/>
    </row>
    <row r="63" spans="1:6" ht="12.75">
      <c r="A63" s="31" t="s">
        <v>278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1039000</v>
      </c>
      <c r="D64" s="317">
        <f>'Tax Reserves'!D63</f>
        <v>0</v>
      </c>
      <c r="E64" s="273">
        <f>+C64-D64</f>
        <v>1039000</v>
      </c>
      <c r="F64" s="8"/>
    </row>
    <row r="65" spans="1:6" ht="12.75">
      <c r="A65" t="s">
        <v>446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8" t="s">
        <v>397</v>
      </c>
      <c r="B66" s="8"/>
      <c r="C66" s="447">
        <f>'TAXREC 3 No True-up'!C47</f>
        <v>4933</v>
      </c>
      <c r="D66" s="447">
        <f>'TAXREC 3 No True-up'!D47</f>
        <v>0</v>
      </c>
      <c r="E66" s="273">
        <f>+C66-D66</f>
        <v>4933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4086797</v>
      </c>
      <c r="D70" s="273">
        <f>SUM(D59:D68)</f>
        <v>0</v>
      </c>
      <c r="E70" s="273">
        <f>SUM(E59:E68)</f>
        <v>4086797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479</v>
      </c>
      <c r="B76" s="8" t="s">
        <v>187</v>
      </c>
      <c r="C76" s="473"/>
      <c r="D76" s="295"/>
      <c r="E76" s="474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4086797</v>
      </c>
      <c r="D82" s="251">
        <f>D70+D80</f>
        <v>0</v>
      </c>
      <c r="E82" s="251">
        <f>E70+E80</f>
        <v>4086797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434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1605255</v>
      </c>
      <c r="D97" s="295"/>
      <c r="E97" s="273">
        <f>+C97-D97</f>
        <v>1605255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14637</v>
      </c>
      <c r="D98" s="295"/>
      <c r="E98" s="273">
        <f>+C98-D98</f>
        <v>14637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4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9">
        <f>'Tax Reserves'!C50</f>
        <v>1007971</v>
      </c>
      <c r="D105" s="319">
        <f>'Tax Reserves'!D50</f>
        <v>0</v>
      </c>
      <c r="E105" s="283">
        <f t="shared" si="5"/>
        <v>1007971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397</v>
      </c>
      <c r="B108" s="8"/>
      <c r="C108" s="254">
        <f>'TAXREC 3 No True-up'!C73</f>
        <v>0</v>
      </c>
      <c r="D108" s="254">
        <f>'TAXREC 3 No True-up'!D73</f>
        <v>0</v>
      </c>
      <c r="E108" s="273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2627863</v>
      </c>
      <c r="D113" s="251">
        <f>SUM(D97:D111)</f>
        <v>0</v>
      </c>
      <c r="E113" s="251">
        <f>SUM(E97:E111)</f>
        <v>2627863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>
        <v>9418</v>
      </c>
      <c r="D115" s="295"/>
      <c r="E115" s="273">
        <f>+C115-D115</f>
        <v>9418</v>
      </c>
      <c r="F115" s="8"/>
      <c r="G115" s="495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9418</v>
      </c>
      <c r="D120" s="251">
        <f>SUM(D114:D119)</f>
        <v>0</v>
      </c>
      <c r="E120" s="251">
        <f>SUM(E114:E119)</f>
        <v>9418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2637281</v>
      </c>
      <c r="D122" s="251">
        <f>D113+D120</f>
        <v>0</v>
      </c>
      <c r="E122" s="251">
        <f>+E113+E120</f>
        <v>2637281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Charitable donations - tax basis</v>
      </c>
      <c r="B125" s="274"/>
      <c r="C125" s="291">
        <f aca="true" t="shared" si="6" ref="C125:E129">IF($E115&gt;$C$13,C115,)</f>
        <v>9418</v>
      </c>
      <c r="D125" s="291">
        <f>IF($E115&gt;$C$13,D115,)</f>
        <v>0</v>
      </c>
      <c r="E125" s="291">
        <f>IF($E115&gt;$C$13,E115,)</f>
        <v>9418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9418</v>
      </c>
      <c r="D130" s="251">
        <f>SUM(D125:D129)</f>
        <v>0</v>
      </c>
      <c r="E130" s="251">
        <f>SUM(E125:E129)</f>
        <v>9418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9418</v>
      </c>
      <c r="D132" s="251">
        <f>D130+D131</f>
        <v>0</v>
      </c>
      <c r="E132" s="251">
        <f>E130+E131</f>
        <v>9418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2452449</v>
      </c>
      <c r="D134" s="251">
        <f>D53+D82-D122</f>
        <v>68815</v>
      </c>
      <c r="E134" s="251">
        <f>E53+E82-E122</f>
        <v>2383634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377</v>
      </c>
      <c r="B136" s="8" t="s">
        <v>188</v>
      </c>
      <c r="C136" s="295">
        <v>109322</v>
      </c>
      <c r="D136" s="295"/>
      <c r="E136" s="500">
        <f>C136-D136</f>
        <v>109322</v>
      </c>
      <c r="F136" s="8"/>
      <c r="G136" s="489"/>
      <c r="H136" s="45"/>
      <c r="I136" s="45"/>
      <c r="J136" s="45"/>
      <c r="K136" s="45"/>
    </row>
    <row r="137" spans="1:11" ht="12.75">
      <c r="A137" s="46" t="s">
        <v>378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2343127</v>
      </c>
      <c r="D139" s="252">
        <f>D134-D136-D137-D138</f>
        <v>68815</v>
      </c>
      <c r="E139" s="252">
        <f>E134-E136-E137-E138</f>
        <v>2274312</v>
      </c>
      <c r="F139" s="8"/>
      <c r="G139" s="501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9">
        <f>C139*C149</f>
        <v>612024.7724</v>
      </c>
      <c r="D142" s="299"/>
      <c r="E142" s="252">
        <f>C142-D142</f>
        <v>612024.7724</v>
      </c>
      <c r="F142" s="8"/>
      <c r="G142" s="501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9">
        <f>(2352545*C150)</f>
        <v>294068.125</v>
      </c>
      <c r="D143" s="299"/>
      <c r="E143" s="293">
        <f>C143-D143</f>
        <v>294068.125</v>
      </c>
      <c r="F143" s="8"/>
      <c r="G143" s="490"/>
      <c r="H143" s="489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906092.8974</v>
      </c>
      <c r="D144" s="252">
        <f>D142+D143</f>
        <v>0</v>
      </c>
      <c r="E144" s="252">
        <f>E142+E143</f>
        <v>906092.8974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906092.8974</v>
      </c>
      <c r="D146" s="252">
        <f>D144-D145</f>
        <v>0</v>
      </c>
      <c r="E146" s="252">
        <f>E144-E145</f>
        <v>906092.8974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+'Tax Rates'!F50</f>
        <v>0.2612</v>
      </c>
      <c r="D149" s="5"/>
      <c r="E149" s="406">
        <f>C149</f>
        <v>0.2612</v>
      </c>
      <c r="F149" s="8"/>
      <c r="G149" s="45"/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+'Tax Rates'!F51</f>
        <v>0.125</v>
      </c>
      <c r="D150" s="5"/>
      <c r="E150" s="406">
        <f>C150</f>
        <v>0.125</v>
      </c>
      <c r="F150" s="8"/>
      <c r="G150" s="45"/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0.3862</v>
      </c>
      <c r="D151" s="478" t="s">
        <v>487</v>
      </c>
      <c r="E151" s="406">
        <f>SUM(E149:E150)</f>
        <v>0.3862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358</v>
      </c>
      <c r="B153" s="8"/>
    </row>
    <row r="154" spans="1:2" ht="12.75">
      <c r="A154" s="14"/>
      <c r="B154" s="8"/>
    </row>
    <row r="155" spans="1:2" ht="12.75">
      <c r="A155" s="2" t="s">
        <v>484</v>
      </c>
      <c r="B155" s="8"/>
    </row>
    <row r="156" spans="1:9" ht="12.75">
      <c r="A156" t="s">
        <v>219</v>
      </c>
      <c r="B156" s="86" t="s">
        <v>187</v>
      </c>
      <c r="C156" s="251">
        <f>C146</f>
        <v>906092.8974</v>
      </c>
      <c r="D156" s="251">
        <f>D146</f>
        <v>0</v>
      </c>
      <c r="E156" s="251">
        <f>E146</f>
        <v>906092.8974</v>
      </c>
      <c r="G156" s="501"/>
      <c r="I156" s="34"/>
    </row>
    <row r="157" spans="1:7" ht="12.75">
      <c r="A157" t="s">
        <v>20</v>
      </c>
      <c r="B157" s="86" t="s">
        <v>187</v>
      </c>
      <c r="C157" s="475">
        <v>108494</v>
      </c>
      <c r="D157" s="251"/>
      <c r="E157" s="251">
        <f>C157+D157</f>
        <v>108494</v>
      </c>
      <c r="G157" s="501"/>
    </row>
    <row r="158" spans="1:7" ht="12.75">
      <c r="A158" t="s">
        <v>218</v>
      </c>
      <c r="B158" s="86" t="s">
        <v>187</v>
      </c>
      <c r="C158" s="475">
        <v>37496</v>
      </c>
      <c r="D158" s="251"/>
      <c r="E158" s="251">
        <f>C158+D158</f>
        <v>37496</v>
      </c>
      <c r="G158" s="501"/>
    </row>
    <row r="159" ht="12.75">
      <c r="B159" s="8"/>
    </row>
    <row r="160" spans="1:5" ht="12.75">
      <c r="A160" s="2" t="s">
        <v>302</v>
      </c>
      <c r="B160" s="66" t="s">
        <v>189</v>
      </c>
      <c r="C160" s="251">
        <f>C156+C157+C158</f>
        <v>1052082.8974000001</v>
      </c>
      <c r="D160" s="251">
        <f>D156+D157+D158</f>
        <v>0</v>
      </c>
      <c r="E160" s="251">
        <f>E156+E157+E158</f>
        <v>1052082.8974000001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&amp;R&amp;9Festival Hydor Inc.
EB-2011-0183
Deferred PILs Combined Proceeding
</oddHeader>
    <oddFooter>&amp;L&amp;8July 07, 2011&amp;R&amp;"Arial,Bold"&amp;9&amp;A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view="pageLayout" workbookViewId="0" topLeftCell="A1">
      <selection activeCell="A15" sqref="A1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EB-2011-0167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Festival 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272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280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281</v>
      </c>
      <c r="B15" s="61"/>
      <c r="C15" s="295"/>
      <c r="D15" s="295"/>
      <c r="E15" s="251">
        <f t="shared" si="0"/>
        <v>0</v>
      </c>
    </row>
    <row r="16" spans="1:5" ht="12.75">
      <c r="A16" s="61" t="s">
        <v>282</v>
      </c>
      <c r="B16" s="61"/>
      <c r="C16" s="295"/>
      <c r="D16" s="295"/>
      <c r="E16" s="251">
        <f t="shared" si="0"/>
        <v>0</v>
      </c>
    </row>
    <row r="17" spans="1:5" ht="12.75">
      <c r="A17" s="61" t="s">
        <v>283</v>
      </c>
      <c r="B17" s="61"/>
      <c r="C17" s="295"/>
      <c r="D17" s="295"/>
      <c r="E17" s="251">
        <f t="shared" si="0"/>
        <v>0</v>
      </c>
    </row>
    <row r="18" spans="1:5" ht="12.75">
      <c r="A18" s="61" t="s">
        <v>451</v>
      </c>
      <c r="B18" s="61"/>
      <c r="C18" s="295"/>
      <c r="D18" s="295"/>
      <c r="E18" s="251">
        <f t="shared" si="0"/>
        <v>0</v>
      </c>
    </row>
    <row r="19" spans="1:5" ht="12.75">
      <c r="A19" s="61" t="s">
        <v>451</v>
      </c>
      <c r="B19" s="61"/>
      <c r="C19" s="295"/>
      <c r="D19" s="295"/>
      <c r="E19" s="251">
        <f t="shared" si="0"/>
        <v>0</v>
      </c>
    </row>
    <row r="20" spans="1:5" ht="12.75">
      <c r="A20" s="482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271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280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281</v>
      </c>
      <c r="B27" s="61"/>
      <c r="C27" s="295"/>
      <c r="D27" s="295"/>
      <c r="E27" s="251">
        <f t="shared" si="1"/>
        <v>0</v>
      </c>
    </row>
    <row r="28" spans="1:5" ht="12.75">
      <c r="A28" s="61" t="s">
        <v>282</v>
      </c>
      <c r="B28" s="61"/>
      <c r="C28" s="295"/>
      <c r="D28" s="295"/>
      <c r="E28" s="251">
        <f t="shared" si="1"/>
        <v>0</v>
      </c>
    </row>
    <row r="29" spans="1:5" ht="12.75">
      <c r="A29" s="61" t="s">
        <v>283</v>
      </c>
      <c r="B29" s="61"/>
      <c r="C29" s="295"/>
      <c r="D29" s="295"/>
      <c r="E29" s="251">
        <f t="shared" si="1"/>
        <v>0</v>
      </c>
    </row>
    <row r="30" spans="1:5" ht="12.75">
      <c r="A30" s="61" t="s">
        <v>451</v>
      </c>
      <c r="B30" s="61"/>
      <c r="C30" s="295"/>
      <c r="D30" s="295"/>
      <c r="E30" s="251">
        <f t="shared" si="1"/>
        <v>0</v>
      </c>
    </row>
    <row r="31" spans="1:5" ht="12.75">
      <c r="A31" s="61" t="s">
        <v>451</v>
      </c>
      <c r="B31" s="61"/>
      <c r="C31" s="295"/>
      <c r="D31" s="295"/>
      <c r="E31" s="251">
        <f t="shared" si="1"/>
        <v>0</v>
      </c>
    </row>
    <row r="32" spans="1:5" ht="12.75">
      <c r="A32" s="482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272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266</v>
      </c>
      <c r="B43" s="61"/>
      <c r="C43" s="295"/>
      <c r="D43" s="295"/>
      <c r="E43" s="251">
        <f t="shared" si="2"/>
        <v>0</v>
      </c>
    </row>
    <row r="44" spans="1:5" ht="12.75">
      <c r="A44" s="61" t="s">
        <v>267</v>
      </c>
      <c r="B44" s="61"/>
      <c r="C44" s="295"/>
      <c r="D44" s="295"/>
      <c r="E44" s="251">
        <f t="shared" si="2"/>
        <v>0</v>
      </c>
    </row>
    <row r="45" spans="1:5" ht="12.75">
      <c r="A45" s="61" t="s">
        <v>268</v>
      </c>
      <c r="B45" s="61"/>
      <c r="C45" s="295"/>
      <c r="D45" s="295"/>
      <c r="E45" s="251">
        <f t="shared" si="2"/>
        <v>0</v>
      </c>
    </row>
    <row r="46" spans="1:5" ht="12.75">
      <c r="A46" s="61" t="s">
        <v>269</v>
      </c>
      <c r="B46" s="61"/>
      <c r="C46" s="295"/>
      <c r="D46" s="295"/>
      <c r="E46" s="251">
        <f t="shared" si="2"/>
        <v>0</v>
      </c>
    </row>
    <row r="47" spans="1:5" ht="12.75">
      <c r="A47" s="482" t="s">
        <v>494</v>
      </c>
      <c r="B47" s="61"/>
      <c r="C47" s="295">
        <v>1007971</v>
      </c>
      <c r="D47" s="295"/>
      <c r="E47" s="251">
        <f t="shared" si="2"/>
        <v>1007971</v>
      </c>
    </row>
    <row r="48" spans="1:5" ht="12.75">
      <c r="A48" s="61" t="s">
        <v>451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1007971</v>
      </c>
      <c r="D50" s="251">
        <f>SUM(D41:D49)</f>
        <v>0</v>
      </c>
      <c r="E50" s="251">
        <f>SUM(E41:E49)</f>
        <v>1007971</v>
      </c>
    </row>
    <row r="51" spans="3:5" ht="12.75">
      <c r="C51" s="22"/>
      <c r="D51" s="22"/>
      <c r="E51" s="22"/>
    </row>
    <row r="52" spans="1:5" ht="12.75">
      <c r="A52" s="247" t="s">
        <v>271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266</v>
      </c>
      <c r="B55" s="61"/>
      <c r="C55" s="295"/>
      <c r="D55" s="295"/>
      <c r="E55" s="251">
        <f t="shared" si="3"/>
        <v>0</v>
      </c>
    </row>
    <row r="56" spans="1:5" ht="12.75">
      <c r="A56" s="246" t="s">
        <v>267</v>
      </c>
      <c r="B56" s="61"/>
      <c r="C56" s="295"/>
      <c r="D56" s="295"/>
      <c r="E56" s="251">
        <f t="shared" si="3"/>
        <v>0</v>
      </c>
    </row>
    <row r="57" spans="1:5" ht="12.75">
      <c r="A57" s="246" t="s">
        <v>268</v>
      </c>
      <c r="B57" s="61"/>
      <c r="C57" s="295"/>
      <c r="D57" s="295"/>
      <c r="E57" s="251">
        <f t="shared" si="3"/>
        <v>0</v>
      </c>
    </row>
    <row r="58" spans="1:5" ht="12.75">
      <c r="A58" s="246" t="s">
        <v>269</v>
      </c>
      <c r="B58" s="61"/>
      <c r="C58" s="295"/>
      <c r="D58" s="295"/>
      <c r="E58" s="251">
        <f t="shared" si="3"/>
        <v>0</v>
      </c>
    </row>
    <row r="59" spans="1:5" ht="12.75">
      <c r="A59" s="482" t="s">
        <v>494</v>
      </c>
      <c r="B59" s="61"/>
      <c r="C59" s="295">
        <v>1039000</v>
      </c>
      <c r="D59" s="295"/>
      <c r="E59" s="251">
        <f t="shared" si="3"/>
        <v>1039000</v>
      </c>
    </row>
    <row r="60" spans="1:5" ht="12.75">
      <c r="A60" s="61" t="s">
        <v>451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1039000</v>
      </c>
      <c r="D63" s="251">
        <f>SUM(D53:D61)</f>
        <v>0</v>
      </c>
      <c r="E63" s="251">
        <f>SUM(E53:E61)</f>
        <v>1039000</v>
      </c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&amp;R&amp;9Festival Hydro Inc.
EB-2008-0381
Deferred PILs Combined Proceeding
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Layout" workbookViewId="0" topLeftCell="A1">
      <selection activeCell="A11" sqref="A1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EB-2011-0167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468</v>
      </c>
      <c r="B5" s="8"/>
      <c r="C5" s="8" t="s">
        <v>2</v>
      </c>
      <c r="D5" s="8"/>
      <c r="E5" s="8"/>
      <c r="F5" s="8"/>
    </row>
    <row r="6" spans="1:6" ht="12.75">
      <c r="A6" s="416" t="s">
        <v>448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Festival 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252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452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253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477</v>
      </c>
      <c r="B36" t="s">
        <v>187</v>
      </c>
      <c r="C36" s="296"/>
      <c r="D36" s="296"/>
      <c r="E36" s="313">
        <f t="shared" si="0"/>
        <v>0</v>
      </c>
    </row>
    <row r="37" spans="1:5" ht="12.75">
      <c r="A37" s="499" t="s">
        <v>504</v>
      </c>
      <c r="B37" t="s">
        <v>187</v>
      </c>
      <c r="C37" s="296">
        <v>0</v>
      </c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254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379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1:5" ht="12.75">
      <c r="A92" s="483" t="s">
        <v>497</v>
      </c>
      <c r="B92" s="8" t="s">
        <v>188</v>
      </c>
      <c r="C92" s="295"/>
      <c r="D92" s="295"/>
      <c r="E92" s="251">
        <f t="shared" si="5"/>
        <v>0</v>
      </c>
    </row>
    <row r="93" spans="1:5" ht="12.75">
      <c r="A93" s="483" t="s">
        <v>495</v>
      </c>
      <c r="B93" s="8" t="s">
        <v>188</v>
      </c>
      <c r="C93" s="295"/>
      <c r="D93" s="295"/>
      <c r="E93" s="251">
        <f t="shared" si="5"/>
        <v>0</v>
      </c>
    </row>
    <row r="94" spans="1:5" ht="12.75">
      <c r="A94" s="483" t="s">
        <v>496</v>
      </c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478</v>
      </c>
      <c r="B96" s="8" t="s">
        <v>188</v>
      </c>
      <c r="C96" s="295"/>
      <c r="D96" s="295"/>
      <c r="E96" s="251">
        <f t="shared" si="5"/>
        <v>0</v>
      </c>
    </row>
    <row r="97" spans="1:5" ht="12.75">
      <c r="A97" s="499" t="s">
        <v>505</v>
      </c>
      <c r="B97" s="8" t="s">
        <v>188</v>
      </c>
      <c r="C97" s="295">
        <v>0</v>
      </c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&amp;R&amp;9Festival Hydro Inc.
EB-2008-0381
Deferred PILs Combined Proceeding
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view="pageLayout" workbookViewId="0" topLeftCell="A1">
      <selection activeCell="E7" sqref="E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EB-2011-0167</v>
      </c>
    </row>
    <row r="3" spans="1:5" ht="12.75">
      <c r="A3" s="2" t="s">
        <v>387</v>
      </c>
      <c r="E3" s="92"/>
    </row>
    <row r="4" spans="1:6" ht="15.75">
      <c r="A4" s="465" t="s">
        <v>448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388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Festival 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390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456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393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394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457</v>
      </c>
      <c r="B24" t="s">
        <v>187</v>
      </c>
      <c r="C24" s="296">
        <v>4933</v>
      </c>
      <c r="D24" s="296"/>
      <c r="E24" s="313">
        <f t="shared" si="0"/>
        <v>4933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440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392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391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435</v>
      </c>
      <c r="B32" t="s">
        <v>187</v>
      </c>
      <c r="C32" s="296">
        <v>0</v>
      </c>
      <c r="D32" s="296"/>
      <c r="E32" s="313">
        <f t="shared" si="0"/>
        <v>0</v>
      </c>
    </row>
    <row r="33" spans="1:5" ht="12.75">
      <c r="A33" s="67" t="s">
        <v>436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453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454</v>
      </c>
      <c r="C35" s="296">
        <v>0</v>
      </c>
      <c r="D35" s="296"/>
      <c r="E35" s="313">
        <f t="shared" si="0"/>
        <v>0</v>
      </c>
    </row>
    <row r="36" spans="1:5" ht="12.75">
      <c r="A36" s="67" t="s">
        <v>437</v>
      </c>
      <c r="C36" s="296"/>
      <c r="D36" s="296"/>
      <c r="E36" s="313">
        <f t="shared" si="0"/>
        <v>0</v>
      </c>
    </row>
    <row r="37" spans="1:5" ht="12.75">
      <c r="A37" s="67" t="s">
        <v>438</v>
      </c>
      <c r="C37" s="296"/>
      <c r="D37" s="296"/>
      <c r="E37" s="313">
        <f t="shared" si="0"/>
        <v>0</v>
      </c>
    </row>
    <row r="38" spans="1:5" ht="12.75">
      <c r="A38" s="67" t="s">
        <v>460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395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389</v>
      </c>
      <c r="B41" t="s">
        <v>187</v>
      </c>
      <c r="C41" s="296"/>
      <c r="D41" s="296"/>
      <c r="E41" s="313">
        <f t="shared" si="0"/>
        <v>0</v>
      </c>
    </row>
    <row r="42" spans="1:5" ht="12.75">
      <c r="A42" s="483"/>
      <c r="B42" t="s">
        <v>187</v>
      </c>
      <c r="C42" s="296"/>
      <c r="D42" s="296"/>
      <c r="E42" s="313">
        <f t="shared" si="0"/>
        <v>0</v>
      </c>
    </row>
    <row r="43" spans="1:5" ht="12.75">
      <c r="A43" s="483"/>
      <c r="B43" t="s">
        <v>187</v>
      </c>
      <c r="C43" s="296"/>
      <c r="D43" s="296"/>
      <c r="E43" s="313">
        <f t="shared" si="0"/>
        <v>0</v>
      </c>
    </row>
    <row r="44" spans="1:5" ht="12.75">
      <c r="A44" s="483"/>
      <c r="B44" t="s">
        <v>187</v>
      </c>
      <c r="C44" s="296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50" t="s">
        <v>399</v>
      </c>
      <c r="B47" t="s">
        <v>189</v>
      </c>
      <c r="C47" s="251">
        <f>SUM(C19:C46)</f>
        <v>4933</v>
      </c>
      <c r="D47" s="251">
        <f>SUM(D19:D46)</f>
        <v>0</v>
      </c>
      <c r="E47" s="251">
        <f>SUM(E19:E46)</f>
        <v>4933</v>
      </c>
    </row>
    <row r="48" ht="12.75">
      <c r="A48" s="67"/>
    </row>
    <row r="49" ht="12.75">
      <c r="A49" s="81" t="s">
        <v>145</v>
      </c>
    </row>
    <row r="51" spans="1:5" ht="12.75">
      <c r="A51" s="71" t="s">
        <v>390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456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391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439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447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459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455</v>
      </c>
      <c r="B57" s="8" t="s">
        <v>188</v>
      </c>
      <c r="C57" s="295">
        <v>0</v>
      </c>
      <c r="D57" s="295"/>
      <c r="E57" s="251">
        <f t="shared" si="1"/>
        <v>0</v>
      </c>
    </row>
    <row r="58" spans="1:5" ht="12.75">
      <c r="A58" s="67" t="s">
        <v>458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9" t="s">
        <v>396</v>
      </c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9" t="s">
        <v>389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483" t="s">
        <v>497</v>
      </c>
      <c r="B67" s="8" t="s">
        <v>188</v>
      </c>
      <c r="C67" s="295">
        <v>0</v>
      </c>
      <c r="D67" s="295"/>
      <c r="E67" s="251">
        <f t="shared" si="2"/>
        <v>0</v>
      </c>
    </row>
    <row r="68" spans="1:5" ht="12.75">
      <c r="A68" s="499" t="s">
        <v>507</v>
      </c>
      <c r="B68" s="8" t="s">
        <v>188</v>
      </c>
      <c r="C68" s="295">
        <v>0</v>
      </c>
      <c r="D68" s="295"/>
      <c r="E68" s="251">
        <f t="shared" si="2"/>
        <v>0</v>
      </c>
    </row>
    <row r="69" spans="1:5" ht="12.75">
      <c r="A69" s="499" t="s">
        <v>506</v>
      </c>
      <c r="B69" s="8" t="s">
        <v>188</v>
      </c>
      <c r="C69" s="295">
        <v>0</v>
      </c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49" t="s">
        <v>398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&amp;R&amp;9Festival Hydro Inc.
EB-2008-0381
Deferred PILs Combined Proceeding
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S98"/>
  <sheetViews>
    <sheetView view="pageLayout" workbookViewId="0" topLeftCell="A1">
      <selection activeCell="E13" sqref="E1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5" t="str">
        <f>REGINFO!A1</f>
        <v>PILs TAXES - EB-2011-0167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306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Festival  Hydro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0" t="s">
        <v>489</v>
      </c>
      <c r="B8" s="521"/>
      <c r="C8" s="521"/>
      <c r="D8" s="521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470</v>
      </c>
      <c r="B10" s="327"/>
      <c r="C10" s="376" t="s">
        <v>111</v>
      </c>
      <c r="D10" s="376"/>
      <c r="E10" s="376" t="s">
        <v>111</v>
      </c>
      <c r="F10" s="377" t="s">
        <v>490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299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298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303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259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472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473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4" t="s">
        <v>491</v>
      </c>
      <c r="B23" s="515"/>
      <c r="C23" s="515"/>
      <c r="D23" s="515"/>
      <c r="E23" s="515"/>
      <c r="F23" s="515"/>
      <c r="G23" s="439"/>
      <c r="H23" s="485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2" t="s">
        <v>483</v>
      </c>
      <c r="B26" s="523"/>
      <c r="C26" s="523"/>
      <c r="D26" s="523"/>
      <c r="E26" s="523"/>
      <c r="F26" s="523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443</v>
      </c>
      <c r="B28" s="327"/>
      <c r="C28" s="370" t="s">
        <v>111</v>
      </c>
      <c r="D28" s="370"/>
      <c r="E28" s="370" t="s">
        <v>111</v>
      </c>
      <c r="F28" s="371" t="s">
        <v>490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298</v>
      </c>
      <c r="B32" s="410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259</v>
      </c>
      <c r="B34" s="410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480</v>
      </c>
      <c r="B39" s="407" t="s">
        <v>472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481</v>
      </c>
      <c r="B40" s="408" t="s">
        <v>473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6" t="s">
        <v>335</v>
      </c>
      <c r="B41" s="515"/>
      <c r="C41" s="515"/>
      <c r="D41" s="515"/>
      <c r="E41" s="515"/>
      <c r="F41" s="515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7"/>
      <c r="B42" s="517"/>
      <c r="C42" s="517"/>
      <c r="D42" s="517"/>
      <c r="E42" s="517"/>
      <c r="F42" s="517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482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490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298</v>
      </c>
      <c r="B50" s="245"/>
      <c r="C50" s="352">
        <v>0.1312</v>
      </c>
      <c r="D50" s="352"/>
      <c r="E50" s="353">
        <v>0.2612</v>
      </c>
      <c r="F50" s="353">
        <v>0.2612</v>
      </c>
      <c r="G50" s="194"/>
      <c r="H50" s="480"/>
      <c r="I50" s="480"/>
      <c r="J50" s="194"/>
      <c r="K50" s="188"/>
      <c r="L50" s="189"/>
      <c r="M50" s="189"/>
      <c r="N50" s="189"/>
      <c r="O50" s="189"/>
      <c r="P50" s="189"/>
    </row>
    <row r="51" spans="1:19" ht="13.5" thickBot="1">
      <c r="A51" s="324" t="s">
        <v>29</v>
      </c>
      <c r="B51" s="245"/>
      <c r="C51" s="354">
        <v>0.06</v>
      </c>
      <c r="D51" s="354"/>
      <c r="E51" s="355">
        <v>0.0961</v>
      </c>
      <c r="F51" s="355">
        <v>0.125</v>
      </c>
      <c r="G51" s="194"/>
      <c r="H51" s="503"/>
      <c r="I51" s="504"/>
      <c r="J51" s="505"/>
      <c r="K51" s="34"/>
      <c r="L51" s="34"/>
      <c r="M51" s="34"/>
      <c r="N51" s="34"/>
      <c r="O51" s="34"/>
      <c r="P51" s="34"/>
      <c r="Q51" s="34"/>
      <c r="S51" s="491"/>
    </row>
    <row r="52" spans="1:19" ht="13.5" thickBot="1">
      <c r="A52" s="324" t="s">
        <v>259</v>
      </c>
      <c r="B52" s="245"/>
      <c r="C52" s="332">
        <f>SUM(C50:C51)</f>
        <v>0.1912</v>
      </c>
      <c r="D52" s="332"/>
      <c r="E52" s="333">
        <f>SUM(E50:E51)</f>
        <v>0.3573</v>
      </c>
      <c r="F52" s="333">
        <f>SUM(F50:F51)</f>
        <v>0.3862</v>
      </c>
      <c r="G52" s="194"/>
      <c r="H52" s="480"/>
      <c r="I52" s="480"/>
      <c r="J52" s="194"/>
      <c r="K52" s="188"/>
      <c r="L52" s="189"/>
      <c r="M52" s="189"/>
      <c r="N52" s="189"/>
      <c r="O52" s="189"/>
      <c r="P52" s="189"/>
      <c r="S52" s="491"/>
    </row>
    <row r="53" spans="1:19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  <c r="S53" s="491"/>
    </row>
    <row r="54" spans="1:19" ht="13.5" thickBot="1">
      <c r="A54" s="323" t="s">
        <v>109</v>
      </c>
      <c r="B54" s="244"/>
      <c r="C54" s="356">
        <v>0.003</v>
      </c>
      <c r="D54" s="352"/>
      <c r="E54" s="356">
        <v>0.003</v>
      </c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  <c r="S54" s="39"/>
    </row>
    <row r="55" spans="1:19" ht="13.5" thickBot="1">
      <c r="A55" s="323" t="s">
        <v>110</v>
      </c>
      <c r="B55" s="238"/>
      <c r="C55" s="357">
        <v>0.00225</v>
      </c>
      <c r="D55" s="358"/>
      <c r="E55" s="357">
        <v>0.00225</v>
      </c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  <c r="S55" s="39"/>
    </row>
    <row r="56" spans="1:16" ht="13.5" thickBot="1">
      <c r="A56" s="323" t="s">
        <v>113</v>
      </c>
      <c r="B56" s="238"/>
      <c r="C56" s="358">
        <v>0.0112</v>
      </c>
      <c r="D56" s="360"/>
      <c r="E56" s="358">
        <v>0.0112</v>
      </c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351</v>
      </c>
      <c r="B57" s="407" t="s">
        <v>472</v>
      </c>
      <c r="C57" s="362">
        <v>4830987</v>
      </c>
      <c r="D57" s="360"/>
      <c r="E57" s="362">
        <v>5000000</v>
      </c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352</v>
      </c>
      <c r="B58" s="408" t="s">
        <v>473</v>
      </c>
      <c r="C58" s="363">
        <v>10000000</v>
      </c>
      <c r="D58" s="364"/>
      <c r="E58" s="363">
        <v>10000000</v>
      </c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4" t="s">
        <v>353</v>
      </c>
      <c r="B59" s="518"/>
      <c r="C59" s="518"/>
      <c r="D59" s="518"/>
      <c r="E59" s="518"/>
      <c r="F59" s="518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9"/>
      <c r="B60" s="519"/>
      <c r="C60" s="519"/>
      <c r="D60" s="519"/>
      <c r="E60" s="519"/>
      <c r="F60" s="519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&amp;R&amp;9Festival Hydro Inc.
EB-2008-0381
Deferred PILs Combined Proceeding
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view="pageLayout" workbookViewId="0" topLeftCell="A7">
      <selection activeCell="E16" sqref="E1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EB-2011-0167</v>
      </c>
    </row>
    <row r="2" spans="1:2" ht="12.75">
      <c r="A2" s="2" t="s">
        <v>461</v>
      </c>
      <c r="B2" s="2"/>
    </row>
    <row r="3" spans="1:15" ht="12.75">
      <c r="A3" s="2" t="str">
        <f>REGINFO!A3</f>
        <v>Utility Name: Festival  Hydro Inc.</v>
      </c>
      <c r="O3" s="417" t="str">
        <f>REGINFO!E1</f>
        <v>Version 2009.1</v>
      </c>
    </row>
    <row r="4" spans="1:15" ht="12.75">
      <c r="A4" s="2" t="str">
        <f>REGINFO!A4</f>
        <v>Reporting period:  2002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370962</v>
      </c>
      <c r="F11" s="420"/>
      <c r="G11" s="397">
        <f>E22</f>
        <v>424080.05000000005</v>
      </c>
      <c r="H11" s="420"/>
      <c r="I11" s="397">
        <f>G22</f>
        <v>414786.05000000005</v>
      </c>
      <c r="J11" s="391"/>
      <c r="K11" s="397">
        <f>I22</f>
        <v>414786.05000000005</v>
      </c>
      <c r="L11" s="391"/>
      <c r="M11" s="397">
        <f>K22</f>
        <v>414786.05000000005</v>
      </c>
      <c r="N11" s="391"/>
      <c r="O11" s="397">
        <f>C11</f>
        <v>0</v>
      </c>
    </row>
    <row r="12" spans="1:15" ht="27" customHeight="1">
      <c r="A12" s="81" t="s">
        <v>400</v>
      </c>
      <c r="B12" s="66" t="s">
        <v>190</v>
      </c>
      <c r="C12" s="396">
        <v>370962</v>
      </c>
      <c r="D12" s="392"/>
      <c r="E12" s="396">
        <v>1226571</v>
      </c>
      <c r="F12" s="95"/>
      <c r="G12" s="419">
        <v>0</v>
      </c>
      <c r="H12" s="95"/>
      <c r="I12" s="419">
        <v>0</v>
      </c>
      <c r="J12" s="392"/>
      <c r="K12" s="419">
        <v>0</v>
      </c>
      <c r="L12" s="392"/>
      <c r="M12" s="419">
        <f>K13/9*12/4</f>
        <v>0</v>
      </c>
      <c r="N12" s="392"/>
      <c r="O12" s="397">
        <f aca="true" t="shared" si="0" ref="O12:O20">SUM(C12:N12)</f>
        <v>1597533</v>
      </c>
    </row>
    <row r="13" spans="1:15" ht="27" customHeight="1">
      <c r="A13" s="81" t="s">
        <v>442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401</v>
      </c>
      <c r="B14" s="66" t="s">
        <v>190</v>
      </c>
      <c r="C14" s="396"/>
      <c r="D14" s="392"/>
      <c r="E14" s="396">
        <v>10889</v>
      </c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10889</v>
      </c>
    </row>
    <row r="15" spans="1:15" ht="27" customHeight="1">
      <c r="A15" s="81" t="s">
        <v>402</v>
      </c>
      <c r="B15" s="66" t="s">
        <v>190</v>
      </c>
      <c r="C15" s="396"/>
      <c r="D15" s="392"/>
      <c r="E15" s="396"/>
      <c r="F15" s="95"/>
      <c r="G15" s="396">
        <v>-9294</v>
      </c>
      <c r="H15" s="95"/>
      <c r="I15" s="396"/>
      <c r="J15" s="392"/>
      <c r="K15" s="396"/>
      <c r="L15" s="392"/>
      <c r="M15" s="419">
        <v>0</v>
      </c>
      <c r="N15" s="392"/>
      <c r="O15" s="397">
        <f t="shared" si="0"/>
        <v>-9294</v>
      </c>
    </row>
    <row r="16" spans="1:15" ht="27" customHeight="1">
      <c r="A16" s="81" t="s">
        <v>403</v>
      </c>
      <c r="B16" s="66"/>
      <c r="C16" s="396"/>
      <c r="D16" s="392"/>
      <c r="E16" s="396">
        <v>-39993</v>
      </c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-39993</v>
      </c>
    </row>
    <row r="17" spans="1:15" ht="27.75" customHeight="1">
      <c r="A17" s="81" t="s">
        <v>404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0</v>
      </c>
      <c r="N17" s="392"/>
      <c r="O17" s="397">
        <f t="shared" si="0"/>
        <v>0</v>
      </c>
    </row>
    <row r="18" spans="1:15" ht="25.5">
      <c r="A18" s="81" t="s">
        <v>405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406</v>
      </c>
      <c r="B19" s="66" t="s">
        <v>190</v>
      </c>
      <c r="C19" s="396">
        <v>0</v>
      </c>
      <c r="D19" s="392"/>
      <c r="E19" s="396">
        <v>37947.12</v>
      </c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37947.12</v>
      </c>
    </row>
    <row r="20" spans="1:15" ht="24.75" customHeight="1">
      <c r="A20" s="81" t="s">
        <v>471</v>
      </c>
      <c r="B20" s="66" t="s">
        <v>188</v>
      </c>
      <c r="C20" s="419">
        <v>0</v>
      </c>
      <c r="D20" s="392"/>
      <c r="E20" s="396">
        <v>-1182296.07</v>
      </c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-1182296.07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376</v>
      </c>
      <c r="B22" s="34"/>
      <c r="C22" s="398">
        <f>SUM(C11:C20)</f>
        <v>370962</v>
      </c>
      <c r="D22" s="420"/>
      <c r="E22" s="398">
        <f>SUM(E11:E20)</f>
        <v>424080.05000000005</v>
      </c>
      <c r="F22" s="420"/>
      <c r="G22" s="398">
        <f>SUM(G11:G20)</f>
        <v>414786.05000000005</v>
      </c>
      <c r="H22" s="420"/>
      <c r="I22" s="398">
        <f>SUM(I11:I20)</f>
        <v>414786.05000000005</v>
      </c>
      <c r="J22" s="391"/>
      <c r="K22" s="398">
        <f>SUM(K11:K20)</f>
        <v>414786.05000000005</v>
      </c>
      <c r="L22" s="391"/>
      <c r="M22" s="398">
        <f>SUM(M11:M21)</f>
        <v>414786.05000000005</v>
      </c>
      <c r="N22" s="391"/>
      <c r="O22" s="451">
        <f>SUM(O11:O20)</f>
        <v>414786.05000000005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407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408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409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6" ht="51">
      <c r="A31" s="452" t="s">
        <v>410</v>
      </c>
      <c r="B31" s="80"/>
      <c r="C31" s="80"/>
      <c r="D31" s="80"/>
      <c r="E31" s="80"/>
      <c r="F31" s="80"/>
      <c r="G31" s="80"/>
      <c r="H31" s="80"/>
      <c r="I31" s="448"/>
      <c r="J31" s="448"/>
      <c r="K31" s="486" t="s">
        <v>498</v>
      </c>
      <c r="L31" s="448"/>
      <c r="M31" s="448"/>
      <c r="N31" s="448"/>
      <c r="O31" s="448"/>
      <c r="P31" s="8">
        <v>2002</v>
      </c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25" t="s">
        <v>411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421"/>
      <c r="Q33" s="421"/>
      <c r="R33" s="421"/>
      <c r="S33" s="421"/>
    </row>
    <row r="34" spans="1:19" ht="12.75">
      <c r="A34" s="524" t="s">
        <v>412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421"/>
      <c r="Q34" s="421"/>
      <c r="R34" s="421"/>
      <c r="S34" s="421"/>
    </row>
    <row r="35" spans="1:19" ht="12.75">
      <c r="A35" s="524" t="s">
        <v>433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421"/>
      <c r="Q35" s="421"/>
      <c r="R35" s="421"/>
      <c r="S35" s="421"/>
    </row>
    <row r="36" spans="1:19" ht="12.75">
      <c r="A36" s="524" t="s">
        <v>413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421"/>
      <c r="Q36" s="421"/>
      <c r="R36" s="421"/>
      <c r="S36" s="421"/>
    </row>
    <row r="37" spans="1:19" ht="12.75">
      <c r="A37" s="438" t="s">
        <v>373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374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414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415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416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417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6" ht="12.75">
      <c r="A45" s="440" t="s">
        <v>418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  <c r="P45">
        <v>-289287</v>
      </c>
    </row>
    <row r="46" spans="1:15" ht="12.75">
      <c r="A46" s="435" t="s">
        <v>419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420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421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6" ht="12.75">
      <c r="A51" s="440" t="s">
        <v>422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  <c r="P51">
        <v>0</v>
      </c>
    </row>
    <row r="52" spans="1:15" ht="12.75">
      <c r="A52" s="435" t="s">
        <v>419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423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6" ht="12.75" customHeight="1">
      <c r="A56" s="440" t="s">
        <v>424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  <c r="P56">
        <v>20755</v>
      </c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425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6" ht="12.75">
      <c r="A59" s="435" t="s">
        <v>426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  <c r="P59">
        <v>1259927</v>
      </c>
    </row>
    <row r="60" spans="1:15" ht="12.75">
      <c r="A60" s="435" t="s">
        <v>427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383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428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429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385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384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386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430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431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432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24" t="s">
        <v>462</v>
      </c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</row>
    <row r="75" spans="1:15" ht="12.75">
      <c r="A75" s="435" t="s">
        <v>375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&amp;R&amp;9Festival Hydro Inc.
EB-2008-0381
Deferred PILs Combined Proceeding
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reeced</cp:lastModifiedBy>
  <cp:lastPrinted>2011-10-04T14:04:07Z</cp:lastPrinted>
  <dcterms:created xsi:type="dcterms:W3CDTF">2001-11-07T16:15:53Z</dcterms:created>
  <dcterms:modified xsi:type="dcterms:W3CDTF">2011-12-02T16:23:37Z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