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605" windowHeight="7440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<sst xmlns="http://schemas.openxmlformats.org/spreadsheetml/2006/main" count="887" uniqueCount="512">
  <si>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</si>
  <si>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</si>
  <si>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</si>
  <si>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</si>
  <si>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</si>
  <si>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</si>
  <si>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</si>
  <si>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</si>
  <si>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</si>
  <si>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</si>
  <si>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</si>
  <si>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</si>
  <si>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</si>
  <si>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</si>
  <si>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</si>
  <si>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</si>
  <si>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</si>
  <si>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</si>
  <si>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</si>
  <si>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</si>
  <si>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</si>
  <si>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</si>
  <si>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</si>
  <si>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</si>
  <si>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</si>
  <si>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</si>
  <si>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</si>
  <si>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</si>
  <si>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</si>
  <si>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</si>
  <si>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</si>
  <si>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</si>
  <si>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</si>
  <si>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</si>
  <si>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</si>
  <si>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</si>
  <si>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</si>
  <si>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</si>
  <si>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</si>
  <si>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</si>
  <si>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</si>
  <si>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</si>
  <si>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</si>
  <si>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</si>
  <si>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</si>
  <si>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</si>
  <si>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</si>
  <si>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</si>
  <si>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</si>
  <si>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</si>
  <si>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</si>
  <si>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</si>
  <si>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</si>
  <si>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</si>
  <si>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</si>
  <si>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</si>
  <si>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</si>
  <si>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</si>
  <si>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</si>
  <si>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</si>
  <si>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</si>
  <si>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</si>
  <si>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</si>
  <si>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</si>
  <si>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</si>
  <si>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</si>
  <si>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</si>
  <si>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</si>
  <si>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</si>
  <si>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</si>
  <si>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</si>
  <si>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</si>
  <si>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</si>
  <si>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</si>
  <si>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</si>
  <si>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</si>
  <si>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</si>
  <si>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</si>
  <si>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</si>
  <si>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</si>
  <si>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</si>
  <si>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</si>
  <si>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</si>
  <si>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</si>
  <si>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</si>
  <si>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</si>
  <si>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</si>
  <si>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</si>
  <si>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</si>
  <si>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</si>
  <si>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</si>
  <si>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</si>
  <si>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</si>
  <si>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</si>
  <si>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</si>
  <si>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</si>
  <si>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</si>
  <si>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</si>
  <si>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</si>
  <si>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</si>
  <si>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</si>
  <si>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</si>
  <si>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</si>
  <si>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</si>
  <si>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</si>
  <si>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</si>
  <si>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</si>
  <si>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</si>
  <si>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</si>
  <si>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</si>
  <si>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</si>
  <si>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</si>
  <si>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</si>
  <si>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</si>
  <si>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</si>
  <si>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</si>
  <si>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</si>
  <si>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</si>
  <si>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</si>
  <si>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</si>
  <si>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</si>
  <si>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</si>
  <si>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</si>
  <si>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</si>
  <si>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</si>
  <si>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</si>
  <si>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</si>
  <si>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</si>
  <si>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</si>
  <si>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</si>
  <si>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</si>
  <si>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</si>
  <si>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</si>
  <si>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</si>
  <si>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</si>
  <si>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</si>
  <si>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</si>
  <si>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</si>
  <si>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</si>
  <si>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</si>
  <si>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</si>
  <si>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</si>
  <si>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</si>
  <si>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</si>
  <si>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</si>
  <si>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</si>
  <si>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</si>
  <si>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</si>
  <si>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</si>
  <si>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</si>
  <si>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</si>
  <si>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</si>
  <si>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</si>
  <si>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</si>
  <si>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</si>
  <si>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</si>
  <si>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</si>
  <si>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</si>
  <si>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</si>
  <si>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</si>
  <si>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</si>
  <si>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</si>
  <si>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</si>
  <si>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</si>
  <si>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</si>
  <si>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</si>
  <si>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</si>
  <si>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</si>
  <si>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</si>
  <si>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</si>
  <si>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</si>
  <si>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</si>
  <si>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</si>
  <si>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</si>
  <si>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</si>
  <si>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</si>
  <si>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</si>
  <si>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</si>
  <si>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</si>
  <si>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</si>
  <si>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</si>
  <si>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</si>
  <si>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</si>
  <si>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</si>
  <si>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</si>
  <si>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</si>
  <si>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</si>
  <si>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</si>
  <si>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</si>
  <si>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</si>
  <si>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</si>
  <si>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</si>
  <si>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</si>
  <si>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</si>
  <si>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</si>
  <si>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</si>
  <si>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</si>
  <si>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</si>
  <si>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</si>
  <si>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</si>
  <si>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</si>
  <si>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</si>
  <si>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</si>
  <si>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</si>
  <si>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</si>
  <si>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</si>
  <si>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</si>
  <si>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</si>
  <si>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</si>
  <si>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</si>
  <si>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</si>
  <si>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</si>
  <si>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</si>
  <si>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</si>
  <si>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</si>
  <si>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</si>
  <si>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</si>
  <si>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</si>
  <si>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</si>
  <si>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</si>
  <si>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</si>
  <si>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</si>
  <si>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</si>
  <si>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</si>
  <si>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</si>
  <si>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</si>
  <si>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</si>
  <si>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</si>
  <si>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</si>
  <si>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</si>
  <si>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</si>
  <si>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</si>
  <si>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</si>
  <si>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</si>
  <si>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</si>
  <si>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</si>
  <si>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</si>
  <si>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</si>
  <si>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</si>
  <si>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</si>
  <si>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</si>
  <si>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</si>
  <si>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</si>
  <si>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</si>
  <si>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</si>
  <si>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</si>
  <si>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</si>
  <si>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</si>
  <si>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</si>
  <si>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</si>
  <si>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</si>
  <si>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</si>
  <si>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</si>
  <si>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</si>
  <si>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</si>
  <si>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</si>
  <si>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</si>
  <si>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</si>
  <si>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</si>
  <si>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</si>
  <si>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</si>
  <si>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</si>
  <si>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</si>
  <si>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</si>
  <si>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</si>
  <si>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</si>
  <si>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</si>
  <si>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</si>
  <si>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</si>
  <si>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</si>
  <si>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</si>
  <si>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</si>
  <si>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</si>
  <si>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</si>
  <si>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</si>
  <si>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</si>
  <si>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</si>
  <si>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</si>
  <si>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</si>
  <si>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</si>
  <si>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</si>
  <si>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</si>
  <si>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</si>
  <si>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</si>
  <si>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</si>
  <si>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</si>
  <si>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</si>
  <si>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</si>
  <si>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</si>
  <si>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</si>
  <si>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</si>
  <si>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</si>
  <si>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</si>
  <si>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</si>
  <si>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</si>
  <si>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</si>
  <si>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</si>
  <si>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</si>
  <si>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</si>
  <si>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</si>
  <si>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</si>
  <si>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</si>
  <si>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</si>
  <si>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</si>
  <si>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</si>
  <si>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</si>
  <si>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</si>
  <si>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</si>
  <si>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</si>
  <si>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</si>
  <si>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</si>
  <si>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</si>
  <si>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</si>
  <si>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</si>
  <si>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</si>
  <si>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</si>
  <si>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</si>
  <si>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</si>
  <si>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</si>
  <si>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</si>
  <si>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</si>
  <si>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</si>
  <si>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</si>
  <si>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</si>
  <si>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</si>
  <si>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</si>
  <si>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</si>
  <si>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</si>
  <si>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</si>
  <si>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</si>
  <si>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</si>
  <si>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</si>
  <si>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</si>
  <si>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</si>
  <si>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</si>
  <si>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</si>
  <si>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</si>
  <si>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</si>
  <si>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</si>
  <si>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</si>
  <si>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</si>
  <si>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</si>
  <si>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</si>
  <si>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</si>
  <si>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</si>
  <si>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</si>
  <si>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</si>
  <si>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</si>
  <si>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</si>
  <si>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</si>
  <si>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</si>
  <si>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</si>
  <si>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</si>
  <si>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</si>
  <si>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</si>
  <si>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</si>
  <si>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</si>
  <si>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</si>
  <si>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</si>
  <si>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</si>
  <si>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</si>
  <si>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</si>
  <si>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</si>
  <si>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</si>
  <si>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</si>
  <si>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</si>
  <si>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</si>
  <si>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</si>
  <si>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</si>
  <si>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</si>
  <si>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</si>
  <si>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</si>
  <si>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</si>
  <si>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</si>
  <si>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</si>
  <si>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</si>
  <si>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</si>
  <si>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</si>
  <si>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</si>
  <si>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</si>
  <si>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</si>
  <si>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</si>
  <si>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</si>
  <si>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</si>
  <si>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</si>
  <si>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</si>
  <si>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</si>
  <si>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</si>
  <si>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</si>
  <si>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</si>
  <si>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</si>
  <si>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</si>
  <si>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</si>
  <si>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</si>
  <si>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</si>
  <si>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</si>
  <si>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</si>
  <si>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</si>
  <si>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</si>
  <si>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</si>
  <si>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</si>
  <si>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</si>
  <si>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</si>
  <si>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</si>
  <si>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</si>
  <si>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</si>
  <si>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</si>
  <si>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</si>
  <si>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</si>
  <si>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</si>
  <si>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</si>
  <si>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</si>
  <si>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</si>
  <si>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</si>
  <si>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</si>
  <si>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</si>
  <si>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</si>
  <si>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</si>
  <si>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</si>
  <si>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</si>
  <si>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</si>
  <si>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</si>
  <si>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</si>
  <si>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</si>
  <si>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</si>
  <si>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</si>
  <si>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</si>
  <si>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</si>
  <si>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</si>
  <si>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</si>
  <si>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</si>
  <si>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</si>
  <si>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</si>
  <si>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</si>
  <si>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</si>
  <si>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</si>
  <si>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</si>
  <si>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</si>
  <si>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</si>
  <si>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</si>
  <si>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</si>
  <si>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</si>
  <si>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</si>
  <si>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</si>
  <si>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</si>
  <si>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</si>
  <si>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</si>
  <si>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</si>
  <si>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</si>
  <si>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</si>
  <si>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</si>
  <si>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</si>
  <si>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</si>
  <si>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</si>
  <si>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</si>
  <si>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</si>
  <si>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</si>
  <si>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</si>
  <si>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</si>
  <si>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</si>
  <si>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</si>
  <si>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</si>
  <si>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</si>
  <si>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</si>
  <si>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</si>
  <si>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</si>
  <si>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</si>
  <si>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</si>
  <si>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</si>
  <si>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</si>
  <si>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&gt;700,000</t>
  </si>
  <si>
    <t>MAX $5MM</t>
  </si>
  <si>
    <t>MAX $10MM</t>
  </si>
  <si>
    <t>Enter from tax return</t>
  </si>
  <si>
    <t>Provision for bad debts</t>
  </si>
  <si>
    <t>Non-taxable load transfers</t>
  </si>
  <si>
    <t xml:space="preserve">RECAP </t>
  </si>
  <si>
    <t>Reporting period:  2003</t>
  </si>
  <si>
    <t>12-31-2003</t>
  </si>
  <si>
    <t>Actual 2003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</si>
  <si>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</si>
  <si>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2003 </t>
    </r>
    <r>
      <rPr>
        <sz val="10"/>
        <rFont val="Arial"/>
        <family val="0"/>
      </rPr>
      <t>Utility's tax return</t>
    </r>
  </si>
  <si>
    <t>Rates Used in 2002 RAM PILs Applications for 2002</t>
  </si>
  <si>
    <t>Expected Income Tax Rates for 2003 and Capital Tax Exemptions for 2003</t>
  </si>
  <si>
    <r>
      <t xml:space="preserve">Ontario Capital Tax Exemption  </t>
    </r>
    <r>
      <rPr>
        <b/>
        <sz val="10"/>
        <color indexed="10"/>
        <rFont val="Arial"/>
        <family val="2"/>
      </rPr>
      <t>*** 2003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</si>
  <si>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2003</t>
    </r>
  </si>
  <si>
    <t>Input Information from Utility's Actual 2003 Tax Returns</t>
  </si>
  <si>
    <t>&gt;700000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</si>
  <si>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</si>
  <si>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</si>
  <si>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</si>
  <si>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**Exemption amounts must agree with the Board-approved 2002 RAM PILs filing</t>
  </si>
  <si>
    <t>Bad debts - pre-October 1, 2001 Denied</t>
  </si>
  <si>
    <t>Y</t>
  </si>
  <si>
    <t>N</t>
  </si>
  <si>
    <t>Other - Laibility for Future Employee Benefits</t>
  </si>
  <si>
    <t>Other - Liability for Future Employee Benefits</t>
  </si>
  <si>
    <t>Other - Laibility for Future Employee Benefits - beg</t>
  </si>
  <si>
    <t>Other - Laibility for Future Employee Benefits - end</t>
  </si>
  <si>
    <t>Section 12(1)(a) - customer deposits</t>
  </si>
  <si>
    <t>Agreed to Tax Return</t>
  </si>
  <si>
    <t>Alternative #3</t>
  </si>
  <si>
    <t xml:space="preserve">Actual Interest deducted on MoF filing  (Cell K36+K41) </t>
  </si>
  <si>
    <t xml:space="preserve">Actual Deemed Interest </t>
  </si>
  <si>
    <t>PILs TAXES - EB-2011-0167</t>
  </si>
  <si>
    <t>Utility Name: Festival Hydro Inc.</t>
  </si>
  <si>
    <t xml:space="preserve">    Other Interest Expense (Customer Deposits/IESO LC) check</t>
  </si>
  <si>
    <t>Capital tax expensed</t>
  </si>
  <si>
    <t>Income for tax purposes - Joint venture</t>
  </si>
  <si>
    <t>Section 12(1)(a) - customer deposits   CHECK</t>
  </si>
  <si>
    <t>Capital tax paid</t>
  </si>
  <si>
    <t>Non deductible meals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</si>
</sst>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</numFmts>
  <fonts count="5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4" applyNumberFormat="0" applyFill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0" fontId="54" fillId="27" borderId="6" applyNumberFormat="0" applyAlignment="0" applyProtection="0"/>
    <xf numFmtId="10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6" fillId="0" borderId="0" applyNumberFormat="0" applyFill="0" applyBorder="0" applyAlignment="0" applyProtection="0"/>
  </cellStyleXfs>
  <cellXfs count="525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0" fontId="3" fillId="39" borderId="49" xfId="0" applyFont="1" applyFill="1" applyBorder="1" applyAlignment="1" applyProtection="1">
      <alignment horizontal="center" vertical="top"/>
      <protection locked="0"/>
    </xf>
    <xf numFmtId="3" fontId="3" fillId="39" borderId="49" xfId="42" applyNumberFormat="1" applyFont="1" applyFill="1" applyBorder="1" applyAlignment="1" applyProtection="1">
      <alignment horizontal="center" vertical="top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4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6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7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178" fontId="0" fillId="0" borderId="0" xfId="63" applyNumberFormat="1" applyFont="1" applyAlignment="1" applyProtection="1">
      <alignment vertical="top"/>
      <protection locked="0"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3" fontId="0" fillId="43" borderId="17" xfId="0" applyNumberFormat="1" applyFill="1" applyBorder="1" applyAlignment="1" applyProtection="1">
      <alignment horizontal="center" vertical="top"/>
      <protection locked="0"/>
    </xf>
    <xf numFmtId="0" fontId="0" fillId="0" borderId="0" xfId="0" applyFont="1" applyAlignment="1">
      <alignment horizontal="center" vertical="top"/>
    </xf>
    <xf numFmtId="0" fontId="0" fillId="0" borderId="14" xfId="0" applyFont="1" applyBorder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44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40" borderId="0" xfId="0" applyFont="1" applyFill="1" applyAlignment="1">
      <alignment vertical="top" wrapText="1"/>
    </xf>
    <xf numFmtId="0" fontId="0" fillId="33" borderId="0" xfId="0" applyFont="1" applyFill="1" applyAlignment="1">
      <alignment vertical="top"/>
    </xf>
    <xf numFmtId="4" fontId="9" fillId="44" borderId="58" xfId="0" applyNumberFormat="1" applyFont="1" applyFill="1" applyBorder="1" applyAlignment="1" applyProtection="1">
      <alignment horizontal="center" vertical="center" wrapText="1"/>
      <protection locked="0"/>
    </xf>
    <xf numFmtId="3" fontId="3" fillId="44" borderId="59" xfId="0" applyNumberFormat="1" applyFont="1" applyFill="1" applyBorder="1" applyAlignment="1" applyProtection="1">
      <alignment horizontal="center" vertical="center" wrapText="1"/>
      <protection locked="0"/>
    </xf>
    <xf numFmtId="0" fontId="9" fillId="44" borderId="59" xfId="0" applyFont="1" applyFill="1" applyBorder="1" applyAlignment="1" applyProtection="1">
      <alignment horizontal="center" vertical="center" wrapText="1"/>
      <protection locked="0"/>
    </xf>
    <xf numFmtId="0" fontId="0" fillId="44" borderId="0" xfId="0" applyFont="1" applyFill="1" applyAlignment="1">
      <alignment vertical="top"/>
    </xf>
    <xf numFmtId="0" fontId="19" fillId="0" borderId="0" xfId="0" applyFont="1" applyFill="1" applyAlignment="1">
      <alignment vertical="top"/>
    </xf>
    <xf numFmtId="3" fontId="0" fillId="43" borderId="0" xfId="0" applyNumberFormat="1" applyFill="1" applyAlignment="1">
      <alignment/>
    </xf>
    <xf numFmtId="10" fontId="0" fillId="0" borderId="0" xfId="63" applyFont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37" fontId="57" fillId="0" borderId="0" xfId="0" applyNumberFormat="1" applyFont="1" applyBorder="1" applyAlignment="1">
      <alignment horizontal="center" vertical="top"/>
    </xf>
    <xf numFmtId="0" fontId="57" fillId="0" borderId="0" xfId="0" applyFont="1" applyFill="1" applyBorder="1" applyAlignment="1" applyProtection="1" quotePrefix="1">
      <alignment vertical="top" wrapText="1"/>
      <protection/>
    </xf>
    <xf numFmtId="0" fontId="0" fillId="0" borderId="0" xfId="0" applyFont="1" applyFill="1" applyAlignment="1">
      <alignment vertical="top"/>
    </xf>
    <xf numFmtId="0" fontId="57" fillId="0" borderId="0" xfId="0" applyFont="1" applyAlignment="1" quotePrefix="1">
      <alignment vertical="top"/>
    </xf>
    <xf numFmtId="0" fontId="57" fillId="0" borderId="0" xfId="0" applyFont="1" applyAlignment="1">
      <alignment vertical="top" wrapText="1"/>
    </xf>
    <xf numFmtId="0" fontId="57" fillId="35" borderId="14" xfId="0" applyFont="1" applyFill="1" applyBorder="1" applyAlignment="1" applyProtection="1">
      <alignment vertical="top" wrapText="1"/>
      <protection/>
    </xf>
    <xf numFmtId="3" fontId="0" fillId="0" borderId="0" xfId="42" applyNumberFormat="1" applyFont="1" applyFill="1" applyBorder="1" applyAlignment="1" applyProtection="1">
      <alignment vertical="top"/>
      <protection locked="0"/>
    </xf>
    <xf numFmtId="3" fontId="0" fillId="0" borderId="0" xfId="42" applyNumberFormat="1" applyFont="1" applyFill="1" applyBorder="1" applyAlignment="1" applyProtection="1">
      <alignment vertical="top"/>
      <protection locked="0"/>
    </xf>
    <xf numFmtId="10" fontId="0" fillId="0" borderId="0" xfId="63" applyFont="1" applyFill="1" applyBorder="1" applyAlignment="1" applyProtection="1">
      <alignment vertical="top"/>
      <protection locked="0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P76"/>
  <sheetViews>
    <sheetView zoomScale="75" zoomScaleNormal="75" zoomScalePageLayoutView="0" workbookViewId="0" topLeftCell="A28">
      <selection activeCell="A74" sqref="A74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54" t="s">
        <v>504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505</v>
      </c>
      <c r="C3" s="8"/>
      <c r="D3" s="448" t="s">
        <v>445</v>
      </c>
      <c r="E3" s="8"/>
      <c r="F3" s="8"/>
      <c r="G3" s="8"/>
      <c r="H3" s="8"/>
    </row>
    <row r="4" spans="1:8" ht="12.75">
      <c r="A4" s="2" t="s">
        <v>477</v>
      </c>
      <c r="C4" s="8"/>
      <c r="D4" s="447" t="s">
        <v>440</v>
      </c>
      <c r="E4" s="421"/>
      <c r="H4" s="8"/>
    </row>
    <row r="5" spans="1:8" ht="12.75">
      <c r="A5" s="51"/>
      <c r="C5" s="8"/>
      <c r="D5" s="446" t="s">
        <v>441</v>
      </c>
      <c r="E5" s="391"/>
      <c r="H5" s="8"/>
    </row>
    <row r="6" spans="1:8" ht="12.75">
      <c r="A6" s="2" t="s">
        <v>126</v>
      </c>
      <c r="B6" s="381">
        <v>365</v>
      </c>
      <c r="C6" s="8" t="s">
        <v>127</v>
      </c>
      <c r="D6" s="21"/>
      <c r="H6" s="8"/>
    </row>
    <row r="7" spans="1:8" ht="13.5" thickBot="1">
      <c r="A7" s="51" t="s">
        <v>254</v>
      </c>
      <c r="B7" s="248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1" t="s">
        <v>493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1" t="s">
        <v>494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481" t="s">
        <v>494</v>
      </c>
    </row>
    <row r="18" spans="1:4" ht="15" customHeight="1">
      <c r="A18" s="382" t="s">
        <v>313</v>
      </c>
      <c r="C18" s="8"/>
      <c r="D18" s="8"/>
    </row>
    <row r="19" spans="1:4" ht="15" customHeight="1">
      <c r="A19" s="509" t="s">
        <v>314</v>
      </c>
      <c r="B19" s="8" t="s">
        <v>311</v>
      </c>
      <c r="C19" s="8" t="s">
        <v>64</v>
      </c>
      <c r="D19" s="482" t="s">
        <v>493</v>
      </c>
    </row>
    <row r="20" spans="1:4" ht="13.5" thickBot="1">
      <c r="A20" s="510"/>
      <c r="B20" s="8" t="s">
        <v>312</v>
      </c>
      <c r="C20" s="8" t="s">
        <v>64</v>
      </c>
      <c r="D20" s="481" t="s">
        <v>494</v>
      </c>
    </row>
    <row r="21" spans="1:4" ht="12.75">
      <c r="A21" s="509" t="s">
        <v>310</v>
      </c>
      <c r="B21" s="8" t="s">
        <v>311</v>
      </c>
      <c r="C21" s="8"/>
      <c r="D21" s="416">
        <v>1</v>
      </c>
    </row>
    <row r="22" spans="1:4" ht="12.75">
      <c r="A22" s="509"/>
      <c r="B22" s="8" t="s">
        <v>312</v>
      </c>
      <c r="C22" s="8"/>
      <c r="D22" s="416">
        <v>1</v>
      </c>
    </row>
    <row r="23" spans="1:4" ht="7.5" customHeight="1">
      <c r="A23" s="45"/>
      <c r="C23" s="8"/>
      <c r="D23" s="381"/>
    </row>
    <row r="24" spans="1:4" ht="12.75">
      <c r="A24" s="45" t="s">
        <v>211</v>
      </c>
      <c r="C24" s="8" t="s">
        <v>212</v>
      </c>
      <c r="D24" s="417" t="s">
        <v>478</v>
      </c>
    </row>
    <row r="25" ht="6.75" customHeight="1" thickBot="1">
      <c r="A25" s="12"/>
    </row>
    <row r="26" spans="1:5" ht="12.75">
      <c r="A26" s="254" t="s">
        <v>67</v>
      </c>
      <c r="C26" s="8"/>
      <c r="E26" s="436" t="s">
        <v>295</v>
      </c>
    </row>
    <row r="27" spans="1:5" ht="12.75">
      <c r="A27" s="255" t="s">
        <v>68</v>
      </c>
      <c r="C27" s="8"/>
      <c r="E27" s="437" t="s">
        <v>296</v>
      </c>
    </row>
    <row r="28" spans="1:3" ht="12.75">
      <c r="A28" s="255" t="s">
        <v>69</v>
      </c>
      <c r="C28" s="38"/>
    </row>
    <row r="29" ht="12.75">
      <c r="A29" s="256" t="s">
        <v>70</v>
      </c>
    </row>
    <row r="30" ht="12.75">
      <c r="A30" s="35"/>
    </row>
    <row r="31" spans="1:8" ht="12.75">
      <c r="A31" t="s">
        <v>285</v>
      </c>
      <c r="D31" s="414">
        <v>31136775</v>
      </c>
      <c r="H31" s="5"/>
    </row>
    <row r="32" ht="6" customHeight="1"/>
    <row r="33" spans="1:8" ht="12.75">
      <c r="A33" t="s">
        <v>71</v>
      </c>
      <c r="D33" s="415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9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5">
        <v>0.0988</v>
      </c>
      <c r="H37" s="41"/>
    </row>
    <row r="38" ht="4.5" customHeight="1">
      <c r="H38" s="34"/>
    </row>
    <row r="39" spans="1:8" ht="12.75">
      <c r="A39" t="s">
        <v>74</v>
      </c>
      <c r="D39" s="415">
        <v>0.0725</v>
      </c>
      <c r="H39" s="41"/>
    </row>
    <row r="40" ht="6" customHeight="1">
      <c r="H40" s="34"/>
    </row>
    <row r="41" spans="1:8" ht="12.75">
      <c r="A41" t="s">
        <v>75</v>
      </c>
      <c r="D41" s="250">
        <f>D31*((D33*D37)+(D35*D39))</f>
        <v>2666864.77875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8">
        <v>681997</v>
      </c>
      <c r="E43" s="380">
        <f>D43</f>
        <v>681997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0">
        <f>D41-D43</f>
        <v>1984867.77875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9">
        <v>661623</v>
      </c>
      <c r="E47" s="380">
        <f aca="true" t="shared" si="0" ref="E47:E53">D47</f>
        <v>661623</v>
      </c>
      <c r="H47" s="40"/>
      <c r="J47" s="5"/>
      <c r="K47" s="5"/>
    </row>
    <row r="48" spans="1:11" ht="12.75">
      <c r="A48" t="s">
        <v>288</v>
      </c>
      <c r="D48" s="419">
        <v>661623</v>
      </c>
      <c r="E48" s="380">
        <f>D48</f>
        <v>661623</v>
      </c>
      <c r="F48" s="22"/>
      <c r="H48" s="40"/>
      <c r="J48" s="5"/>
      <c r="K48" s="5"/>
    </row>
    <row r="49" spans="1:11" ht="12.75">
      <c r="A49" t="s">
        <v>289</v>
      </c>
      <c r="D49" s="420">
        <v>0</v>
      </c>
      <c r="E49" s="380">
        <v>0</v>
      </c>
      <c r="F49" s="22"/>
      <c r="H49" s="40"/>
      <c r="J49" s="5"/>
      <c r="K49" s="5"/>
    </row>
    <row r="50" spans="1:11" ht="12.75">
      <c r="A50" t="s">
        <v>290</v>
      </c>
      <c r="D50" s="421"/>
      <c r="E50" s="380">
        <f t="shared" si="0"/>
        <v>0</v>
      </c>
      <c r="H50" s="40"/>
      <c r="J50" s="5"/>
      <c r="K50" s="5"/>
    </row>
    <row r="51" spans="1:11" ht="12.75">
      <c r="A51" t="s">
        <v>437</v>
      </c>
      <c r="D51" s="421"/>
      <c r="E51" s="380">
        <f t="shared" si="0"/>
        <v>0</v>
      </c>
      <c r="H51" s="40"/>
      <c r="J51" s="5"/>
      <c r="K51" s="5"/>
    </row>
    <row r="52" spans="1:11" ht="12.75">
      <c r="A52" t="s">
        <v>460</v>
      </c>
      <c r="D52" s="421"/>
      <c r="E52" s="380">
        <f t="shared" si="0"/>
        <v>0</v>
      </c>
      <c r="H52" s="40"/>
      <c r="J52" s="5"/>
      <c r="K52" s="5"/>
    </row>
    <row r="53" spans="4:11" ht="12.75">
      <c r="D53" s="421"/>
      <c r="E53" s="380">
        <f t="shared" si="0"/>
        <v>0</v>
      </c>
      <c r="H53" s="40"/>
      <c r="J53" s="5"/>
      <c r="K53" s="5"/>
    </row>
    <row r="54" spans="1:11" ht="12.75">
      <c r="A54" s="2" t="s">
        <v>291</v>
      </c>
      <c r="E54" s="253">
        <f>SUM(E43:E53)</f>
        <v>2005243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1">
        <f>D31*D33</f>
        <v>15568387.5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1">
        <f>D56*D37</f>
        <v>1538156.685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1">
        <f>D31*D35</f>
        <v>15568387.5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1">
        <f>D60*D39</f>
        <v>1128708.09375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2">
        <f>IF(D41&gt;0,(((D43+D47)/D41)*D62),0)</f>
        <v>568665.7910099241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2">
        <f>IF(D41&gt;0,(((D43+D47+D48)/D41)*D62),0)</f>
        <v>848687.2008172796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2">
        <f>IF(D41&gt;0,(((D43+D47+D48)/D41)*D62),0)</f>
        <v>848687.2008172796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2">
        <f>D62</f>
        <v>1128708.09375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3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250"/>
  <sheetViews>
    <sheetView zoomScale="75" zoomScaleNormal="75" zoomScalePageLayoutView="0" workbookViewId="0" topLeftCell="A163">
      <selection activeCell="E202" sqref="E202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2" t="str">
        <f>REGINFO!A1</f>
        <v>PILs TAXES - EB-2011-0167</v>
      </c>
      <c r="B1" s="203" t="s">
        <v>128</v>
      </c>
      <c r="C1" s="204" t="s">
        <v>34</v>
      </c>
      <c r="D1" s="205"/>
      <c r="E1" s="206" t="s">
        <v>23</v>
      </c>
      <c r="F1" s="207" t="s">
        <v>23</v>
      </c>
      <c r="G1" s="208" t="s">
        <v>462</v>
      </c>
      <c r="H1" s="209"/>
    </row>
    <row r="2" spans="1:8" ht="12.75">
      <c r="A2" s="210" t="s">
        <v>461</v>
      </c>
      <c r="B2" s="211"/>
      <c r="C2" s="212" t="s">
        <v>35</v>
      </c>
      <c r="D2" s="213"/>
      <c r="E2" s="214" t="s">
        <v>24</v>
      </c>
      <c r="F2" s="215" t="s">
        <v>24</v>
      </c>
      <c r="G2" s="182" t="s">
        <v>463</v>
      </c>
      <c r="H2" s="216"/>
    </row>
    <row r="3" spans="1:8" ht="12.75">
      <c r="A3" s="210" t="s">
        <v>49</v>
      </c>
      <c r="B3" s="217"/>
      <c r="C3" s="218"/>
      <c r="D3" s="213"/>
      <c r="E3" s="136" t="s">
        <v>21</v>
      </c>
      <c r="F3" s="219" t="s">
        <v>21</v>
      </c>
      <c r="G3" s="136"/>
      <c r="H3" s="216"/>
    </row>
    <row r="4" spans="1:8" ht="12.75">
      <c r="A4" s="220" t="s">
        <v>41</v>
      </c>
      <c r="B4" s="221"/>
      <c r="C4" s="218"/>
      <c r="D4" s="213"/>
      <c r="E4" s="136" t="s">
        <v>249</v>
      </c>
      <c r="F4" s="219" t="s">
        <v>22</v>
      </c>
      <c r="G4" s="136"/>
      <c r="H4" s="216"/>
    </row>
    <row r="5" spans="1:8" ht="12.75">
      <c r="A5" s="210">
        <f>REGINFO!E2</f>
        <v>0</v>
      </c>
      <c r="B5" s="221"/>
      <c r="C5" s="218"/>
      <c r="D5" s="213"/>
      <c r="E5" s="136"/>
      <c r="F5" s="219"/>
      <c r="G5" s="182" t="str">
        <f>REGINFO!E1</f>
        <v>Version 2009.1</v>
      </c>
      <c r="H5" s="216"/>
    </row>
    <row r="6" spans="1:8" ht="12.75">
      <c r="A6" s="210" t="str">
        <f>REGINFO!A3</f>
        <v>Utility Name: Festival Hydro Inc.</v>
      </c>
      <c r="B6" s="114"/>
      <c r="D6" s="136"/>
      <c r="E6" s="114"/>
      <c r="G6" s="114"/>
      <c r="H6" s="458"/>
    </row>
    <row r="7" spans="1:8" ht="12.75">
      <c r="A7" s="210" t="str">
        <f>REGINFO!A4</f>
        <v>Reporting period:  2003</v>
      </c>
      <c r="B7" s="114"/>
      <c r="D7" s="136"/>
      <c r="E7" s="114"/>
      <c r="G7" s="114"/>
      <c r="H7" s="458"/>
    </row>
    <row r="8" spans="2:12" ht="12.75">
      <c r="B8" s="221"/>
      <c r="C8" s="229"/>
      <c r="D8" s="213"/>
      <c r="E8" s="136"/>
      <c r="F8" s="219"/>
      <c r="G8" s="182" t="s">
        <v>87</v>
      </c>
      <c r="H8" s="216"/>
      <c r="J8" s="34"/>
      <c r="K8" s="34"/>
      <c r="L8" s="34"/>
    </row>
    <row r="9" spans="1:8" ht="12.75">
      <c r="A9" s="210" t="s">
        <v>126</v>
      </c>
      <c r="B9" s="422">
        <f>REGINFO!B6</f>
        <v>365</v>
      </c>
      <c r="C9" s="230" t="s">
        <v>127</v>
      </c>
      <c r="D9" s="213"/>
      <c r="E9" s="136"/>
      <c r="F9" s="219"/>
      <c r="G9" s="182" t="s">
        <v>90</v>
      </c>
      <c r="H9" s="216"/>
    </row>
    <row r="10" spans="1:8" ht="12.75">
      <c r="A10" s="210" t="s">
        <v>254</v>
      </c>
      <c r="B10" s="422">
        <f>REGINFO!B7</f>
        <v>365</v>
      </c>
      <c r="C10" s="230" t="s">
        <v>127</v>
      </c>
      <c r="D10" s="213"/>
      <c r="E10" s="231"/>
      <c r="F10" s="219"/>
      <c r="G10" s="232" t="s">
        <v>88</v>
      </c>
      <c r="H10" s="216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1"/>
      <c r="C12" s="218" t="s">
        <v>25</v>
      </c>
      <c r="D12" s="213"/>
      <c r="E12" s="218" t="s">
        <v>25</v>
      </c>
      <c r="F12" s="219"/>
      <c r="G12" s="218" t="s">
        <v>25</v>
      </c>
      <c r="H12" s="216"/>
    </row>
    <row r="13" spans="1:8" ht="13.5" thickTop="1">
      <c r="A13" s="149"/>
      <c r="B13" s="222"/>
      <c r="C13" s="223"/>
      <c r="D13" s="224"/>
      <c r="E13" s="225"/>
      <c r="F13" s="226"/>
      <c r="G13" s="227"/>
      <c r="H13" s="228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339</v>
      </c>
      <c r="B16" s="124">
        <v>1</v>
      </c>
      <c r="C16" s="257">
        <f>REGINFO!E54</f>
        <v>2005243</v>
      </c>
      <c r="D16" s="17"/>
      <c r="E16" s="265">
        <f>G16-C16</f>
        <v>1521222</v>
      </c>
      <c r="F16" s="3"/>
      <c r="G16" s="265">
        <f>TAXREC!E50</f>
        <v>3526465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207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9">
        <v>1951722</v>
      </c>
      <c r="D20" s="18"/>
      <c r="E20" s="265">
        <f>G20-C20</f>
        <v>89095</v>
      </c>
      <c r="F20" s="6"/>
      <c r="G20" s="265">
        <f>TAXREC!E61</f>
        <v>2040817</v>
      </c>
      <c r="H20" s="150"/>
    </row>
    <row r="21" spans="1:8" ht="12.75">
      <c r="A21" s="157" t="s">
        <v>56</v>
      </c>
      <c r="B21" s="126">
        <v>3</v>
      </c>
      <c r="C21" s="259"/>
      <c r="D21" s="18"/>
      <c r="E21" s="265">
        <f>G21-C21</f>
        <v>0</v>
      </c>
      <c r="F21" s="6"/>
      <c r="G21" s="265">
        <f>TAXREC!E62</f>
        <v>0</v>
      </c>
      <c r="H21" s="150"/>
    </row>
    <row r="22" spans="1:8" ht="12.75">
      <c r="A22" s="157" t="s">
        <v>262</v>
      </c>
      <c r="B22" s="126">
        <v>4</v>
      </c>
      <c r="C22" s="259"/>
      <c r="D22" s="18"/>
      <c r="E22" s="265">
        <f>G22-C22</f>
        <v>0</v>
      </c>
      <c r="F22" s="6"/>
      <c r="G22" s="265">
        <f>TAXREC!E63</f>
        <v>0</v>
      </c>
      <c r="H22" s="150"/>
    </row>
    <row r="23" spans="1:8" ht="12.75">
      <c r="A23" s="157" t="s">
        <v>261</v>
      </c>
      <c r="B23" s="126">
        <v>4</v>
      </c>
      <c r="C23" s="259"/>
      <c r="D23" s="18"/>
      <c r="E23" s="265">
        <f>G23-C23</f>
        <v>1109000</v>
      </c>
      <c r="F23" s="6"/>
      <c r="G23" s="265">
        <f>TAXREC!E64</f>
        <v>1109000</v>
      </c>
      <c r="H23" s="150"/>
    </row>
    <row r="24" spans="1:8" ht="12.75">
      <c r="A24" s="157" t="s">
        <v>263</v>
      </c>
      <c r="B24" s="126">
        <v>5</v>
      </c>
      <c r="C24" s="259">
        <v>36651</v>
      </c>
      <c r="D24" s="18"/>
      <c r="E24" s="265">
        <f>G24-C24</f>
        <v>-36651</v>
      </c>
      <c r="F24" s="6"/>
      <c r="G24" s="265">
        <f>TAXREC!E65</f>
        <v>0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9"/>
      <c r="D26" s="18"/>
      <c r="E26" s="265">
        <f>G26-C26</f>
        <v>102736</v>
      </c>
      <c r="F26" s="6"/>
      <c r="G26" s="265">
        <f>TAXREC!E92</f>
        <v>102736</v>
      </c>
      <c r="H26" s="150"/>
    </row>
    <row r="27" spans="1:8" ht="12.75">
      <c r="A27" s="157" t="s">
        <v>158</v>
      </c>
      <c r="B27" s="126">
        <v>6</v>
      </c>
      <c r="C27" s="259"/>
      <c r="D27" s="18"/>
      <c r="E27" s="265">
        <f>G27-C27</f>
        <v>0</v>
      </c>
      <c r="F27" s="6"/>
      <c r="G27" s="265">
        <f>TAXREC!E93</f>
        <v>0</v>
      </c>
      <c r="H27" s="150"/>
    </row>
    <row r="28" spans="1:8" ht="12.75">
      <c r="A28" s="157" t="s">
        <v>157</v>
      </c>
      <c r="B28" s="126">
        <v>6</v>
      </c>
      <c r="C28" s="259"/>
      <c r="D28" s="18"/>
      <c r="E28" s="265">
        <f>G28-C28</f>
        <v>3087</v>
      </c>
      <c r="F28" s="6"/>
      <c r="G28" s="265">
        <f>TAXREC!E67</f>
        <v>3087</v>
      </c>
      <c r="H28" s="150"/>
    </row>
    <row r="29" spans="1:8" ht="12.75">
      <c r="A29" s="157" t="s">
        <v>156</v>
      </c>
      <c r="B29" s="126">
        <v>6</v>
      </c>
      <c r="C29" s="259"/>
      <c r="D29" s="18"/>
      <c r="E29" s="265">
        <f>G29-C29</f>
        <v>0</v>
      </c>
      <c r="F29" s="6"/>
      <c r="G29" s="265">
        <f>TAXREC!E68</f>
        <v>0</v>
      </c>
      <c r="H29" s="150"/>
    </row>
    <row r="30" spans="1:8" ht="15.75">
      <c r="A30" s="474" t="s">
        <v>393</v>
      </c>
      <c r="B30" s="126"/>
      <c r="C30" s="257"/>
      <c r="D30" s="18"/>
      <c r="E30" s="265">
        <f>G30-C30</f>
        <v>60771</v>
      </c>
      <c r="F30" s="6"/>
      <c r="G30" s="265">
        <f>TAXREC!E66</f>
        <v>60771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9">
        <v>1358147</v>
      </c>
      <c r="D33" s="131"/>
      <c r="E33" s="265">
        <f aca="true" t="shared" si="0" ref="E33:E42">G33-C33</f>
        <v>196821</v>
      </c>
      <c r="F33" s="6"/>
      <c r="G33" s="265">
        <f>TAXREC!E97+TAXREC!E98</f>
        <v>1554968</v>
      </c>
      <c r="H33" s="150"/>
    </row>
    <row r="34" spans="1:8" ht="12.75">
      <c r="A34" s="157" t="s">
        <v>57</v>
      </c>
      <c r="B34" s="126">
        <v>8</v>
      </c>
      <c r="C34" s="259"/>
      <c r="D34" s="131"/>
      <c r="E34" s="265">
        <f t="shared" si="0"/>
        <v>0</v>
      </c>
      <c r="F34" s="6"/>
      <c r="G34" s="265">
        <f>TAXREC!E99</f>
        <v>0</v>
      </c>
      <c r="H34" s="150"/>
    </row>
    <row r="35" spans="1:8" ht="12.75">
      <c r="A35" s="157" t="s">
        <v>45</v>
      </c>
      <c r="B35" s="126">
        <v>9</v>
      </c>
      <c r="C35" s="259">
        <v>0</v>
      </c>
      <c r="D35" s="131"/>
      <c r="E35" s="265">
        <f t="shared" si="0"/>
        <v>0</v>
      </c>
      <c r="F35" s="6"/>
      <c r="G35" s="265">
        <f>TAXREC!E100</f>
        <v>0</v>
      </c>
      <c r="H35" s="150"/>
    </row>
    <row r="36" spans="1:8" ht="12.75">
      <c r="A36" s="157" t="s">
        <v>264</v>
      </c>
      <c r="B36" s="126">
        <v>10</v>
      </c>
      <c r="C36" s="259"/>
      <c r="D36" s="131"/>
      <c r="E36" s="265">
        <f t="shared" si="0"/>
        <v>0</v>
      </c>
      <c r="F36" s="6"/>
      <c r="G36" s="265">
        <f>TAXREC!E102+TAXREC!E103</f>
        <v>0</v>
      </c>
      <c r="H36" s="150"/>
    </row>
    <row r="37" spans="1:8" ht="12.75">
      <c r="A37" s="154" t="s">
        <v>86</v>
      </c>
      <c r="B37" s="124">
        <v>11</v>
      </c>
      <c r="C37" s="258">
        <f>REGINFO!D66</f>
        <v>848687.2008172796</v>
      </c>
      <c r="D37" s="131"/>
      <c r="E37" s="265">
        <f t="shared" si="0"/>
        <v>285378.79918272037</v>
      </c>
      <c r="F37" s="6"/>
      <c r="G37" s="265">
        <f>TAXREC!E51</f>
        <v>1134066</v>
      </c>
      <c r="H37" s="150"/>
    </row>
    <row r="38" spans="1:8" ht="12.75">
      <c r="A38" s="154" t="s">
        <v>260</v>
      </c>
      <c r="B38" s="124">
        <v>4</v>
      </c>
      <c r="C38" s="259"/>
      <c r="D38" s="131"/>
      <c r="E38" s="265">
        <f t="shared" si="0"/>
        <v>0</v>
      </c>
      <c r="F38" s="6"/>
      <c r="G38" s="265">
        <f>TAXREC!E104</f>
        <v>0</v>
      </c>
      <c r="H38" s="150"/>
    </row>
    <row r="39" spans="1:8" ht="12.75">
      <c r="A39" s="154" t="s">
        <v>259</v>
      </c>
      <c r="B39" s="124">
        <v>4</v>
      </c>
      <c r="C39" s="259"/>
      <c r="D39" s="131"/>
      <c r="E39" s="265">
        <f t="shared" si="0"/>
        <v>1039000</v>
      </c>
      <c r="F39" s="6"/>
      <c r="G39" s="265">
        <f>TAXREC!E105</f>
        <v>1039000</v>
      </c>
      <c r="H39" s="150"/>
    </row>
    <row r="40" spans="1:8" ht="12.75">
      <c r="A40" s="154" t="s">
        <v>12</v>
      </c>
      <c r="B40" s="124">
        <v>3</v>
      </c>
      <c r="C40" s="259"/>
      <c r="D40" s="131"/>
      <c r="E40" s="265">
        <f t="shared" si="0"/>
        <v>0</v>
      </c>
      <c r="F40" s="6"/>
      <c r="G40" s="265">
        <f>TAXREC!E106</f>
        <v>0</v>
      </c>
      <c r="H40" s="150"/>
    </row>
    <row r="41" spans="1:8" ht="12.75">
      <c r="A41" s="154" t="s">
        <v>13</v>
      </c>
      <c r="B41" s="124">
        <v>3</v>
      </c>
      <c r="C41" s="259"/>
      <c r="D41" s="131"/>
      <c r="E41" s="265">
        <f t="shared" si="0"/>
        <v>0</v>
      </c>
      <c r="F41" s="6"/>
      <c r="G41" s="265">
        <f>TAXREC!E107</f>
        <v>0</v>
      </c>
      <c r="H41" s="150"/>
    </row>
    <row r="42" spans="1:8" ht="12.75">
      <c r="A42" s="154" t="s">
        <v>183</v>
      </c>
      <c r="B42" s="124">
        <v>11</v>
      </c>
      <c r="C42" s="259"/>
      <c r="D42" s="131"/>
      <c r="E42" s="265">
        <f t="shared" si="0"/>
        <v>0</v>
      </c>
      <c r="F42" s="6"/>
      <c r="G42" s="265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157" t="s">
        <v>155</v>
      </c>
      <c r="B44" s="126">
        <v>12</v>
      </c>
      <c r="C44" s="259"/>
      <c r="D44" s="131"/>
      <c r="E44" s="265">
        <f>G44-C44</f>
        <v>108833</v>
      </c>
      <c r="F44" s="6"/>
      <c r="G44" s="250">
        <f>TAXREC!E130</f>
        <v>108833</v>
      </c>
      <c r="H44" s="150"/>
    </row>
    <row r="45" spans="1:8" ht="12.75">
      <c r="A45" s="157" t="s">
        <v>152</v>
      </c>
      <c r="B45" s="126">
        <v>12</v>
      </c>
      <c r="C45" s="259"/>
      <c r="D45" s="131"/>
      <c r="E45" s="265">
        <f>G45-C45</f>
        <v>0</v>
      </c>
      <c r="F45" s="6"/>
      <c r="G45" s="250">
        <f>TAXREC!E131</f>
        <v>0</v>
      </c>
      <c r="H45" s="150"/>
    </row>
    <row r="46" spans="1:8" ht="12.75">
      <c r="A46" s="157" t="s">
        <v>154</v>
      </c>
      <c r="B46" s="126">
        <v>12</v>
      </c>
      <c r="C46" s="259"/>
      <c r="D46" s="131"/>
      <c r="E46" s="265">
        <f>G46-C46</f>
        <v>0</v>
      </c>
      <c r="F46" s="6"/>
      <c r="G46" s="250">
        <f>TAXREC!E110</f>
        <v>0</v>
      </c>
      <c r="H46" s="150"/>
    </row>
    <row r="47" spans="1:8" ht="12.75">
      <c r="A47" s="157" t="s">
        <v>153</v>
      </c>
      <c r="B47" s="126">
        <v>12</v>
      </c>
      <c r="C47" s="259"/>
      <c r="D47" s="131"/>
      <c r="E47" s="265">
        <f>G47-C47</f>
        <v>0</v>
      </c>
      <c r="F47" s="6"/>
      <c r="G47" s="250">
        <f>TAXREC!E111</f>
        <v>0</v>
      </c>
      <c r="H47" s="150"/>
    </row>
    <row r="48" spans="1:8" ht="15.75">
      <c r="A48" s="474" t="s">
        <v>393</v>
      </c>
      <c r="B48" s="126"/>
      <c r="C48" s="257"/>
      <c r="D48" s="131"/>
      <c r="E48" s="265">
        <f>G48-C48</f>
        <v>0</v>
      </c>
      <c r="F48" s="6"/>
      <c r="G48" s="250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326</v>
      </c>
      <c r="B50" s="124"/>
      <c r="C50" s="261">
        <f>C16+SUM(C20:C30)-SUM(C33:C48)</f>
        <v>1786781.7991827205</v>
      </c>
      <c r="D50" s="101"/>
      <c r="E50" s="261">
        <f>E16+SUM(E20:E30)-SUM(E33:E48)</f>
        <v>1219227.2008172795</v>
      </c>
      <c r="F50" s="424" t="s">
        <v>365</v>
      </c>
      <c r="G50" s="261">
        <f>G16+SUM(G20:G30)-SUM(G33:G48)</f>
        <v>3006009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334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338</v>
      </c>
      <c r="B53" s="126">
        <v>13</v>
      </c>
      <c r="C53" s="260">
        <f>IF($C$50&gt;'Tax Rates'!$E$11,'Tax Rates'!$F$16,IF($C$50&gt;'Tax Rates'!$C$11,'Tax Rates'!$E$16,'Tax Rates'!$C$16))</f>
        <v>0.3862</v>
      </c>
      <c r="D53" s="101"/>
      <c r="E53" s="266">
        <f>+G53-C53</f>
        <v>-0.020000000000000018</v>
      </c>
      <c r="F53" s="113"/>
      <c r="G53" s="466">
        <f>'Tax Rates'!F34</f>
        <v>0.36619999999999997</v>
      </c>
      <c r="H53" s="150"/>
      <c r="I53" s="463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2">
        <f>IF(C50&gt;0,C50*C53,0)</f>
        <v>690055.1308443666</v>
      </c>
      <c r="D55" s="101"/>
      <c r="E55" s="265">
        <f>G55-C55</f>
        <v>476528.8691556334</v>
      </c>
      <c r="F55" s="424" t="s">
        <v>366</v>
      </c>
      <c r="G55" s="262">
        <f>TAXREC!E144</f>
        <v>1166584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3"/>
      <c r="D58" s="131"/>
      <c r="E58" s="265">
        <f>+G58-C58</f>
        <v>0</v>
      </c>
      <c r="F58" s="424" t="s">
        <v>366</v>
      </c>
      <c r="G58" s="268">
        <f>TAXREC!E145</f>
        <v>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11" ht="13.5" thickBot="1">
      <c r="A60" s="149" t="s">
        <v>37</v>
      </c>
      <c r="B60" s="133"/>
      <c r="C60" s="264">
        <f>+C55-C58</f>
        <v>690055.1308443666</v>
      </c>
      <c r="D60" s="132"/>
      <c r="E60" s="267">
        <f>+E55-E58</f>
        <v>476528.8691556334</v>
      </c>
      <c r="F60" s="424" t="s">
        <v>366</v>
      </c>
      <c r="G60" s="267">
        <f>+G55-G58</f>
        <v>1166584</v>
      </c>
      <c r="H60" s="134"/>
      <c r="I60" s="495" t="s">
        <v>500</v>
      </c>
      <c r="J60" s="489"/>
      <c r="K60" s="498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2">
        <f>Ratebase</f>
        <v>31136775</v>
      </c>
      <c r="D66" s="101"/>
      <c r="E66" s="265">
        <f>G66-C66</f>
        <v>9992714</v>
      </c>
      <c r="F66" s="6"/>
      <c r="G66" s="468">
        <v>41129489</v>
      </c>
      <c r="H66" s="150"/>
      <c r="I66" s="469" t="s">
        <v>473</v>
      </c>
    </row>
    <row r="67" spans="1:10" ht="12.75">
      <c r="A67" s="151" t="s">
        <v>358</v>
      </c>
      <c r="B67" s="124">
        <v>16</v>
      </c>
      <c r="C67" s="258">
        <f>IF(C66&gt;0,'Tax Rates'!C21,0)</f>
        <v>5000000</v>
      </c>
      <c r="D67" s="101"/>
      <c r="E67" s="265">
        <f>G67-C67</f>
        <v>-148195</v>
      </c>
      <c r="F67" s="6"/>
      <c r="G67" s="265">
        <f>'Tax Rates'!C57</f>
        <v>4851805</v>
      </c>
      <c r="H67" s="150"/>
      <c r="I67" s="469" t="s">
        <v>473</v>
      </c>
      <c r="J67" s="496"/>
    </row>
    <row r="68" spans="1:8" ht="12.75">
      <c r="A68" s="151" t="s">
        <v>42</v>
      </c>
      <c r="B68" s="124"/>
      <c r="C68" s="262">
        <f>IF((C66-C67)&gt;0,C66-C67,0)</f>
        <v>26136775</v>
      </c>
      <c r="D68" s="101"/>
      <c r="E68" s="265">
        <f>SUM(E66:E67)</f>
        <v>9844519</v>
      </c>
      <c r="F68" s="113"/>
      <c r="G68" s="262">
        <f>G66-G67</f>
        <v>36277684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359</v>
      </c>
      <c r="B70" s="124">
        <v>17</v>
      </c>
      <c r="C70" s="299">
        <f>'Tax Rates'!C18</f>
        <v>0.003</v>
      </c>
      <c r="D70" s="101"/>
      <c r="E70" s="266">
        <f>+G70-C70</f>
        <v>0</v>
      </c>
      <c r="F70" s="6"/>
      <c r="G70" s="299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9" ht="12.75">
      <c r="A72" s="151" t="s">
        <v>315</v>
      </c>
      <c r="B72" s="124"/>
      <c r="C72" s="262">
        <f>IF(C68&gt;0,C68*C70,0)*REGINFO!$B$6/REGINFO!$B$7</f>
        <v>78410.325</v>
      </c>
      <c r="D72" s="100"/>
      <c r="E72" s="265">
        <f>+G72-C72</f>
        <v>30422.727</v>
      </c>
      <c r="F72" s="470"/>
      <c r="G72" s="262">
        <f>IF(G68&gt;0,G68*G70,0)*REGINFO!$B$6/REGINFO!$B$7</f>
        <v>108833.052</v>
      </c>
      <c r="H72" s="160"/>
      <c r="I72" s="495" t="s">
        <v>500</v>
      </c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217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2">
        <f>Ratebase</f>
        <v>31136775</v>
      </c>
      <c r="D75" s="101"/>
      <c r="E75" s="265">
        <f>+G75-C75</f>
        <v>6607801</v>
      </c>
      <c r="F75" s="6"/>
      <c r="G75" s="468">
        <v>37744576</v>
      </c>
      <c r="H75" s="150"/>
      <c r="I75" s="469" t="s">
        <v>473</v>
      </c>
    </row>
    <row r="76" spans="1:9" ht="12.75">
      <c r="A76" s="151" t="s">
        <v>358</v>
      </c>
      <c r="B76" s="124">
        <v>19</v>
      </c>
      <c r="C76" s="258">
        <f>IF(C75&gt;0,'Tax Rates'!C22,0)</f>
        <v>10000000</v>
      </c>
      <c r="D76" s="18"/>
      <c r="E76" s="265">
        <f>+G76-C76</f>
        <v>-937500</v>
      </c>
      <c r="F76" s="6"/>
      <c r="G76" s="265">
        <f>'Tax Rates'!C58</f>
        <v>9062500</v>
      </c>
      <c r="H76" s="150"/>
      <c r="I76" s="469" t="s">
        <v>473</v>
      </c>
    </row>
    <row r="77" spans="1:8" ht="12.75">
      <c r="A77" s="151" t="s">
        <v>42</v>
      </c>
      <c r="B77" s="124"/>
      <c r="C77" s="262">
        <f>IF((C75-C76)&gt;0,C75-C76,0)</f>
        <v>21136775</v>
      </c>
      <c r="D77" s="19"/>
      <c r="E77" s="265">
        <f>SUM(E75:E76)</f>
        <v>5670301</v>
      </c>
      <c r="F77" s="113"/>
      <c r="G77" s="262">
        <f>G75-G76</f>
        <v>28682076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359</v>
      </c>
      <c r="B79" s="124">
        <v>20</v>
      </c>
      <c r="C79" s="299">
        <f>'Tax Rates'!C19</f>
        <v>0.00225</v>
      </c>
      <c r="D79" s="101"/>
      <c r="E79" s="266">
        <f>G79-C79</f>
        <v>0</v>
      </c>
      <c r="F79" s="6"/>
      <c r="G79" s="266">
        <f>'Tax Rates'!C55</f>
        <v>0.00225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2">
        <f>IF(C77&gt;0,C77*C79,0)*REGINFO!$B$6/REGINFO!$B$7</f>
        <v>47557.74374999999</v>
      </c>
      <c r="D81" s="101"/>
      <c r="E81" s="265">
        <f>+G81-C81</f>
        <v>16976.927250000008</v>
      </c>
      <c r="F81" s="6"/>
      <c r="G81" s="262">
        <f>G77*G79*B9/B10</f>
        <v>64534.670999999995</v>
      </c>
      <c r="H81" s="150"/>
    </row>
    <row r="82" spans="1:8" ht="12.75">
      <c r="A82" s="151" t="s">
        <v>317</v>
      </c>
      <c r="B82" s="124">
        <v>21</v>
      </c>
      <c r="C82" s="298">
        <f>IF(C77&gt;0,IF(C60&gt;0,C50*'Tax Rates'!C20,0),0)</f>
        <v>20011.95615084647</v>
      </c>
      <c r="D82" s="101"/>
      <c r="E82" s="265">
        <f>+G82-C82</f>
        <v>15667.043849153531</v>
      </c>
      <c r="F82" s="6"/>
      <c r="G82" s="298">
        <v>35679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2">
        <f>C81-C82</f>
        <v>27545.78759915352</v>
      </c>
      <c r="D84" s="16"/>
      <c r="E84" s="265">
        <f>E81-E82</f>
        <v>1309.8834008464764</v>
      </c>
      <c r="F84" s="102"/>
      <c r="G84" s="262">
        <f>G81-G82</f>
        <v>28855.670999999995</v>
      </c>
      <c r="H84" s="160"/>
      <c r="I84" s="495" t="s">
        <v>500</v>
      </c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226</v>
      </c>
      <c r="B88" s="124"/>
      <c r="C88" s="260">
        <f>IF($C$50&gt;'Tax Rates'!$E$11,'Tax Rates'!$F$16,IF(AND($C$50&gt;='Tax Rates'!$C$11,$C$50&lt;='Tax Rates'!E11),'Tax Rates'!$E$16,'Tax Rates'!$C$16))-1.12%</f>
        <v>0.375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367</v>
      </c>
      <c r="B90" s="126">
        <v>22</v>
      </c>
      <c r="C90" s="262">
        <f>C60/(1-C88)</f>
        <v>1104088.2093509866</v>
      </c>
      <c r="D90" s="20"/>
      <c r="E90" s="138"/>
      <c r="F90" s="423" t="s">
        <v>479</v>
      </c>
      <c r="G90" s="268">
        <f>TAXREC!E156</f>
        <v>1166584</v>
      </c>
      <c r="H90" s="150"/>
    </row>
    <row r="91" spans="1:8" ht="12.75">
      <c r="A91" s="157" t="s">
        <v>368</v>
      </c>
      <c r="B91" s="126">
        <v>23</v>
      </c>
      <c r="C91" s="262">
        <f>C84/(1-C88)</f>
        <v>44073.26015864563</v>
      </c>
      <c r="D91" s="20"/>
      <c r="E91" s="138"/>
      <c r="F91" s="423" t="s">
        <v>479</v>
      </c>
      <c r="G91" s="268">
        <f>TAXREC!E158</f>
        <v>28856</v>
      </c>
      <c r="H91" s="150"/>
    </row>
    <row r="92" spans="1:8" ht="12.75">
      <c r="A92" s="157" t="s">
        <v>346</v>
      </c>
      <c r="B92" s="126">
        <v>24</v>
      </c>
      <c r="C92" s="262">
        <f>C72</f>
        <v>78410.325</v>
      </c>
      <c r="D92" s="20"/>
      <c r="E92" s="138"/>
      <c r="F92" s="423" t="s">
        <v>479</v>
      </c>
      <c r="G92" s="268">
        <f>TAXREC!E157</f>
        <v>108833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480</v>
      </c>
      <c r="B95" s="124">
        <v>25</v>
      </c>
      <c r="C95" s="267">
        <f>SUM(C90:C93)</f>
        <v>1226571.7945096323</v>
      </c>
      <c r="D95" s="6"/>
      <c r="E95" s="138"/>
      <c r="F95" s="423" t="s">
        <v>479</v>
      </c>
      <c r="G95" s="406">
        <f>SUM(G90:G94)</f>
        <v>1304273</v>
      </c>
      <c r="H95" s="163"/>
    </row>
    <row r="96" spans="1:8" ht="12.75">
      <c r="A96" s="396" t="s">
        <v>306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303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246</v>
      </c>
      <c r="B100" s="122"/>
      <c r="C100" s="111"/>
      <c r="D100" s="3"/>
      <c r="E100" s="142" t="s">
        <v>248</v>
      </c>
      <c r="F100" s="37"/>
      <c r="G100" s="199"/>
      <c r="H100" s="163"/>
    </row>
    <row r="101" spans="1:8" ht="12.75">
      <c r="A101" s="155" t="s">
        <v>344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50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50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50">
        <f>E23</f>
        <v>1109000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50">
        <f>E24</f>
        <v>-36651</v>
      </c>
      <c r="F105" s="37"/>
      <c r="G105" s="200"/>
      <c r="H105" s="163"/>
    </row>
    <row r="106" spans="1:8" ht="12.75">
      <c r="A106" s="157" t="s">
        <v>361</v>
      </c>
      <c r="B106" s="126">
        <v>6</v>
      </c>
      <c r="C106" s="111"/>
      <c r="D106" s="3"/>
      <c r="E106" s="250">
        <f>E26</f>
        <v>102736</v>
      </c>
      <c r="F106" s="37"/>
      <c r="G106" s="200"/>
      <c r="H106" s="163"/>
    </row>
    <row r="107" spans="1:8" ht="12.75">
      <c r="A107" s="157" t="s">
        <v>362</v>
      </c>
      <c r="B107" s="126">
        <v>6</v>
      </c>
      <c r="C107" s="111"/>
      <c r="D107" s="3"/>
      <c r="E107" s="250">
        <f>E28</f>
        <v>3087</v>
      </c>
      <c r="F107" s="37"/>
      <c r="G107" s="200"/>
      <c r="H107" s="163"/>
    </row>
    <row r="108" spans="1:8" ht="12.75">
      <c r="A108" s="155" t="s">
        <v>360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50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50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50">
        <f>E36</f>
        <v>0</v>
      </c>
      <c r="F111" s="37"/>
      <c r="G111" s="200"/>
      <c r="H111" s="163"/>
    </row>
    <row r="112" spans="1:8" ht="12.75">
      <c r="A112" s="154" t="s">
        <v>489</v>
      </c>
      <c r="B112" s="126">
        <v>11</v>
      </c>
      <c r="C112" s="111"/>
      <c r="D112" s="3"/>
      <c r="E112" s="465">
        <f>E206</f>
        <v>5357.90625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50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50">
        <f>E39</f>
        <v>1039000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50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50">
        <f>E41</f>
        <v>0</v>
      </c>
      <c r="F116" s="37"/>
      <c r="G116" s="200"/>
      <c r="H116" s="163"/>
    </row>
    <row r="117" spans="1:8" ht="12.75">
      <c r="A117" s="157" t="s">
        <v>363</v>
      </c>
      <c r="B117" s="126">
        <v>12</v>
      </c>
      <c r="C117" s="111"/>
      <c r="D117" s="3"/>
      <c r="E117" s="250">
        <f>E44</f>
        <v>108833</v>
      </c>
      <c r="F117" s="37"/>
      <c r="G117" s="200"/>
      <c r="H117" s="163"/>
    </row>
    <row r="118" spans="1:8" ht="12.75">
      <c r="A118" s="157" t="s">
        <v>364</v>
      </c>
      <c r="B118" s="126">
        <v>12</v>
      </c>
      <c r="C118" s="111"/>
      <c r="D118" s="3"/>
      <c r="E118" s="250">
        <f>E46</f>
        <v>0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219</v>
      </c>
      <c r="B120" s="126">
        <v>26</v>
      </c>
      <c r="C120" s="111"/>
      <c r="D120" s="116" t="s">
        <v>188</v>
      </c>
      <c r="E120" s="262">
        <f>SUM(E102:E107)-SUM(E109:E118)</f>
        <v>24981.09375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481</v>
      </c>
      <c r="B122" s="126"/>
      <c r="C122" s="111"/>
      <c r="D122" s="3" t="s">
        <v>230</v>
      </c>
      <c r="E122" s="462">
        <f>+'Tax Rates'!F34</f>
        <v>0.36619999999999997</v>
      </c>
      <c r="F122" s="463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245</v>
      </c>
      <c r="B124" s="126"/>
      <c r="C124" s="111"/>
      <c r="D124" s="3" t="s">
        <v>188</v>
      </c>
      <c r="E124" s="262">
        <f>E120*E122</f>
        <v>9148.076531249999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2">
        <f>E58</f>
        <v>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2">
        <f>E124-E126</f>
        <v>9148.076531249999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151" t="s">
        <v>195</v>
      </c>
      <c r="B130" s="126"/>
      <c r="C130" s="111"/>
      <c r="D130" s="3"/>
      <c r="E130" s="310">
        <f>'Tax Rates'!F34-0.0112</f>
        <v>0.355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350</v>
      </c>
      <c r="B132" s="129"/>
      <c r="C132" s="111"/>
      <c r="D132" s="3"/>
      <c r="E132" s="478">
        <f>E128/(1-E130)</f>
        <v>14183.064389534882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353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234</v>
      </c>
      <c r="B136" s="129"/>
      <c r="C136" s="111"/>
      <c r="D136" s="117" t="s">
        <v>188</v>
      </c>
      <c r="E136" s="300">
        <f>C50</f>
        <v>1786781.7991827205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236</v>
      </c>
      <c r="B138" s="129"/>
      <c r="C138" s="111"/>
      <c r="D138" s="118" t="s">
        <v>230</v>
      </c>
      <c r="E138" s="310">
        <f>'Tax Rates'!F34</f>
        <v>0.36619999999999997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228</v>
      </c>
      <c r="B140" s="129"/>
      <c r="C140" s="111"/>
      <c r="D140" s="117" t="s">
        <v>188</v>
      </c>
      <c r="E140" s="301">
        <f>IF(E136&gt;0,E136*E138,0)</f>
        <v>654319.4948607122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237</v>
      </c>
      <c r="B142" s="129"/>
      <c r="C142" s="111"/>
      <c r="D142" s="117" t="s">
        <v>187</v>
      </c>
      <c r="E142" s="302">
        <f>TAXREC!E145</f>
        <v>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229</v>
      </c>
      <c r="B144" s="129"/>
      <c r="C144" s="111"/>
      <c r="D144" s="118" t="s">
        <v>188</v>
      </c>
      <c r="E144" s="300">
        <f>E140-E142</f>
        <v>654319.4948607122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238</v>
      </c>
      <c r="B146" s="129"/>
      <c r="C146" s="111"/>
      <c r="D146" s="117" t="s">
        <v>187</v>
      </c>
      <c r="E146" s="300">
        <f>C60</f>
        <v>690055.1308443666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231</v>
      </c>
      <c r="B148" s="129"/>
      <c r="C148" s="111"/>
      <c r="D148" s="117" t="s">
        <v>188</v>
      </c>
      <c r="E148" s="300">
        <f>E144-E146</f>
        <v>-35735.635983654414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79" t="s">
        <v>20</v>
      </c>
      <c r="B150" s="129"/>
      <c r="C150" s="111"/>
      <c r="D150" s="118"/>
      <c r="E150" s="473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300">
        <f>C66</f>
        <v>31136775</v>
      </c>
      <c r="F151" s="37"/>
      <c r="G151" s="200"/>
      <c r="H151" s="163"/>
    </row>
    <row r="152" spans="1:8" ht="12.75">
      <c r="A152" s="170" t="s">
        <v>356</v>
      </c>
      <c r="B152" s="129"/>
      <c r="C152" s="111"/>
      <c r="D152" s="117" t="s">
        <v>187</v>
      </c>
      <c r="E152" s="303">
        <f>IF(E151&gt;0,'Tax Rates'!C39,0)</f>
        <v>5000000</v>
      </c>
      <c r="F152" s="37"/>
      <c r="G152" s="200"/>
      <c r="H152" s="163"/>
    </row>
    <row r="153" spans="1:8" ht="12.75">
      <c r="A153" s="170" t="s">
        <v>232</v>
      </c>
      <c r="B153" s="129"/>
      <c r="C153" s="111"/>
      <c r="D153" s="117" t="s">
        <v>188</v>
      </c>
      <c r="E153" s="300">
        <f>E151-E152</f>
        <v>26136775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357</v>
      </c>
      <c r="B155" s="129"/>
      <c r="C155" s="111"/>
      <c r="D155" s="118" t="s">
        <v>230</v>
      </c>
      <c r="E155" s="304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233</v>
      </c>
      <c r="B157" s="129"/>
      <c r="C157" s="111"/>
      <c r="D157" s="118" t="s">
        <v>188</v>
      </c>
      <c r="E157" s="300">
        <f>IF(E153&gt;0,E153*E155*B9/B10,0)</f>
        <v>78410.325</v>
      </c>
      <c r="F157" s="37"/>
      <c r="G157" s="200"/>
      <c r="H157" s="163"/>
    </row>
    <row r="158" spans="1:8" ht="25.5">
      <c r="A158" s="170" t="s">
        <v>307</v>
      </c>
      <c r="B158" s="129"/>
      <c r="C158" s="111"/>
      <c r="D158" s="117" t="s">
        <v>187</v>
      </c>
      <c r="E158" s="303">
        <f>C72</f>
        <v>78410.325</v>
      </c>
      <c r="F158" s="37"/>
      <c r="G158" s="200"/>
      <c r="H158" s="163"/>
    </row>
    <row r="159" spans="1:8" ht="12.75" customHeight="1">
      <c r="A159" s="171" t="s">
        <v>243</v>
      </c>
      <c r="B159" s="129"/>
      <c r="C159" s="111"/>
      <c r="D159" s="117" t="s">
        <v>188</v>
      </c>
      <c r="E159" s="467">
        <f>E157-E158</f>
        <v>0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79" t="s">
        <v>235</v>
      </c>
      <c r="B161" s="129"/>
      <c r="C161" s="111"/>
      <c r="D161" s="118"/>
      <c r="E161" s="302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300">
        <f>C75</f>
        <v>31136775</v>
      </c>
      <c r="F162" s="37"/>
      <c r="G162" s="200"/>
      <c r="H162" s="163"/>
    </row>
    <row r="163" spans="1:8" ht="12.75">
      <c r="A163" s="170" t="s">
        <v>355</v>
      </c>
      <c r="B163" s="129"/>
      <c r="C163" s="111"/>
      <c r="D163" s="117" t="s">
        <v>187</v>
      </c>
      <c r="E163" s="303">
        <f>IF(E162&gt;0,'Tax Rates'!C40,0)</f>
        <v>10000000</v>
      </c>
      <c r="F163" s="37"/>
      <c r="G163" s="200"/>
      <c r="H163" s="163"/>
    </row>
    <row r="164" spans="1:8" ht="12.75">
      <c r="A164" s="170" t="s">
        <v>239</v>
      </c>
      <c r="B164" s="129"/>
      <c r="C164" s="111"/>
      <c r="D164" s="118" t="s">
        <v>188</v>
      </c>
      <c r="E164" s="300">
        <f>E162-E163</f>
        <v>21136775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308</v>
      </c>
      <c r="B166" s="129"/>
      <c r="C166" s="111"/>
      <c r="D166" s="118"/>
      <c r="E166" s="304">
        <f>'Tax Rates'!C55</f>
        <v>0.00225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240</v>
      </c>
      <c r="B168" s="129"/>
      <c r="C168" s="111"/>
      <c r="D168" s="118"/>
      <c r="E168" s="300">
        <f>IF(E164&gt;0,E164*E166*B9/B10,0)</f>
        <v>47557.74374999999</v>
      </c>
      <c r="F168" s="37"/>
      <c r="G168" s="200"/>
      <c r="H168" s="163"/>
    </row>
    <row r="169" spans="1:8" ht="12.75">
      <c r="A169" s="170" t="s">
        <v>318</v>
      </c>
      <c r="B169" s="129"/>
      <c r="C169" s="111"/>
      <c r="D169" s="117" t="s">
        <v>187</v>
      </c>
      <c r="E169" s="305">
        <f>IF(E164&gt;0,IF(E144&gt;0,E136*'Tax Rates'!C56,0),0)</f>
        <v>20011.95615084647</v>
      </c>
      <c r="F169" s="37"/>
      <c r="G169" s="200"/>
      <c r="H169" s="163"/>
    </row>
    <row r="170" spans="1:8" ht="12.75">
      <c r="A170" s="170" t="s">
        <v>241</v>
      </c>
      <c r="B170" s="129"/>
      <c r="C170" s="111"/>
      <c r="D170" s="118" t="s">
        <v>188</v>
      </c>
      <c r="E170" s="300">
        <f>E168-E169</f>
        <v>27545.78759915352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40"/>
      <c r="F171" s="37"/>
      <c r="G171" s="200"/>
      <c r="H171" s="163"/>
    </row>
    <row r="172" spans="1:8" ht="12.75">
      <c r="A172" s="407" t="s">
        <v>345</v>
      </c>
      <c r="B172" s="129"/>
      <c r="C172" s="111"/>
      <c r="D172" s="117" t="s">
        <v>187</v>
      </c>
      <c r="E172" s="303">
        <f>C84</f>
        <v>27545.78759915352</v>
      </c>
      <c r="F172" s="37"/>
      <c r="G172" s="200"/>
      <c r="H172" s="163"/>
    </row>
    <row r="173" spans="1:8" ht="12.75">
      <c r="A173" s="154" t="s">
        <v>244</v>
      </c>
      <c r="B173" s="129"/>
      <c r="C173" s="111"/>
      <c r="D173" s="118" t="s">
        <v>188</v>
      </c>
      <c r="E173" s="467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154" t="s">
        <v>343</v>
      </c>
      <c r="B175" s="129"/>
      <c r="C175" s="111"/>
      <c r="D175" s="118"/>
      <c r="E175" s="462">
        <f>'Tax Rates'!F34-0.0112</f>
        <v>0.355</v>
      </c>
      <c r="F175" s="463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242</v>
      </c>
      <c r="B177" s="129"/>
      <c r="C177" s="111"/>
      <c r="D177" s="118" t="s">
        <v>186</v>
      </c>
      <c r="E177" s="300">
        <f>E148/(1-E175)</f>
        <v>-55404.08679636343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300">
        <f>E173/(1-E175)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300">
        <f>E159</f>
        <v>0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351</v>
      </c>
      <c r="B181" s="129"/>
      <c r="C181" s="111"/>
      <c r="D181" s="118" t="s">
        <v>188</v>
      </c>
      <c r="E181" s="477">
        <f>SUM(E177:E179)</f>
        <v>-55404.08679636343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488</v>
      </c>
      <c r="B183" s="129"/>
      <c r="C183" s="111"/>
      <c r="D183" s="118" t="s">
        <v>186</v>
      </c>
      <c r="E183" s="477">
        <f>E132</f>
        <v>14183.064389534882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352</v>
      </c>
      <c r="B185" s="129"/>
      <c r="C185" s="111"/>
      <c r="D185" s="118" t="s">
        <v>188</v>
      </c>
      <c r="E185" s="477">
        <f>E181+E183</f>
        <v>-41221.022406828546</v>
      </c>
      <c r="F185" s="37"/>
      <c r="G185" s="200"/>
      <c r="H185" s="163"/>
    </row>
    <row r="186" spans="1:8" ht="12.75">
      <c r="A186" s="161" t="s">
        <v>247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223</v>
      </c>
      <c r="B193" s="126"/>
      <c r="C193" s="111"/>
      <c r="D193" s="119"/>
      <c r="E193" s="306">
        <f>REGINFO!D62</f>
        <v>1128708.09375</v>
      </c>
      <c r="F193" s="3"/>
      <c r="G193" s="122"/>
      <c r="H193" s="163"/>
    </row>
    <row r="194" spans="1:8" ht="12.75">
      <c r="A194" s="154" t="s">
        <v>250</v>
      </c>
      <c r="B194" s="126"/>
      <c r="C194" s="111"/>
      <c r="D194" s="119"/>
      <c r="E194" s="306">
        <f>REGINFO!D66</f>
        <v>848687.2008172796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341</v>
      </c>
      <c r="B196" s="126"/>
      <c r="C196" s="111"/>
      <c r="D196" s="119"/>
      <c r="E196" s="306">
        <f>E193-E194</f>
        <v>280020.89293272037</v>
      </c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255</v>
      </c>
      <c r="B199" s="126"/>
      <c r="C199" s="111"/>
      <c r="D199" s="119"/>
      <c r="E199" s="146"/>
      <c r="F199" s="3"/>
      <c r="G199" s="479"/>
      <c r="H199" s="163"/>
    </row>
    <row r="200" spans="1:8" ht="12.75">
      <c r="A200" s="175" t="s">
        <v>85</v>
      </c>
      <c r="B200" s="126"/>
      <c r="C200" s="111"/>
      <c r="D200" s="119"/>
      <c r="E200" s="146"/>
      <c r="H200" s="163"/>
    </row>
    <row r="201" spans="1:8" ht="12.75">
      <c r="A201" s="499" t="s">
        <v>502</v>
      </c>
      <c r="B201" s="126"/>
      <c r="C201" s="111"/>
      <c r="D201" s="119"/>
      <c r="E201" s="306">
        <f>G37+G42</f>
        <v>1134066</v>
      </c>
      <c r="F201" s="3"/>
      <c r="G201" s="479"/>
      <c r="H201" s="163"/>
    </row>
    <row r="202" spans="1:8" ht="12.75">
      <c r="A202" s="499" t="s">
        <v>503</v>
      </c>
      <c r="B202" s="126"/>
      <c r="C202" s="111"/>
      <c r="D202" s="119"/>
      <c r="E202" s="306">
        <f>+E193</f>
        <v>1128708.09375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1">
        <f>IF((E201-E202)&gt;0,E201-E202,0)</f>
        <v>5357.90625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490</v>
      </c>
      <c r="B206" s="126"/>
      <c r="C206" s="111"/>
      <c r="D206" s="119"/>
      <c r="E206" s="464">
        <f>IF((E201-E202)&gt;0,E201-E202,0)</f>
        <v>5357.90625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224</v>
      </c>
      <c r="B208" s="177"/>
      <c r="C208" s="178"/>
      <c r="D208" s="179"/>
      <c r="E208" s="307">
        <f>+E196-E204</f>
        <v>274662.98668272037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47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O163"/>
  <sheetViews>
    <sheetView zoomScale="75" zoomScaleNormal="75" zoomScalePageLayoutView="0" workbookViewId="0" topLeftCell="A128">
      <selection activeCell="E156" sqref="E156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EB-2011-0167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Festival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2003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214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215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8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216</v>
      </c>
      <c r="C13" s="483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484" t="s">
        <v>493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484" t="s">
        <v>494</v>
      </c>
      <c r="D15" s="25"/>
      <c r="E15" s="25"/>
      <c r="F15" s="20"/>
      <c r="G15" s="3"/>
      <c r="H15" s="3"/>
      <c r="I15" s="3"/>
    </row>
    <row r="16" spans="1:9" ht="12.75">
      <c r="A16" s="297" t="s">
        <v>227</v>
      </c>
      <c r="B16" s="20" t="s">
        <v>64</v>
      </c>
      <c r="C16" s="484" t="s">
        <v>494</v>
      </c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484" t="s">
        <v>493</v>
      </c>
      <c r="E17" s="26"/>
      <c r="F17" s="8"/>
    </row>
    <row r="18" spans="1:6" ht="12.75">
      <c r="A18" s="54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2" t="s">
        <v>324</v>
      </c>
      <c r="B23" s="393"/>
      <c r="C23" s="394"/>
      <c r="D23" s="395"/>
      <c r="E23" s="28"/>
      <c r="F23" s="11"/>
      <c r="G23" s="11"/>
      <c r="H23" s="6"/>
      <c r="I23" s="6"/>
    </row>
    <row r="24" spans="1:9" ht="12.75">
      <c r="A24" s="392" t="s">
        <v>257</v>
      </c>
      <c r="B24" s="393"/>
      <c r="C24" s="394"/>
      <c r="D24" s="395"/>
      <c r="E24" s="28"/>
      <c r="F24" s="11"/>
      <c r="G24" s="11"/>
      <c r="H24" s="6"/>
      <c r="I24" s="6"/>
    </row>
    <row r="25" spans="1:9" ht="12.75">
      <c r="A25" s="392" t="s">
        <v>222</v>
      </c>
      <c r="B25" s="393"/>
      <c r="C25" s="394"/>
      <c r="D25" s="395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2" t="s">
        <v>322</v>
      </c>
      <c r="B27" s="393"/>
      <c r="C27" s="394"/>
      <c r="D27" s="395"/>
      <c r="E27" s="28"/>
      <c r="F27" s="11"/>
      <c r="G27" s="11"/>
      <c r="H27" s="6"/>
      <c r="I27" s="6"/>
    </row>
    <row r="28" spans="1:9" ht="12.75">
      <c r="A28" s="392" t="s">
        <v>323</v>
      </c>
      <c r="B28" s="393"/>
      <c r="C28" s="394"/>
      <c r="D28" s="395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7" t="s">
        <v>272</v>
      </c>
      <c r="B31" s="23" t="s">
        <v>186</v>
      </c>
      <c r="C31" s="283">
        <v>51014534</v>
      </c>
      <c r="D31" s="284"/>
      <c r="E31" s="282">
        <f>C31-D31</f>
        <v>51014534</v>
      </c>
      <c r="F31" s="11"/>
      <c r="G31" s="11"/>
      <c r="H31" s="6"/>
      <c r="I31" s="6"/>
    </row>
    <row r="32" spans="1:9" ht="12.75">
      <c r="A32" s="4" t="s">
        <v>220</v>
      </c>
      <c r="B32" s="23" t="s">
        <v>186</v>
      </c>
      <c r="C32" s="283">
        <v>500356</v>
      </c>
      <c r="D32" s="284"/>
      <c r="E32" s="282">
        <f>C32-D32</f>
        <v>500356</v>
      </c>
      <c r="F32" s="11"/>
      <c r="G32" s="11"/>
      <c r="H32" s="6"/>
      <c r="I32" s="6"/>
    </row>
    <row r="33" spans="1:9" ht="12.75">
      <c r="A33" s="4" t="s">
        <v>210</v>
      </c>
      <c r="B33" s="23" t="s">
        <v>186</v>
      </c>
      <c r="C33" s="283">
        <v>217939</v>
      </c>
      <c r="D33" s="284">
        <v>179642</v>
      </c>
      <c r="E33" s="282">
        <f>C33-D33</f>
        <v>38297</v>
      </c>
      <c r="F33" s="11"/>
      <c r="G33" s="11"/>
      <c r="H33" s="6"/>
      <c r="I33" s="6"/>
    </row>
    <row r="34" spans="1:9" ht="12.75">
      <c r="A34" s="4" t="s">
        <v>225</v>
      </c>
      <c r="B34" s="23" t="s">
        <v>186</v>
      </c>
      <c r="C34" s="283"/>
      <c r="D34" s="284"/>
      <c r="E34" s="282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3"/>
      <c r="D35" s="284"/>
      <c r="E35" s="282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3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208</v>
      </c>
      <c r="B39" s="23" t="s">
        <v>187</v>
      </c>
      <c r="C39" s="283">
        <v>42899281</v>
      </c>
      <c r="D39" s="284"/>
      <c r="E39" s="282">
        <f>C39-D39</f>
        <v>42899281</v>
      </c>
      <c r="F39" s="11"/>
      <c r="G39" s="11"/>
      <c r="H39" s="6"/>
      <c r="I39" s="6"/>
    </row>
    <row r="40" spans="1:9" ht="12.75">
      <c r="A40" s="46" t="s">
        <v>209</v>
      </c>
      <c r="B40" s="23" t="s">
        <v>187</v>
      </c>
      <c r="C40" s="283">
        <v>1164857</v>
      </c>
      <c r="D40" s="284"/>
      <c r="E40" s="282">
        <f aca="true" t="shared" si="0" ref="E40:E48">C40-D40</f>
        <v>1164857</v>
      </c>
      <c r="F40" s="11"/>
      <c r="G40" s="11"/>
      <c r="H40" s="6"/>
      <c r="I40" s="6"/>
    </row>
    <row r="41" spans="1:9" ht="12.75">
      <c r="A41" s="4" t="s">
        <v>273</v>
      </c>
      <c r="B41" s="23" t="s">
        <v>187</v>
      </c>
      <c r="C41" s="283">
        <v>893304</v>
      </c>
      <c r="D41" s="284"/>
      <c r="E41" s="282">
        <f t="shared" si="0"/>
        <v>893304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3">
        <v>935463</v>
      </c>
      <c r="D42" s="284"/>
      <c r="E42" s="282">
        <f t="shared" si="0"/>
        <v>935463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3">
        <v>2040817</v>
      </c>
      <c r="D43" s="284"/>
      <c r="E43" s="282">
        <f t="shared" si="0"/>
        <v>2040817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4">
        <v>93000</v>
      </c>
      <c r="D44" s="284"/>
      <c r="E44" s="282">
        <f t="shared" si="0"/>
        <v>93000</v>
      </c>
      <c r="F44" s="11"/>
      <c r="G44" s="11"/>
      <c r="H44" s="6"/>
      <c r="I44" s="6"/>
    </row>
    <row r="45" spans="1:11" ht="12.75">
      <c r="A45" s="503" t="s">
        <v>506</v>
      </c>
      <c r="B45" s="23" t="s">
        <v>187</v>
      </c>
      <c r="C45" s="284">
        <v>0</v>
      </c>
      <c r="D45" s="284"/>
      <c r="E45" s="282">
        <f t="shared" si="0"/>
        <v>0</v>
      </c>
      <c r="F45" s="11"/>
      <c r="G45" s="500"/>
      <c r="H45" s="33"/>
      <c r="I45" s="33"/>
      <c r="J45" s="32"/>
      <c r="K45" s="32"/>
    </row>
    <row r="46" spans="2:11" ht="12.75">
      <c r="B46" s="23" t="s">
        <v>187</v>
      </c>
      <c r="C46" s="283"/>
      <c r="D46" s="284"/>
      <c r="E46" s="282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3"/>
      <c r="D47" s="284"/>
      <c r="E47" s="282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3"/>
      <c r="D48" s="284"/>
      <c r="E48" s="282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79">
        <f>SUM(C31:C36)-SUM(C39:C49)</f>
        <v>3706107</v>
      </c>
      <c r="D50" s="279">
        <f>SUM(D31:D36)-SUM(D39:D49)</f>
        <v>179642</v>
      </c>
      <c r="E50" s="279">
        <f>SUM(E31:E35)-SUM(E39:E48)</f>
        <v>3526465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3">
        <v>1134066</v>
      </c>
      <c r="D51" s="283"/>
      <c r="E51" s="280">
        <f>+C51-D51</f>
        <v>1134066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3">
        <v>1234000</v>
      </c>
      <c r="D52" s="283"/>
      <c r="E52" s="281">
        <f>+C52-D52</f>
        <v>1234000</v>
      </c>
      <c r="F52" s="8"/>
      <c r="G52" s="11"/>
    </row>
    <row r="53" spans="1:7" ht="12.75">
      <c r="A53" s="2" t="s">
        <v>130</v>
      </c>
      <c r="B53" s="8" t="s">
        <v>188</v>
      </c>
      <c r="C53" s="279">
        <f>C50-C51-C52</f>
        <v>1338041</v>
      </c>
      <c r="D53" s="279">
        <f>D50-D51-D52</f>
        <v>179642</v>
      </c>
      <c r="E53" s="279">
        <f>E50-E51-E52</f>
        <v>1158399</v>
      </c>
      <c r="F53" s="8"/>
      <c r="G53" s="11"/>
    </row>
    <row r="54" spans="1:7" ht="24">
      <c r="A54" s="86" t="s">
        <v>213</v>
      </c>
      <c r="B54" s="8"/>
      <c r="C54" s="29"/>
      <c r="D54" s="29"/>
      <c r="E54" s="29"/>
      <c r="F54" s="8"/>
      <c r="G54" s="11"/>
    </row>
    <row r="55" spans="1:7" ht="12.75">
      <c r="A55" s="81"/>
      <c r="B55" s="8"/>
      <c r="C55" s="29"/>
      <c r="D55" s="29"/>
      <c r="E55" s="29"/>
      <c r="F55" s="8"/>
      <c r="G55" s="11"/>
    </row>
    <row r="56" spans="1:7" ht="12.75">
      <c r="A56" s="14" t="s">
        <v>176</v>
      </c>
      <c r="B56" s="8"/>
      <c r="C56" s="29"/>
      <c r="D56" s="29"/>
      <c r="E56" s="29"/>
      <c r="F56" s="8"/>
      <c r="G56" s="11"/>
    </row>
    <row r="57" spans="1:7" ht="12.75">
      <c r="A57" s="15" t="s">
        <v>164</v>
      </c>
      <c r="B57" s="8"/>
      <c r="C57" s="29"/>
      <c r="D57" s="29"/>
      <c r="E57" s="29"/>
      <c r="F57" s="8"/>
      <c r="G57" s="11"/>
    </row>
    <row r="58" spans="1:7" ht="12.75">
      <c r="A58" s="2" t="s">
        <v>165</v>
      </c>
      <c r="B58" s="8"/>
      <c r="C58" s="44"/>
      <c r="D58" s="44"/>
      <c r="E58" s="44"/>
      <c r="F58" s="8"/>
      <c r="G58" s="11"/>
    </row>
    <row r="59" spans="1:7" ht="12.75">
      <c r="A59" s="4" t="s">
        <v>98</v>
      </c>
      <c r="B59" s="8" t="s">
        <v>186</v>
      </c>
      <c r="C59" s="285">
        <f>C52</f>
        <v>1234000</v>
      </c>
      <c r="D59" s="285">
        <f>D52</f>
        <v>0</v>
      </c>
      <c r="E59" s="270">
        <f>+C59-D59</f>
        <v>1234000</v>
      </c>
      <c r="F59" s="8"/>
      <c r="G59" s="11"/>
    </row>
    <row r="60" spans="1:6" ht="12.75">
      <c r="A60" s="4" t="s">
        <v>325</v>
      </c>
      <c r="B60" s="8" t="s">
        <v>186</v>
      </c>
      <c r="C60" s="316">
        <v>0</v>
      </c>
      <c r="D60" s="316"/>
      <c r="E60" s="270">
        <f>+C60-D60</f>
        <v>0</v>
      </c>
      <c r="F60" s="8"/>
    </row>
    <row r="61" spans="1:7" ht="12.75">
      <c r="A61" t="s">
        <v>4</v>
      </c>
      <c r="B61" s="8" t="s">
        <v>186</v>
      </c>
      <c r="C61" s="285">
        <f>C43</f>
        <v>2040817</v>
      </c>
      <c r="D61" s="285">
        <f>D43</f>
        <v>0</v>
      </c>
      <c r="E61" s="270">
        <f>+C61-D61</f>
        <v>2040817</v>
      </c>
      <c r="F61" s="8"/>
      <c r="G61" s="408"/>
    </row>
    <row r="62" spans="1:6" ht="12.75">
      <c r="A62" t="s">
        <v>6</v>
      </c>
      <c r="B62" s="8" t="s">
        <v>186</v>
      </c>
      <c r="C62" s="316">
        <v>0</v>
      </c>
      <c r="D62" s="285">
        <v>0</v>
      </c>
      <c r="E62" s="270">
        <f>+C62-D62</f>
        <v>0</v>
      </c>
      <c r="F62" s="8"/>
    </row>
    <row r="63" spans="1:6" ht="12.75">
      <c r="A63" s="31" t="s">
        <v>277</v>
      </c>
      <c r="B63" s="8" t="s">
        <v>186</v>
      </c>
      <c r="C63" s="314">
        <f>'Tax Reserves'!C22</f>
        <v>0</v>
      </c>
      <c r="D63" s="315">
        <f>'Tax Reserves'!D22</f>
        <v>0</v>
      </c>
      <c r="E63" s="270">
        <f>C63-D63</f>
        <v>0</v>
      </c>
      <c r="F63" s="8"/>
    </row>
    <row r="64" spans="1:6" ht="12.75">
      <c r="A64" s="4" t="s">
        <v>52</v>
      </c>
      <c r="B64" s="8" t="s">
        <v>186</v>
      </c>
      <c r="C64" s="314">
        <f>'Tax Reserves'!C63</f>
        <v>1109000</v>
      </c>
      <c r="D64" s="315">
        <f>'Tax Reserves'!D63</f>
        <v>0</v>
      </c>
      <c r="E64" s="270">
        <f>+C64-D64</f>
        <v>1109000</v>
      </c>
      <c r="F64" s="8"/>
    </row>
    <row r="65" spans="1:6" ht="12.75">
      <c r="A65" t="s">
        <v>442</v>
      </c>
      <c r="B65" s="8" t="s">
        <v>186</v>
      </c>
      <c r="C65" s="284"/>
      <c r="D65" s="284"/>
      <c r="E65" s="270">
        <f>+C65-D65</f>
        <v>0</v>
      </c>
      <c r="F65" s="8"/>
    </row>
    <row r="66" spans="1:6" ht="15">
      <c r="A66" s="460" t="s">
        <v>393</v>
      </c>
      <c r="B66" s="8"/>
      <c r="C66" s="439">
        <f>'TAXREC 3 No True-up'!C47</f>
        <v>60771</v>
      </c>
      <c r="D66" s="439">
        <f>'TAXREC 3 No True-up'!D47</f>
        <v>0</v>
      </c>
      <c r="E66" s="270">
        <f>+C66-D66</f>
        <v>60771</v>
      </c>
      <c r="F66" s="8"/>
    </row>
    <row r="67" spans="1:6" ht="12.75">
      <c r="A67" t="s">
        <v>159</v>
      </c>
      <c r="B67" s="8" t="s">
        <v>186</v>
      </c>
      <c r="C67" s="250">
        <f>'TAXREC 2'!C77</f>
        <v>3087</v>
      </c>
      <c r="D67" s="250">
        <f>'TAXREC 2'!D77</f>
        <v>0</v>
      </c>
      <c r="E67" s="270">
        <f>+C67-D67</f>
        <v>3087</v>
      </c>
      <c r="F67" s="8"/>
    </row>
    <row r="68" spans="1:11" ht="12.75">
      <c r="A68" t="s">
        <v>160</v>
      </c>
      <c r="B68" s="8" t="s">
        <v>186</v>
      </c>
      <c r="C68" s="250">
        <f>'TAXREC 2'!C78</f>
        <v>0</v>
      </c>
      <c r="D68" s="250">
        <f>'TAXREC 2'!D78</f>
        <v>0</v>
      </c>
      <c r="E68" s="270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5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70">
        <f>SUM(C59:C68)</f>
        <v>4447675</v>
      </c>
      <c r="D70" s="270">
        <f>SUM(D59:D68)</f>
        <v>0</v>
      </c>
      <c r="E70" s="270">
        <f>SUM(E59:E68)</f>
        <v>4447675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206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2"/>
      <c r="D73" s="292"/>
      <c r="E73" s="270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2"/>
      <c r="D74" s="292"/>
      <c r="E74" s="270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s="489" t="s">
        <v>507</v>
      </c>
      <c r="B75" s="8" t="s">
        <v>186</v>
      </c>
      <c r="C75" s="292">
        <v>93000</v>
      </c>
      <c r="D75" s="292"/>
      <c r="E75" s="270">
        <f t="shared" si="1"/>
        <v>93000</v>
      </c>
      <c r="F75" s="8"/>
      <c r="G75" s="75"/>
      <c r="H75" s="76"/>
      <c r="I75" s="77"/>
      <c r="J75" s="76"/>
      <c r="K75" s="76"/>
    </row>
    <row r="76" spans="1:11" ht="12.75">
      <c r="A76" s="486" t="s">
        <v>508</v>
      </c>
      <c r="B76" s="8" t="s">
        <v>186</v>
      </c>
      <c r="C76" s="475">
        <v>9736</v>
      </c>
      <c r="D76" s="292"/>
      <c r="E76" s="471">
        <f t="shared" si="1"/>
        <v>9736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2"/>
      <c r="D77" s="292"/>
      <c r="E77" s="270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2"/>
      <c r="D78" s="292"/>
      <c r="E78" s="270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2"/>
      <c r="D79" s="292"/>
      <c r="E79" s="270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50">
        <f>SUM(C73:C79)</f>
        <v>102736</v>
      </c>
      <c r="D80" s="250">
        <f>SUM(D73:D79)</f>
        <v>0</v>
      </c>
      <c r="E80" s="250">
        <f>SUM(E73:E79)</f>
        <v>102736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50">
        <f>C70+C80</f>
        <v>4550411</v>
      </c>
      <c r="D82" s="250">
        <f>D70+D80</f>
        <v>0</v>
      </c>
      <c r="E82" s="250">
        <f>E70+E80</f>
        <v>4550411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8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6" t="str">
        <f aca="true" t="shared" si="2" ref="A85:A91">IF($E73&gt;$C$13,A73," ")</f>
        <v> </v>
      </c>
      <c r="B85" s="271"/>
      <c r="C85" s="288">
        <f aca="true" t="shared" si="3" ref="C85:E89">IF($E73&gt;$C$13,C73,)</f>
        <v>0</v>
      </c>
      <c r="D85" s="288">
        <f t="shared" si="3"/>
        <v>0</v>
      </c>
      <c r="E85" s="288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6" t="str">
        <f t="shared" si="2"/>
        <v> </v>
      </c>
      <c r="B86" s="271"/>
      <c r="C86" s="288">
        <f t="shared" si="3"/>
        <v>0</v>
      </c>
      <c r="D86" s="288">
        <f t="shared" si="3"/>
        <v>0</v>
      </c>
      <c r="E86" s="288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6" t="str">
        <f t="shared" si="2"/>
        <v>Capital tax expensed</v>
      </c>
      <c r="B87" s="271"/>
      <c r="C87" s="288">
        <f t="shared" si="3"/>
        <v>93000</v>
      </c>
      <c r="D87" s="288">
        <f t="shared" si="3"/>
        <v>0</v>
      </c>
      <c r="E87" s="288">
        <f t="shared" si="3"/>
        <v>93000</v>
      </c>
      <c r="F87" s="8"/>
      <c r="G87" s="45"/>
      <c r="H87" s="45"/>
      <c r="I87" s="45"/>
      <c r="J87" s="45"/>
      <c r="K87" s="45"/>
    </row>
    <row r="88" spans="1:11" ht="12.75">
      <c r="A88" s="286" t="str">
        <f t="shared" si="2"/>
        <v>Income for tax purposes - Joint venture</v>
      </c>
      <c r="B88" s="271"/>
      <c r="C88" s="288">
        <f t="shared" si="3"/>
        <v>9736</v>
      </c>
      <c r="D88" s="288">
        <f t="shared" si="3"/>
        <v>0</v>
      </c>
      <c r="E88" s="288">
        <f t="shared" si="3"/>
        <v>9736</v>
      </c>
      <c r="F88" s="8"/>
      <c r="G88" s="45"/>
      <c r="H88" s="45"/>
      <c r="I88" s="45"/>
      <c r="J88" s="45"/>
      <c r="K88" s="45"/>
    </row>
    <row r="89" spans="1:11" ht="12.75">
      <c r="A89" s="286" t="str">
        <f t="shared" si="2"/>
        <v> </v>
      </c>
      <c r="B89" s="271"/>
      <c r="C89" s="288">
        <f t="shared" si="3"/>
        <v>0</v>
      </c>
      <c r="D89" s="288">
        <f t="shared" si="3"/>
        <v>0</v>
      </c>
      <c r="E89" s="288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6" t="str">
        <f t="shared" si="2"/>
        <v> </v>
      </c>
      <c r="B90" s="271"/>
      <c r="C90" s="288">
        <f aca="true" t="shared" si="4" ref="C90:E91">IF($E78&gt;$C$13,C78,)</f>
        <v>0</v>
      </c>
      <c r="D90" s="288">
        <f t="shared" si="4"/>
        <v>0</v>
      </c>
      <c r="E90" s="288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6" t="str">
        <f t="shared" si="2"/>
        <v> </v>
      </c>
      <c r="B91" s="271"/>
      <c r="C91" s="288">
        <f t="shared" si="4"/>
        <v>0</v>
      </c>
      <c r="D91" s="288">
        <f t="shared" si="4"/>
        <v>0</v>
      </c>
      <c r="E91" s="288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7" t="s">
        <v>150</v>
      </c>
      <c r="B92" s="271"/>
      <c r="C92" s="277">
        <f>SUM(C85:C91)</f>
        <v>102736</v>
      </c>
      <c r="D92" s="277">
        <f>SUM(D85:D91)</f>
        <v>0</v>
      </c>
      <c r="E92" s="277">
        <f>SUM(E85:E91)</f>
        <v>102736</v>
      </c>
      <c r="F92" s="8"/>
      <c r="G92" s="45"/>
      <c r="H92" s="45"/>
      <c r="I92" s="45"/>
      <c r="J92" s="45"/>
      <c r="K92" s="45"/>
    </row>
    <row r="93" spans="1:11" ht="12.75">
      <c r="A93" s="271" t="s">
        <v>430</v>
      </c>
      <c r="B93" s="271"/>
      <c r="C93" s="250">
        <f>C80-C92</f>
        <v>0</v>
      </c>
      <c r="D93" s="250">
        <f>D80-D92</f>
        <v>0</v>
      </c>
      <c r="E93" s="250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1" t="s">
        <v>196</v>
      </c>
      <c r="B94" s="271"/>
      <c r="C94" s="250">
        <f>C92+C93</f>
        <v>102736</v>
      </c>
      <c r="D94" s="250">
        <f>D92+D93</f>
        <v>0</v>
      </c>
      <c r="E94" s="250">
        <f>E92+E93</f>
        <v>102736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2">
        <v>1541356</v>
      </c>
      <c r="D97" s="292"/>
      <c r="E97" s="270">
        <f>+C97-D97</f>
        <v>1541356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2">
        <v>13612</v>
      </c>
      <c r="D98" s="292"/>
      <c r="E98" s="270">
        <f>+C98-D98</f>
        <v>13612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2">
        <v>0</v>
      </c>
      <c r="D99" s="292"/>
      <c r="E99" s="270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2"/>
      <c r="D100" s="292"/>
      <c r="E100" s="270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2"/>
      <c r="D101" s="292"/>
      <c r="E101" s="285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2"/>
      <c r="D102" s="292"/>
      <c r="E102" s="270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2"/>
      <c r="D103" s="292"/>
      <c r="E103" s="281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7">
        <f>'Tax Reserves'!C35</f>
        <v>0</v>
      </c>
      <c r="D104" s="317">
        <f>'Tax Reserves'!D35</f>
        <v>0</v>
      </c>
      <c r="E104" s="270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7">
        <f>'Tax Reserves'!C50</f>
        <v>1039000</v>
      </c>
      <c r="D105" s="317">
        <f>'Tax Reserves'!D50</f>
        <v>0</v>
      </c>
      <c r="E105" s="280">
        <f t="shared" si="5"/>
        <v>1039000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2"/>
      <c r="D106" s="292"/>
      <c r="E106" s="270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2"/>
      <c r="D107" s="292"/>
      <c r="E107" s="270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0" t="s">
        <v>393</v>
      </c>
      <c r="B108" s="8"/>
      <c r="C108" s="253">
        <f>'TAXREC 3 No True-up'!C73</f>
        <v>0</v>
      </c>
      <c r="D108" s="253">
        <f>'TAXREC 3 No True-up'!D73</f>
        <v>0</v>
      </c>
      <c r="E108" s="270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2"/>
      <c r="D109" s="292"/>
      <c r="E109" s="281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50">
        <f>'TAXREC 2'!C119</f>
        <v>0</v>
      </c>
      <c r="D110" s="250">
        <f>'TAXREC 2'!D119</f>
        <v>0</v>
      </c>
      <c r="E110" s="250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50">
        <f>'TAXREC 2'!C120</f>
        <v>0</v>
      </c>
      <c r="D111" s="250">
        <f>'TAXREC 2'!D120</f>
        <v>0</v>
      </c>
      <c r="E111" s="250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4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50">
        <f>SUM(C97:C111)</f>
        <v>2593968</v>
      </c>
      <c r="D113" s="250">
        <f>SUM(D97:D111)</f>
        <v>0</v>
      </c>
      <c r="E113" s="250">
        <f>SUM(E97:E111)</f>
        <v>2593968</v>
      </c>
      <c r="F113" s="8"/>
      <c r="G113" s="45"/>
      <c r="H113" s="45"/>
      <c r="I113" s="23"/>
      <c r="J113" s="45"/>
      <c r="K113" s="23"/>
    </row>
    <row r="114" spans="1:11" ht="12.75">
      <c r="A114" s="10" t="s">
        <v>205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2"/>
      <c r="D115" s="292"/>
      <c r="E115" s="270">
        <f>+C115-D115</f>
        <v>0</v>
      </c>
      <c r="F115" s="8"/>
      <c r="G115" s="501"/>
      <c r="H115" s="76"/>
      <c r="I115" s="77"/>
      <c r="J115" s="77"/>
      <c r="K115" s="77"/>
    </row>
    <row r="116" spans="1:11" ht="12.75">
      <c r="A116" s="67" t="s">
        <v>221</v>
      </c>
      <c r="B116" s="8" t="s">
        <v>187</v>
      </c>
      <c r="C116" s="292"/>
      <c r="D116" s="292"/>
      <c r="E116" s="270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 t="s">
        <v>510</v>
      </c>
      <c r="B117" s="8" t="s">
        <v>187</v>
      </c>
      <c r="C117" s="292">
        <v>108833</v>
      </c>
      <c r="D117" s="292"/>
      <c r="E117" s="270">
        <f>+C117-D117</f>
        <v>108833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2"/>
      <c r="D118" s="292"/>
      <c r="E118" s="270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2"/>
      <c r="D119" s="292"/>
      <c r="E119" s="270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50">
        <f>SUM(C114:C119)</f>
        <v>108833</v>
      </c>
      <c r="D120" s="250">
        <f>SUM(D114:D119)</f>
        <v>0</v>
      </c>
      <c r="E120" s="250">
        <f>SUM(E114:E119)</f>
        <v>108833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50">
        <f>C113+C120</f>
        <v>2702801</v>
      </c>
      <c r="D122" s="250">
        <f>D113+D120</f>
        <v>0</v>
      </c>
      <c r="E122" s="250">
        <f>+E113+E120</f>
        <v>2702801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9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6" t="str">
        <f>IF($E115&gt;$C$13,A115," ")</f>
        <v> </v>
      </c>
      <c r="B125" s="271"/>
      <c r="C125" s="288">
        <f aca="true" t="shared" si="6" ref="C125:E129">IF($E115&gt;$C$13,C115,)</f>
        <v>0</v>
      </c>
      <c r="D125" s="288">
        <f>IF($E115&gt;$C$13,D115,)</f>
        <v>0</v>
      </c>
      <c r="E125" s="288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6" t="str">
        <f>IF($E116&gt;$C$13,A116," ")</f>
        <v> </v>
      </c>
      <c r="B126" s="271"/>
      <c r="C126" s="288">
        <f t="shared" si="6"/>
        <v>0</v>
      </c>
      <c r="D126" s="288">
        <f>IF($E116&gt;$C$13,D116,)</f>
        <v>0</v>
      </c>
      <c r="E126" s="288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6" t="str">
        <f>IF($E117&gt;$C$13,A117," ")</f>
        <v>Capital tax paid</v>
      </c>
      <c r="B127" s="271"/>
      <c r="C127" s="288">
        <f t="shared" si="6"/>
        <v>108833</v>
      </c>
      <c r="D127" s="288">
        <f t="shared" si="6"/>
        <v>0</v>
      </c>
      <c r="E127" s="288">
        <f t="shared" si="6"/>
        <v>108833</v>
      </c>
      <c r="F127" s="8"/>
      <c r="G127" s="45"/>
      <c r="H127" s="45"/>
      <c r="I127" s="45"/>
      <c r="J127" s="45"/>
      <c r="K127" s="45"/>
    </row>
    <row r="128" spans="1:11" ht="12.75">
      <c r="A128" s="286"/>
      <c r="B128" s="271"/>
      <c r="C128" s="288">
        <f t="shared" si="6"/>
        <v>0</v>
      </c>
      <c r="D128" s="288">
        <f t="shared" si="6"/>
        <v>0</v>
      </c>
      <c r="E128" s="288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6" t="str">
        <f>IF($E119&gt;$C$13,A119," ")</f>
        <v> </v>
      </c>
      <c r="B129" s="271"/>
      <c r="C129" s="288">
        <f t="shared" si="6"/>
        <v>0</v>
      </c>
      <c r="D129" s="288">
        <f t="shared" si="6"/>
        <v>0</v>
      </c>
      <c r="E129" s="288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7" t="s">
        <v>198</v>
      </c>
      <c r="B130" s="271"/>
      <c r="C130" s="250">
        <f>SUM(C125:C129)</f>
        <v>108833</v>
      </c>
      <c r="D130" s="250">
        <f>SUM(D125:D129)</f>
        <v>0</v>
      </c>
      <c r="E130" s="250">
        <f>SUM(E125:E129)</f>
        <v>108833</v>
      </c>
      <c r="F130" s="8"/>
      <c r="G130" s="45"/>
      <c r="H130" s="45"/>
      <c r="I130" s="45"/>
      <c r="J130" s="45"/>
      <c r="K130" s="45"/>
    </row>
    <row r="131" spans="1:11" ht="12.75">
      <c r="A131" s="271" t="s">
        <v>199</v>
      </c>
      <c r="B131" s="271"/>
      <c r="C131" s="250">
        <f>C120-C130</f>
        <v>0</v>
      </c>
      <c r="D131" s="250">
        <f>D120-D130</f>
        <v>0</v>
      </c>
      <c r="E131" s="250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1" t="s">
        <v>197</v>
      </c>
      <c r="B132" s="271"/>
      <c r="C132" s="250">
        <f>C130+C131</f>
        <v>108833</v>
      </c>
      <c r="D132" s="250">
        <f>D130+D131</f>
        <v>0</v>
      </c>
      <c r="E132" s="250">
        <f>E130+E131</f>
        <v>108833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50">
        <f>+C53+C82-C122</f>
        <v>3185651</v>
      </c>
      <c r="D134" s="250">
        <f>D53+D82-D122</f>
        <v>179642</v>
      </c>
      <c r="E134" s="250">
        <f>E53+E82-E122</f>
        <v>3006009</v>
      </c>
      <c r="F134" s="8"/>
      <c r="G134" s="488" t="s">
        <v>500</v>
      </c>
      <c r="H134" s="45"/>
      <c r="I134" s="30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373</v>
      </c>
      <c r="B136" s="8" t="s">
        <v>187</v>
      </c>
      <c r="C136" s="292">
        <v>0</v>
      </c>
      <c r="D136" s="292"/>
      <c r="E136" s="262">
        <f>C136-D136</f>
        <v>0</v>
      </c>
      <c r="F136" s="8"/>
      <c r="G136" s="45"/>
      <c r="H136" s="45"/>
      <c r="I136" s="30"/>
      <c r="J136" s="45"/>
      <c r="K136" s="45"/>
    </row>
    <row r="137" spans="1:11" ht="12.75">
      <c r="A137" s="46" t="s">
        <v>374</v>
      </c>
      <c r="B137" s="8" t="s">
        <v>187</v>
      </c>
      <c r="C137" s="308">
        <v>0</v>
      </c>
      <c r="D137" s="308"/>
      <c r="E137" s="386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8"/>
      <c r="D138" s="308"/>
      <c r="E138" s="386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1">
        <f>C134-C136-C137-C138</f>
        <v>3185651</v>
      </c>
      <c r="D139" s="251">
        <f>D134-D136-D137-D138</f>
        <v>179642</v>
      </c>
      <c r="E139" s="251">
        <f>E134-E136-E137-E138</f>
        <v>3006009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8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3" ht="12.75">
      <c r="A142" s="46" t="s">
        <v>321</v>
      </c>
      <c r="B142" s="8" t="s">
        <v>186</v>
      </c>
      <c r="C142" s="296">
        <v>768378</v>
      </c>
      <c r="D142" s="296"/>
      <c r="E142" s="251">
        <f>C142-D142</f>
        <v>768378</v>
      </c>
      <c r="F142" s="8"/>
      <c r="G142" s="488" t="s">
        <v>500</v>
      </c>
      <c r="H142" s="45"/>
      <c r="I142" s="45"/>
      <c r="J142" s="487"/>
      <c r="K142" s="45"/>
      <c r="L142" s="34"/>
      <c r="M142" s="34"/>
    </row>
    <row r="143" spans="1:11" ht="12.75">
      <c r="A143" s="46" t="s">
        <v>320</v>
      </c>
      <c r="B143" s="8" t="s">
        <v>186</v>
      </c>
      <c r="C143" s="296">
        <v>398206</v>
      </c>
      <c r="D143" s="296"/>
      <c r="E143" s="290">
        <f>C143-D143</f>
        <v>398206</v>
      </c>
      <c r="F143" s="8"/>
      <c r="G143" s="488" t="s">
        <v>500</v>
      </c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1">
        <f>C142+C143</f>
        <v>1166584</v>
      </c>
      <c r="D144" s="251">
        <f>D142+D143</f>
        <v>0</v>
      </c>
      <c r="E144" s="251">
        <f>E142+E143</f>
        <v>1166584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187</v>
      </c>
      <c r="C145" s="296">
        <v>0</v>
      </c>
      <c r="D145" s="296"/>
      <c r="E145" s="291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18" t="s">
        <v>99</v>
      </c>
      <c r="B146" s="8" t="s">
        <v>188</v>
      </c>
      <c r="C146" s="251">
        <f>C144-C145</f>
        <v>1166584</v>
      </c>
      <c r="D146" s="251">
        <f>D144-D145</f>
        <v>0</v>
      </c>
      <c r="E146" s="251">
        <f>E144-E145</f>
        <v>1166584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8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5" ht="12.75">
      <c r="A149" s="46" t="s">
        <v>327</v>
      </c>
      <c r="B149" s="8"/>
      <c r="C149" s="397">
        <v>0.241</v>
      </c>
      <c r="D149" s="5"/>
      <c r="E149" s="398">
        <f>C149</f>
        <v>0.241</v>
      </c>
      <c r="F149" s="8"/>
      <c r="G149" s="476" t="s">
        <v>467</v>
      </c>
      <c r="H149" s="45"/>
      <c r="I149" s="45"/>
      <c r="J149" s="487"/>
      <c r="K149" s="45"/>
      <c r="L149" s="41"/>
      <c r="M149" s="502"/>
      <c r="N149" s="34"/>
      <c r="O149" s="34"/>
    </row>
    <row r="150" spans="1:15" ht="12.75">
      <c r="A150" s="46" t="s">
        <v>328</v>
      </c>
      <c r="B150" s="8"/>
      <c r="C150" s="397">
        <v>0.125</v>
      </c>
      <c r="D150" s="480"/>
      <c r="E150" s="398">
        <f>C150</f>
        <v>0.125</v>
      </c>
      <c r="F150" s="8"/>
      <c r="G150" s="476" t="s">
        <v>468</v>
      </c>
      <c r="H150" s="45"/>
      <c r="I150" s="45"/>
      <c r="J150" s="487"/>
      <c r="K150" s="45"/>
      <c r="L150" s="41"/>
      <c r="M150" s="502"/>
      <c r="N150" s="34"/>
      <c r="O150" s="34"/>
    </row>
    <row r="151" spans="1:11" ht="12.75">
      <c r="A151" t="s">
        <v>329</v>
      </c>
      <c r="B151" s="8"/>
      <c r="C151" s="398">
        <f>SUM(C149:C150)</f>
        <v>0.366</v>
      </c>
      <c r="D151" s="5"/>
      <c r="E151" s="398">
        <f>SUM(E149:E150)</f>
        <v>0.366</v>
      </c>
      <c r="F151" s="8"/>
      <c r="G151" s="45"/>
      <c r="H151" s="45"/>
      <c r="I151" s="45"/>
      <c r="J151" s="487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476</v>
      </c>
      <c r="B155" s="8"/>
    </row>
    <row r="156" spans="1:5" ht="12.75">
      <c r="A156" t="s">
        <v>218</v>
      </c>
      <c r="B156" s="85" t="s">
        <v>186</v>
      </c>
      <c r="C156" s="250">
        <f>C146</f>
        <v>1166584</v>
      </c>
      <c r="D156" s="250">
        <f>D146</f>
        <v>0</v>
      </c>
      <c r="E156" s="250">
        <f>E146</f>
        <v>1166584</v>
      </c>
    </row>
    <row r="157" spans="1:5" ht="12.75">
      <c r="A157" t="s">
        <v>20</v>
      </c>
      <c r="B157" s="85" t="s">
        <v>186</v>
      </c>
      <c r="C157" s="472">
        <v>108833</v>
      </c>
      <c r="D157" s="250"/>
      <c r="E157" s="250">
        <f>C157+D157</f>
        <v>108833</v>
      </c>
    </row>
    <row r="158" spans="1:5" ht="12.75">
      <c r="A158" t="s">
        <v>217</v>
      </c>
      <c r="B158" s="85" t="s">
        <v>186</v>
      </c>
      <c r="C158" s="472">
        <v>28856</v>
      </c>
      <c r="D158" s="250"/>
      <c r="E158" s="250">
        <f>C158+D158</f>
        <v>28856</v>
      </c>
    </row>
    <row r="159" ht="12.75">
      <c r="B159" s="8"/>
    </row>
    <row r="160" spans="1:5" ht="12.75">
      <c r="A160" s="2" t="s">
        <v>301</v>
      </c>
      <c r="B160" s="65" t="s">
        <v>188</v>
      </c>
      <c r="C160" s="250">
        <f>C156+C157+C158</f>
        <v>1304273</v>
      </c>
      <c r="D160" s="250">
        <f>D156+D157+D158</f>
        <v>0</v>
      </c>
      <c r="E160" s="250">
        <f>E156+E157+E158</f>
        <v>1304273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65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9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63"/>
  <sheetViews>
    <sheetView zoomScale="75" zoomScaleNormal="75" zoomScalePageLayoutView="0" workbookViewId="0" topLeftCell="A37">
      <selection activeCell="C52" sqref="C52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EB-2011-0167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Festival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2003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6" t="s">
        <v>271</v>
      </c>
      <c r="B12" s="60"/>
      <c r="C12" s="309"/>
      <c r="D12" s="309"/>
      <c r="E12" s="60"/>
    </row>
    <row r="13" spans="1:5" ht="12.75">
      <c r="A13" s="60"/>
      <c r="B13" s="60"/>
      <c r="C13" s="292"/>
      <c r="D13" s="292"/>
      <c r="E13" s="250">
        <f>C13-D13</f>
        <v>0</v>
      </c>
    </row>
    <row r="14" spans="1:5" ht="12.75">
      <c r="A14" s="60" t="s">
        <v>279</v>
      </c>
      <c r="B14" s="60"/>
      <c r="C14" s="292"/>
      <c r="D14" s="292"/>
      <c r="E14" s="250">
        <f aca="true" t="shared" si="0" ref="E14:E21">C14-D14</f>
        <v>0</v>
      </c>
    </row>
    <row r="15" spans="1:5" ht="12.75">
      <c r="A15" s="60" t="s">
        <v>280</v>
      </c>
      <c r="B15" s="60"/>
      <c r="C15" s="292"/>
      <c r="D15" s="292"/>
      <c r="E15" s="250">
        <f t="shared" si="0"/>
        <v>0</v>
      </c>
    </row>
    <row r="16" spans="1:5" ht="12.75">
      <c r="A16" s="60" t="s">
        <v>281</v>
      </c>
      <c r="B16" s="60"/>
      <c r="C16" s="292"/>
      <c r="D16" s="292"/>
      <c r="E16" s="250">
        <f t="shared" si="0"/>
        <v>0</v>
      </c>
    </row>
    <row r="17" spans="1:5" ht="12.75">
      <c r="A17" s="60" t="s">
        <v>282</v>
      </c>
      <c r="B17" s="60"/>
      <c r="C17" s="292"/>
      <c r="D17" s="292"/>
      <c r="E17" s="250">
        <f t="shared" si="0"/>
        <v>0</v>
      </c>
    </row>
    <row r="18" spans="1:5" ht="12.75">
      <c r="A18" s="485" t="s">
        <v>495</v>
      </c>
      <c r="B18" s="60"/>
      <c r="C18" s="292"/>
      <c r="D18" s="292"/>
      <c r="E18" s="250">
        <f t="shared" si="0"/>
        <v>0</v>
      </c>
    </row>
    <row r="19" spans="1:5" ht="12.75">
      <c r="A19" s="60" t="s">
        <v>447</v>
      </c>
      <c r="B19" s="60"/>
      <c r="C19" s="292"/>
      <c r="D19" s="292"/>
      <c r="E19" s="250">
        <f t="shared" si="0"/>
        <v>0</v>
      </c>
    </row>
    <row r="20" spans="1:5" ht="12.75">
      <c r="A20" s="60"/>
      <c r="B20" s="60"/>
      <c r="C20" s="292"/>
      <c r="D20" s="292"/>
      <c r="E20" s="250">
        <f t="shared" si="0"/>
        <v>0</v>
      </c>
    </row>
    <row r="21" spans="1:5" ht="12.75">
      <c r="A21" s="60"/>
      <c r="B21" s="60"/>
      <c r="C21" s="308"/>
      <c r="D21" s="308"/>
      <c r="E21" s="277">
        <f t="shared" si="0"/>
        <v>0</v>
      </c>
    </row>
    <row r="22" spans="1:5" ht="12.75">
      <c r="A22" s="2" t="s">
        <v>179</v>
      </c>
      <c r="C22" s="250">
        <f>SUM(C13:C21)</f>
        <v>0</v>
      </c>
      <c r="D22" s="250">
        <f>SUM(D13:D21)</f>
        <v>0</v>
      </c>
      <c r="E22" s="250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6" t="s">
        <v>270</v>
      </c>
      <c r="B24" s="60"/>
      <c r="C24" s="90"/>
      <c r="D24" s="90"/>
      <c r="E24" s="90"/>
    </row>
    <row r="25" spans="1:5" ht="12.75">
      <c r="A25" s="60"/>
      <c r="B25" s="60"/>
      <c r="C25" s="292"/>
      <c r="D25" s="292"/>
      <c r="E25" s="250">
        <f>C25-D25</f>
        <v>0</v>
      </c>
    </row>
    <row r="26" spans="1:5" ht="12.75">
      <c r="A26" s="60" t="s">
        <v>279</v>
      </c>
      <c r="B26" s="60"/>
      <c r="C26" s="292"/>
      <c r="D26" s="292"/>
      <c r="E26" s="250">
        <f aca="true" t="shared" si="1" ref="E26:E33">C26-D26</f>
        <v>0</v>
      </c>
    </row>
    <row r="27" spans="1:5" ht="12.75">
      <c r="A27" s="60" t="s">
        <v>280</v>
      </c>
      <c r="B27" s="60"/>
      <c r="C27" s="292"/>
      <c r="D27" s="292"/>
      <c r="E27" s="250">
        <f t="shared" si="1"/>
        <v>0</v>
      </c>
    </row>
    <row r="28" spans="1:5" ht="12.75">
      <c r="A28" s="60" t="s">
        <v>281</v>
      </c>
      <c r="B28" s="60"/>
      <c r="C28" s="292"/>
      <c r="D28" s="292"/>
      <c r="E28" s="250">
        <f t="shared" si="1"/>
        <v>0</v>
      </c>
    </row>
    <row r="29" spans="1:5" ht="12.75">
      <c r="A29" s="60" t="s">
        <v>282</v>
      </c>
      <c r="B29" s="60"/>
      <c r="C29" s="292"/>
      <c r="D29" s="292"/>
      <c r="E29" s="250">
        <f t="shared" si="1"/>
        <v>0</v>
      </c>
    </row>
    <row r="30" spans="1:5" ht="12.75">
      <c r="A30" s="485" t="s">
        <v>496</v>
      </c>
      <c r="B30" s="60"/>
      <c r="C30" s="292"/>
      <c r="D30" s="292"/>
      <c r="E30" s="250">
        <f t="shared" si="1"/>
        <v>0</v>
      </c>
    </row>
    <row r="31" spans="1:5" ht="12.75">
      <c r="A31" s="60" t="s">
        <v>447</v>
      </c>
      <c r="B31" s="60"/>
      <c r="C31" s="292"/>
      <c r="D31" s="292"/>
      <c r="E31" s="250">
        <f t="shared" si="1"/>
        <v>0</v>
      </c>
    </row>
    <row r="32" spans="1:5" ht="12.75">
      <c r="A32" s="60"/>
      <c r="B32" s="60"/>
      <c r="C32" s="292"/>
      <c r="D32" s="292"/>
      <c r="E32" s="250">
        <f t="shared" si="1"/>
        <v>0</v>
      </c>
    </row>
    <row r="33" spans="1:5" ht="13.5" thickBot="1">
      <c r="A33" s="61"/>
      <c r="B33" s="60"/>
      <c r="C33" s="292"/>
      <c r="D33" s="292"/>
      <c r="E33" s="250">
        <f t="shared" si="1"/>
        <v>0</v>
      </c>
    </row>
    <row r="34" spans="1:5" ht="12.75">
      <c r="A34" s="55" t="s">
        <v>131</v>
      </c>
      <c r="C34" s="22"/>
      <c r="D34" s="22"/>
      <c r="E34" s="277"/>
    </row>
    <row r="35" spans="1:5" ht="12.75">
      <c r="A35" s="2" t="s">
        <v>179</v>
      </c>
      <c r="C35" s="250">
        <f>SUM(C25:C33)</f>
        <v>0</v>
      </c>
      <c r="D35" s="250">
        <f>SUM(D25:D33)</f>
        <v>0</v>
      </c>
      <c r="E35" s="250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6" t="s">
        <v>271</v>
      </c>
      <c r="B40" s="60"/>
      <c r="C40" s="90"/>
      <c r="D40" s="90"/>
      <c r="E40" s="90"/>
    </row>
    <row r="41" spans="1:5" ht="12.75">
      <c r="A41" s="60"/>
      <c r="B41" s="60"/>
      <c r="C41" s="292"/>
      <c r="D41" s="292"/>
      <c r="E41" s="250">
        <f>C41-D41</f>
        <v>0</v>
      </c>
    </row>
    <row r="42" spans="1:5" ht="12.75">
      <c r="A42" s="60"/>
      <c r="B42" s="60"/>
      <c r="C42" s="292"/>
      <c r="D42" s="292"/>
      <c r="E42" s="250">
        <f aca="true" t="shared" si="2" ref="E42:E49">C42-D42</f>
        <v>0</v>
      </c>
    </row>
    <row r="43" spans="1:5" ht="12.75">
      <c r="A43" s="60" t="s">
        <v>265</v>
      </c>
      <c r="B43" s="60"/>
      <c r="C43" s="292"/>
      <c r="D43" s="292"/>
      <c r="E43" s="250">
        <f t="shared" si="2"/>
        <v>0</v>
      </c>
    </row>
    <row r="44" spans="1:5" ht="12.75">
      <c r="A44" s="60" t="s">
        <v>266</v>
      </c>
      <c r="B44" s="60"/>
      <c r="C44" s="292"/>
      <c r="D44" s="292"/>
      <c r="E44" s="250">
        <f t="shared" si="2"/>
        <v>0</v>
      </c>
    </row>
    <row r="45" spans="1:5" ht="12.75">
      <c r="A45" s="60" t="s">
        <v>267</v>
      </c>
      <c r="B45" s="60"/>
      <c r="C45" s="292"/>
      <c r="D45" s="292"/>
      <c r="E45" s="250">
        <f t="shared" si="2"/>
        <v>0</v>
      </c>
    </row>
    <row r="46" spans="1:5" ht="12.75">
      <c r="A46" s="60" t="s">
        <v>268</v>
      </c>
      <c r="B46" s="60"/>
      <c r="C46" s="292"/>
      <c r="D46" s="292"/>
      <c r="E46" s="250">
        <f t="shared" si="2"/>
        <v>0</v>
      </c>
    </row>
    <row r="47" spans="1:5" ht="12.75">
      <c r="A47" s="485" t="s">
        <v>497</v>
      </c>
      <c r="B47" s="60"/>
      <c r="C47" s="292">
        <v>1039000</v>
      </c>
      <c r="D47" s="292"/>
      <c r="E47" s="250">
        <f t="shared" si="2"/>
        <v>1039000</v>
      </c>
    </row>
    <row r="48" spans="1:5" ht="12.75">
      <c r="A48" s="60" t="s">
        <v>447</v>
      </c>
      <c r="B48" s="60"/>
      <c r="C48" s="292"/>
      <c r="D48" s="292"/>
      <c r="E48" s="250">
        <f t="shared" si="2"/>
        <v>0</v>
      </c>
    </row>
    <row r="49" spans="1:5" ht="12.75">
      <c r="A49" s="60"/>
      <c r="B49" s="60"/>
      <c r="C49" s="308"/>
      <c r="D49" s="308"/>
      <c r="E49" s="277">
        <f t="shared" si="2"/>
        <v>0</v>
      </c>
    </row>
    <row r="50" spans="1:5" ht="12.75">
      <c r="A50" s="2" t="s">
        <v>179</v>
      </c>
      <c r="C50" s="250">
        <f>SUM(C41:C49)</f>
        <v>1039000</v>
      </c>
      <c r="D50" s="250">
        <f>SUM(D41:D49)</f>
        <v>0</v>
      </c>
      <c r="E50" s="250">
        <f>SUM(E41:E49)</f>
        <v>1039000</v>
      </c>
    </row>
    <row r="51" spans="3:5" ht="12.75">
      <c r="C51" s="22"/>
      <c r="D51" s="22"/>
      <c r="E51" s="22"/>
    </row>
    <row r="52" spans="1:5" ht="12.75">
      <c r="A52" s="246" t="s">
        <v>270</v>
      </c>
      <c r="B52" s="60"/>
      <c r="C52" s="90"/>
      <c r="D52" s="90"/>
      <c r="E52" s="90"/>
    </row>
    <row r="53" spans="1:5" ht="12.75">
      <c r="A53" s="60"/>
      <c r="B53" s="60"/>
      <c r="C53" s="292"/>
      <c r="D53" s="292"/>
      <c r="E53" s="250">
        <f>C53-D53</f>
        <v>0</v>
      </c>
    </row>
    <row r="54" spans="1:5" ht="12.75">
      <c r="A54" s="245"/>
      <c r="B54" s="60"/>
      <c r="C54" s="292"/>
      <c r="D54" s="292"/>
      <c r="E54" s="250">
        <f aca="true" t="shared" si="3" ref="E54:E61">C54-D54</f>
        <v>0</v>
      </c>
    </row>
    <row r="55" spans="1:5" ht="12.75">
      <c r="A55" s="245" t="s">
        <v>265</v>
      </c>
      <c r="B55" s="60"/>
      <c r="C55" s="292"/>
      <c r="D55" s="292"/>
      <c r="E55" s="250">
        <f t="shared" si="3"/>
        <v>0</v>
      </c>
    </row>
    <row r="56" spans="1:5" ht="12.75">
      <c r="A56" s="245" t="s">
        <v>266</v>
      </c>
      <c r="B56" s="60"/>
      <c r="C56" s="292"/>
      <c r="D56" s="292"/>
      <c r="E56" s="250">
        <f t="shared" si="3"/>
        <v>0</v>
      </c>
    </row>
    <row r="57" spans="1:5" ht="12.75">
      <c r="A57" s="245" t="s">
        <v>267</v>
      </c>
      <c r="B57" s="60"/>
      <c r="C57" s="292"/>
      <c r="D57" s="292"/>
      <c r="E57" s="250">
        <f t="shared" si="3"/>
        <v>0</v>
      </c>
    </row>
    <row r="58" spans="1:5" ht="12.75">
      <c r="A58" s="245" t="s">
        <v>268</v>
      </c>
      <c r="B58" s="60"/>
      <c r="C58" s="292"/>
      <c r="D58" s="292"/>
      <c r="E58" s="250">
        <f t="shared" si="3"/>
        <v>0</v>
      </c>
    </row>
    <row r="59" spans="1:5" ht="12.75">
      <c r="A59" s="485" t="s">
        <v>498</v>
      </c>
      <c r="B59" s="60"/>
      <c r="C59" s="292">
        <v>1109000</v>
      </c>
      <c r="D59" s="292"/>
      <c r="E59" s="250">
        <f t="shared" si="3"/>
        <v>1109000</v>
      </c>
    </row>
    <row r="60" spans="1:5" ht="12.75">
      <c r="A60" s="60" t="s">
        <v>447</v>
      </c>
      <c r="B60" s="60"/>
      <c r="C60" s="292"/>
      <c r="D60" s="292"/>
      <c r="E60" s="250">
        <f t="shared" si="3"/>
        <v>0</v>
      </c>
    </row>
    <row r="61" spans="1:5" ht="13.5" thickBot="1">
      <c r="A61" s="61"/>
      <c r="B61" s="60"/>
      <c r="C61" s="292"/>
      <c r="D61" s="292"/>
      <c r="E61" s="250">
        <f t="shared" si="3"/>
        <v>0</v>
      </c>
    </row>
    <row r="62" spans="1:5" ht="12.75">
      <c r="A62" s="55" t="s">
        <v>131</v>
      </c>
      <c r="C62" s="22"/>
      <c r="D62" s="22"/>
      <c r="E62" s="277"/>
    </row>
    <row r="63" spans="1:5" ht="12.75">
      <c r="A63" s="2" t="s">
        <v>179</v>
      </c>
      <c r="C63" s="250">
        <f>SUM(C53:C61)</f>
        <v>1109000</v>
      </c>
      <c r="D63" s="250">
        <f>SUM(D53:D61)</f>
        <v>0</v>
      </c>
      <c r="E63" s="250">
        <f>SUM(E53:E61)</f>
        <v>1109000</v>
      </c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89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139"/>
  <sheetViews>
    <sheetView zoomScale="75" zoomScaleNormal="75" zoomScalePageLayoutView="0" workbookViewId="0" topLeftCell="A1">
      <pane xSplit="1" ySplit="6" topLeftCell="B13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23" sqref="C2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12.75">
      <c r="A2" s="1" t="str">
        <f>REGINFO!A1</f>
        <v>PILs TAXES - EB-2011-0167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8" t="s">
        <v>464</v>
      </c>
      <c r="B5" s="8"/>
      <c r="C5" s="8" t="s">
        <v>2</v>
      </c>
      <c r="D5" s="8"/>
      <c r="E5" s="8"/>
      <c r="F5" s="8"/>
    </row>
    <row r="6" spans="1:6" ht="12.75">
      <c r="A6" s="408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Festival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2003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9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27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3"/>
      <c r="D17" s="293"/>
      <c r="E17" s="311">
        <f>C17-D17</f>
        <v>0</v>
      </c>
    </row>
    <row r="18" spans="1:5" ht="12.75">
      <c r="A18" s="66" t="s">
        <v>251</v>
      </c>
      <c r="B18" t="s">
        <v>186</v>
      </c>
      <c r="C18" s="293"/>
      <c r="D18" s="293"/>
      <c r="E18" s="311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3"/>
      <c r="D19" s="293"/>
      <c r="E19" s="311">
        <f t="shared" si="0"/>
        <v>0</v>
      </c>
    </row>
    <row r="20" spans="1:5" ht="12.75">
      <c r="A20" s="66" t="s">
        <v>448</v>
      </c>
      <c r="B20" t="s">
        <v>186</v>
      </c>
      <c r="C20" s="293"/>
      <c r="D20" s="312"/>
      <c r="E20" s="311">
        <f t="shared" si="0"/>
        <v>0</v>
      </c>
    </row>
    <row r="21" spans="1:5" ht="12.75">
      <c r="A21" s="66" t="s">
        <v>8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486" t="s">
        <v>511</v>
      </c>
      <c r="B22" t="s">
        <v>186</v>
      </c>
      <c r="C22" s="293">
        <v>3087</v>
      </c>
      <c r="D22" s="293"/>
      <c r="E22" s="311">
        <f t="shared" si="0"/>
        <v>3087</v>
      </c>
    </row>
    <row r="23" spans="1:5" ht="12.75">
      <c r="A23" s="66" t="s">
        <v>136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137</v>
      </c>
      <c r="B24" t="s">
        <v>186</v>
      </c>
      <c r="C24" s="293"/>
      <c r="D24" s="293"/>
      <c r="E24" s="311">
        <f t="shared" si="0"/>
        <v>0</v>
      </c>
    </row>
    <row r="25" spans="1:7" ht="12.75">
      <c r="A25" s="66" t="s">
        <v>9</v>
      </c>
      <c r="B25" t="s">
        <v>186</v>
      </c>
      <c r="C25" s="293"/>
      <c r="D25" s="293"/>
      <c r="E25" s="311">
        <f t="shared" si="0"/>
        <v>0</v>
      </c>
      <c r="G25">
        <v>0</v>
      </c>
    </row>
    <row r="26" spans="1:5" ht="12.75">
      <c r="A26" s="66" t="s">
        <v>190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7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124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138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139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252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140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141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142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66" t="s">
        <v>192</v>
      </c>
      <c r="B35" t="s">
        <v>186</v>
      </c>
      <c r="C35" s="293"/>
      <c r="D35" s="293"/>
      <c r="E35" s="311">
        <f t="shared" si="0"/>
        <v>0</v>
      </c>
    </row>
    <row r="36" spans="1:5" ht="12.75">
      <c r="A36" s="66" t="s">
        <v>474</v>
      </c>
      <c r="B36" t="s">
        <v>186</v>
      </c>
      <c r="C36" s="293">
        <v>0</v>
      </c>
      <c r="D36" s="293"/>
      <c r="E36" s="311">
        <f t="shared" si="0"/>
        <v>0</v>
      </c>
    </row>
    <row r="37" spans="1:5" ht="12.75">
      <c r="A37" s="504" t="s">
        <v>509</v>
      </c>
      <c r="B37" t="s">
        <v>186</v>
      </c>
      <c r="C37" s="293">
        <v>0</v>
      </c>
      <c r="D37" s="293"/>
      <c r="E37" s="311">
        <f t="shared" si="0"/>
        <v>0</v>
      </c>
    </row>
    <row r="38" spans="2:5" ht="12.75">
      <c r="B38" t="s">
        <v>186</v>
      </c>
      <c r="C38" s="293"/>
      <c r="D38" s="293"/>
      <c r="E38" s="250">
        <f t="shared" si="0"/>
        <v>0</v>
      </c>
    </row>
    <row r="39" spans="2:5" ht="12.75">
      <c r="B39" t="s">
        <v>186</v>
      </c>
      <c r="C39" s="292"/>
      <c r="D39" s="293"/>
      <c r="E39" s="250">
        <f t="shared" si="0"/>
        <v>0</v>
      </c>
    </row>
    <row r="40" spans="1:5" ht="12.75">
      <c r="A40" s="67" t="s">
        <v>203</v>
      </c>
      <c r="B40" t="s">
        <v>186</v>
      </c>
      <c r="C40" s="292"/>
      <c r="D40" s="292"/>
      <c r="E40" s="250">
        <f t="shared" si="0"/>
        <v>0</v>
      </c>
    </row>
    <row r="41" spans="1:5" ht="12.75">
      <c r="A41" s="66"/>
      <c r="B41" t="s">
        <v>186</v>
      </c>
      <c r="C41" s="292"/>
      <c r="D41" s="292"/>
      <c r="E41" s="250">
        <f t="shared" si="0"/>
        <v>0</v>
      </c>
    </row>
    <row r="42" spans="1:5" ht="12.75">
      <c r="A42" s="66"/>
      <c r="B42" t="s">
        <v>186</v>
      </c>
      <c r="C42" s="292"/>
      <c r="D42" s="292"/>
      <c r="E42" s="250">
        <f t="shared" si="0"/>
        <v>0</v>
      </c>
    </row>
    <row r="43" spans="1:5" ht="12.75">
      <c r="A43" s="66"/>
      <c r="B43" t="s">
        <v>186</v>
      </c>
      <c r="C43" s="292"/>
      <c r="D43" s="292"/>
      <c r="E43" s="250">
        <f t="shared" si="0"/>
        <v>0</v>
      </c>
    </row>
    <row r="44" spans="1:5" ht="12.75">
      <c r="A44" s="66"/>
      <c r="B44" t="s">
        <v>186</v>
      </c>
      <c r="C44" s="292"/>
      <c r="D44" s="292"/>
      <c r="E44" s="250">
        <f t="shared" si="0"/>
        <v>0</v>
      </c>
    </row>
    <row r="45" spans="1:5" ht="12.75">
      <c r="A45" s="66"/>
      <c r="B45" t="s">
        <v>186</v>
      </c>
      <c r="C45" s="292"/>
      <c r="D45" s="292"/>
      <c r="E45" s="277"/>
    </row>
    <row r="46" spans="1:5" ht="12.75">
      <c r="A46" s="69" t="s">
        <v>169</v>
      </c>
      <c r="B46" t="s">
        <v>188</v>
      </c>
      <c r="C46" s="250">
        <f>SUM(C17:C45)</f>
        <v>3087</v>
      </c>
      <c r="D46" s="250">
        <f>SUM(D17:D45)</f>
        <v>0</v>
      </c>
      <c r="E46" s="250">
        <f>SUM(E17:E45)</f>
        <v>3087</v>
      </c>
    </row>
    <row r="47" ht="12.75">
      <c r="A47" s="66"/>
    </row>
    <row r="48" ht="12.75">
      <c r="A48" s="66" t="s">
        <v>171</v>
      </c>
    </row>
    <row r="49" spans="1:5" ht="12.75">
      <c r="A49" s="273" t="str">
        <f>IF($E17&gt;$C$11,A17," ")</f>
        <v> </v>
      </c>
      <c r="B49" s="271"/>
      <c r="C49" s="250">
        <f aca="true" t="shared" si="1" ref="C49:E63">IF($E17&gt;$C$11,C17,)</f>
        <v>0</v>
      </c>
      <c r="D49" s="250">
        <f t="shared" si="1"/>
        <v>0</v>
      </c>
      <c r="E49" s="250">
        <f t="shared" si="1"/>
        <v>0</v>
      </c>
    </row>
    <row r="50" spans="1:5" ht="12.75">
      <c r="A50" s="273" t="str">
        <f>IF($E18&gt;$C$11,A18," ")</f>
        <v> </v>
      </c>
      <c r="B50" s="271"/>
      <c r="C50" s="250">
        <f t="shared" si="1"/>
        <v>0</v>
      </c>
      <c r="D50" s="250">
        <f t="shared" si="1"/>
        <v>0</v>
      </c>
      <c r="E50" s="250">
        <f t="shared" si="1"/>
        <v>0</v>
      </c>
    </row>
    <row r="51" spans="1:5" ht="12.75">
      <c r="A51" s="273" t="str">
        <f>IF($E19&gt;$C$11,#REF!," ")</f>
        <v> </v>
      </c>
      <c r="B51" s="271"/>
      <c r="C51" s="250">
        <f t="shared" si="1"/>
        <v>0</v>
      </c>
      <c r="D51" s="250">
        <f t="shared" si="1"/>
        <v>0</v>
      </c>
      <c r="E51" s="250">
        <f t="shared" si="1"/>
        <v>0</v>
      </c>
    </row>
    <row r="52" spans="1:5" ht="12.75">
      <c r="A52" s="273" t="str">
        <f>IF($E20&gt;$C$11,#REF!," ")</f>
        <v> </v>
      </c>
      <c r="B52" s="271"/>
      <c r="C52" s="250">
        <f t="shared" si="1"/>
        <v>0</v>
      </c>
      <c r="D52" s="250">
        <f t="shared" si="1"/>
        <v>0</v>
      </c>
      <c r="E52" s="250">
        <f t="shared" si="1"/>
        <v>0</v>
      </c>
    </row>
    <row r="53" spans="1:5" ht="12.75">
      <c r="A53" s="273" t="str">
        <f aca="true" t="shared" si="2" ref="A53:A59">IF($E21&gt;$C$11,A19," ")</f>
        <v> </v>
      </c>
      <c r="B53" s="271"/>
      <c r="C53" s="250">
        <f t="shared" si="1"/>
        <v>0</v>
      </c>
      <c r="D53" s="250">
        <f t="shared" si="1"/>
        <v>0</v>
      </c>
      <c r="E53" s="250">
        <f t="shared" si="1"/>
        <v>0</v>
      </c>
    </row>
    <row r="54" spans="1:5" ht="12.75">
      <c r="A54" s="273" t="str">
        <f t="shared" si="2"/>
        <v>Charitable donations (Only if it benefits ratepayers)</v>
      </c>
      <c r="B54" s="271"/>
      <c r="C54" s="250">
        <f t="shared" si="1"/>
        <v>3087</v>
      </c>
      <c r="D54" s="250">
        <f t="shared" si="1"/>
        <v>0</v>
      </c>
      <c r="E54" s="250">
        <f t="shared" si="1"/>
        <v>3087</v>
      </c>
    </row>
    <row r="55" spans="1:5" ht="12.75">
      <c r="A55" s="273" t="str">
        <f t="shared" si="2"/>
        <v> </v>
      </c>
      <c r="B55" s="271"/>
      <c r="C55" s="250">
        <f t="shared" si="1"/>
        <v>0</v>
      </c>
      <c r="D55" s="250">
        <f t="shared" si="1"/>
        <v>0</v>
      </c>
      <c r="E55" s="250">
        <f t="shared" si="1"/>
        <v>0</v>
      </c>
    </row>
    <row r="56" spans="1:5" ht="12.75">
      <c r="A56" s="273" t="str">
        <f t="shared" si="2"/>
        <v> </v>
      </c>
      <c r="B56" s="271"/>
      <c r="C56" s="250">
        <f t="shared" si="1"/>
        <v>0</v>
      </c>
      <c r="D56" s="250">
        <f t="shared" si="1"/>
        <v>0</v>
      </c>
      <c r="E56" s="250">
        <f t="shared" si="1"/>
        <v>0</v>
      </c>
    </row>
    <row r="57" spans="1:5" ht="12.75">
      <c r="A57" s="273" t="str">
        <f t="shared" si="2"/>
        <v> </v>
      </c>
      <c r="B57" s="271"/>
      <c r="C57" s="250">
        <f t="shared" si="1"/>
        <v>0</v>
      </c>
      <c r="D57" s="250">
        <f t="shared" si="1"/>
        <v>0</v>
      </c>
      <c r="E57" s="250">
        <f t="shared" si="1"/>
        <v>0</v>
      </c>
    </row>
    <row r="58" spans="1:5" ht="12.75">
      <c r="A58" s="273" t="str">
        <f t="shared" si="2"/>
        <v> </v>
      </c>
      <c r="B58" s="271"/>
      <c r="C58" s="250">
        <f t="shared" si="1"/>
        <v>0</v>
      </c>
      <c r="D58" s="250">
        <f t="shared" si="1"/>
        <v>0</v>
      </c>
      <c r="E58" s="250">
        <f t="shared" si="1"/>
        <v>0</v>
      </c>
    </row>
    <row r="59" spans="1:5" ht="12.75">
      <c r="A59" s="273" t="str">
        <f t="shared" si="2"/>
        <v> </v>
      </c>
      <c r="B59" s="271"/>
      <c r="C59" s="250">
        <f t="shared" si="1"/>
        <v>0</v>
      </c>
      <c r="D59" s="250">
        <f t="shared" si="1"/>
        <v>0</v>
      </c>
      <c r="E59" s="250">
        <f t="shared" si="1"/>
        <v>0</v>
      </c>
    </row>
    <row r="60" spans="1:5" ht="12.75">
      <c r="A60" s="273" t="str">
        <f>IF($E28&gt;$C$11,A28," ")</f>
        <v> </v>
      </c>
      <c r="B60" s="271"/>
      <c r="C60" s="250">
        <f t="shared" si="1"/>
        <v>0</v>
      </c>
      <c r="D60" s="250">
        <f t="shared" si="1"/>
        <v>0</v>
      </c>
      <c r="E60" s="250">
        <f t="shared" si="1"/>
        <v>0</v>
      </c>
    </row>
    <row r="61" spans="1:5" ht="12.75">
      <c r="A61" s="273" t="str">
        <f>IF($E29&gt;$C$11,#REF!," ")</f>
        <v> </v>
      </c>
      <c r="B61" s="271"/>
      <c r="C61" s="250">
        <f t="shared" si="1"/>
        <v>0</v>
      </c>
      <c r="D61" s="250">
        <f t="shared" si="1"/>
        <v>0</v>
      </c>
      <c r="E61" s="250">
        <f t="shared" si="1"/>
        <v>0</v>
      </c>
    </row>
    <row r="62" spans="1:5" ht="12.75">
      <c r="A62" s="273" t="str">
        <f>IF($E30&gt;$C$11,#REF!," ")</f>
        <v> </v>
      </c>
      <c r="B62" s="271"/>
      <c r="C62" s="250">
        <f t="shared" si="1"/>
        <v>0</v>
      </c>
      <c r="D62" s="250">
        <f t="shared" si="1"/>
        <v>0</v>
      </c>
      <c r="E62" s="250">
        <f t="shared" si="1"/>
        <v>0</v>
      </c>
    </row>
    <row r="63" spans="1:5" ht="12.75">
      <c r="A63" s="273" t="str">
        <f>IF($E31&gt;$C$11,A26," ")</f>
        <v> </v>
      </c>
      <c r="B63" s="271"/>
      <c r="C63" s="250">
        <f t="shared" si="1"/>
        <v>0</v>
      </c>
      <c r="D63" s="250">
        <f t="shared" si="1"/>
        <v>0</v>
      </c>
      <c r="E63" s="250">
        <f t="shared" si="1"/>
        <v>0</v>
      </c>
    </row>
    <row r="64" spans="1:5" ht="12.75">
      <c r="A64" s="273" t="str">
        <f>IF($E33&gt;$C$11,#REF!," ")</f>
        <v> </v>
      </c>
      <c r="B64" s="271"/>
      <c r="C64" s="250">
        <f aca="true" t="shared" si="3" ref="C64:E76">IF($E33&gt;$C$11,C33,)</f>
        <v>0</v>
      </c>
      <c r="D64" s="250">
        <f t="shared" si="3"/>
        <v>0</v>
      </c>
      <c r="E64" s="250">
        <f t="shared" si="3"/>
        <v>0</v>
      </c>
    </row>
    <row r="65" spans="1:5" ht="12.75">
      <c r="A65" s="273" t="str">
        <f>IF($E34&gt;$C$11,#REF!," ")</f>
        <v> </v>
      </c>
      <c r="B65" s="271"/>
      <c r="C65" s="250">
        <f t="shared" si="3"/>
        <v>0</v>
      </c>
      <c r="D65" s="250">
        <f t="shared" si="3"/>
        <v>0</v>
      </c>
      <c r="E65" s="250">
        <f t="shared" si="3"/>
        <v>0</v>
      </c>
    </row>
    <row r="66" spans="1:5" ht="12.75">
      <c r="A66" s="273" t="str">
        <f>IF($E35&gt;$C$11,#REF!," ")</f>
        <v> </v>
      </c>
      <c r="B66" s="271"/>
      <c r="C66" s="250">
        <f t="shared" si="3"/>
        <v>0</v>
      </c>
      <c r="D66" s="250">
        <f t="shared" si="3"/>
        <v>0</v>
      </c>
      <c r="E66" s="250">
        <f t="shared" si="3"/>
        <v>0</v>
      </c>
    </row>
    <row r="67" spans="1:5" ht="12.75">
      <c r="A67" s="273" t="str">
        <f>IF($E36&gt;$C$11,A36," ")</f>
        <v> </v>
      </c>
      <c r="B67" s="271"/>
      <c r="C67" s="250">
        <f t="shared" si="3"/>
        <v>0</v>
      </c>
      <c r="D67" s="250">
        <f t="shared" si="3"/>
        <v>0</v>
      </c>
      <c r="E67" s="250">
        <f t="shared" si="3"/>
        <v>0</v>
      </c>
    </row>
    <row r="68" spans="1:5" ht="12.75">
      <c r="A68" s="505" t="str">
        <f>IF($E37&gt;$C$11,A37," ")</f>
        <v> </v>
      </c>
      <c r="B68" s="271"/>
      <c r="C68" s="250">
        <v>0</v>
      </c>
      <c r="D68" s="250">
        <f t="shared" si="3"/>
        <v>0</v>
      </c>
      <c r="E68" s="250">
        <f t="shared" si="3"/>
        <v>0</v>
      </c>
    </row>
    <row r="69" spans="1:5" ht="12.75">
      <c r="A69" s="273" t="str">
        <f>IF($E38&gt;$C$11,A29," ")</f>
        <v> </v>
      </c>
      <c r="B69" s="271"/>
      <c r="C69" s="250">
        <f t="shared" si="3"/>
        <v>0</v>
      </c>
      <c r="D69" s="250">
        <f t="shared" si="3"/>
        <v>0</v>
      </c>
      <c r="E69" s="250">
        <f t="shared" si="3"/>
        <v>0</v>
      </c>
    </row>
    <row r="70" spans="1:5" ht="12.75">
      <c r="A70" s="273" t="str">
        <f>IF($E39&gt;$C$11,A35," ")</f>
        <v> </v>
      </c>
      <c r="B70" s="271"/>
      <c r="C70" s="250">
        <f t="shared" si="3"/>
        <v>0</v>
      </c>
      <c r="D70" s="250">
        <f t="shared" si="3"/>
        <v>0</v>
      </c>
      <c r="E70" s="250">
        <f t="shared" si="3"/>
        <v>0</v>
      </c>
    </row>
    <row r="71" spans="1:5" ht="12.75">
      <c r="A71" s="273" t="str">
        <f aca="true" t="shared" si="4" ref="A71:A76">IF($E40&gt;$C$11,A40," ")</f>
        <v> </v>
      </c>
      <c r="B71" s="271"/>
      <c r="C71" s="250">
        <f t="shared" si="3"/>
        <v>0</v>
      </c>
      <c r="D71" s="250">
        <f t="shared" si="3"/>
        <v>0</v>
      </c>
      <c r="E71" s="250">
        <f t="shared" si="3"/>
        <v>0</v>
      </c>
    </row>
    <row r="72" spans="1:5" ht="12.75">
      <c r="A72" s="273" t="str">
        <f t="shared" si="4"/>
        <v> </v>
      </c>
      <c r="B72" s="271"/>
      <c r="C72" s="250">
        <f t="shared" si="3"/>
        <v>0</v>
      </c>
      <c r="D72" s="250">
        <f t="shared" si="3"/>
        <v>0</v>
      </c>
      <c r="E72" s="250">
        <f t="shared" si="3"/>
        <v>0</v>
      </c>
    </row>
    <row r="73" spans="1:5" ht="12.75">
      <c r="A73" s="273" t="str">
        <f t="shared" si="4"/>
        <v> </v>
      </c>
      <c r="B73" s="271"/>
      <c r="C73" s="250">
        <f t="shared" si="3"/>
        <v>0</v>
      </c>
      <c r="D73" s="250">
        <f t="shared" si="3"/>
        <v>0</v>
      </c>
      <c r="E73" s="250">
        <f t="shared" si="3"/>
        <v>0</v>
      </c>
    </row>
    <row r="74" spans="1:5" ht="12.75">
      <c r="A74" s="273" t="str">
        <f t="shared" si="4"/>
        <v> </v>
      </c>
      <c r="B74" s="271"/>
      <c r="C74" s="250">
        <f t="shared" si="3"/>
        <v>0</v>
      </c>
      <c r="D74" s="250">
        <f t="shared" si="3"/>
        <v>0</v>
      </c>
      <c r="E74" s="250">
        <f t="shared" si="3"/>
        <v>0</v>
      </c>
    </row>
    <row r="75" spans="1:5" ht="12.75">
      <c r="A75" s="273" t="str">
        <f t="shared" si="4"/>
        <v> </v>
      </c>
      <c r="B75" s="271"/>
      <c r="C75" s="250">
        <f t="shared" si="3"/>
        <v>0</v>
      </c>
      <c r="D75" s="250">
        <f t="shared" si="3"/>
        <v>0</v>
      </c>
      <c r="E75" s="250">
        <f t="shared" si="3"/>
        <v>0</v>
      </c>
    </row>
    <row r="76" spans="1:5" ht="12.75">
      <c r="A76" s="273" t="str">
        <f t="shared" si="4"/>
        <v> </v>
      </c>
      <c r="B76" s="272"/>
      <c r="C76" s="250">
        <f t="shared" si="3"/>
        <v>0</v>
      </c>
      <c r="D76" s="250">
        <f t="shared" si="3"/>
        <v>0</v>
      </c>
      <c r="E76" s="250">
        <f t="shared" si="3"/>
        <v>0</v>
      </c>
    </row>
    <row r="77" spans="1:5" ht="12.75">
      <c r="A77" s="274" t="s">
        <v>143</v>
      </c>
      <c r="B77" s="271"/>
      <c r="C77" s="250">
        <f>SUM(C49:C75)</f>
        <v>3087</v>
      </c>
      <c r="D77" s="250">
        <f>SUM(D49:D75)</f>
        <v>0</v>
      </c>
      <c r="E77" s="250">
        <f>SUM(E49:E75)</f>
        <v>3087</v>
      </c>
    </row>
    <row r="78" spans="1:5" ht="12.75">
      <c r="A78" s="274" t="s">
        <v>202</v>
      </c>
      <c r="B78" s="275"/>
      <c r="C78" s="313">
        <f>C46-C77</f>
        <v>0</v>
      </c>
      <c r="D78" s="313">
        <f>D46-D77</f>
        <v>0</v>
      </c>
      <c r="E78" s="313">
        <f>E46-E77</f>
        <v>0</v>
      </c>
    </row>
    <row r="79" spans="1:5" ht="12.75">
      <c r="A79" s="274" t="s">
        <v>169</v>
      </c>
      <c r="B79" s="275"/>
      <c r="C79" s="313">
        <f>C77+C78</f>
        <v>3087</v>
      </c>
      <c r="D79" s="313">
        <f>D77+D78</f>
        <v>0</v>
      </c>
      <c r="E79" s="313">
        <f>E77+E78</f>
        <v>3087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2">
        <v>0</v>
      </c>
      <c r="D82" s="292"/>
      <c r="E82" s="250">
        <f>C82-D82</f>
        <v>0</v>
      </c>
    </row>
    <row r="83" spans="1:5" ht="12.75">
      <c r="A83" s="70" t="s">
        <v>151</v>
      </c>
      <c r="B83" s="8" t="s">
        <v>187</v>
      </c>
      <c r="C83" s="292"/>
      <c r="D83" s="292"/>
      <c r="E83" s="250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2"/>
      <c r="D84" s="292"/>
      <c r="E84" s="250">
        <f t="shared" si="5"/>
        <v>0</v>
      </c>
    </row>
    <row r="85" spans="1:5" ht="12.75">
      <c r="A85" s="70" t="s">
        <v>253</v>
      </c>
      <c r="B85" s="8" t="s">
        <v>187</v>
      </c>
      <c r="C85" s="292"/>
      <c r="D85" s="292"/>
      <c r="E85" s="250">
        <f t="shared" si="5"/>
        <v>0</v>
      </c>
    </row>
    <row r="86" spans="1:5" ht="12.75">
      <c r="A86" s="66" t="s">
        <v>193</v>
      </c>
      <c r="B86" s="8" t="s">
        <v>187</v>
      </c>
      <c r="C86" s="292"/>
      <c r="D86" s="292"/>
      <c r="E86" s="250">
        <f t="shared" si="5"/>
        <v>0</v>
      </c>
    </row>
    <row r="87" spans="1:5" ht="12.75">
      <c r="A87" s="66" t="s">
        <v>375</v>
      </c>
      <c r="B87" s="8" t="s">
        <v>187</v>
      </c>
      <c r="C87" s="292"/>
      <c r="D87" s="292"/>
      <c r="E87" s="250">
        <f t="shared" si="5"/>
        <v>0</v>
      </c>
    </row>
    <row r="88" spans="1:5" ht="12.75">
      <c r="A88" s="66" t="s">
        <v>194</v>
      </c>
      <c r="B88" s="8" t="s">
        <v>187</v>
      </c>
      <c r="C88" s="292"/>
      <c r="D88" s="292"/>
      <c r="E88" s="250">
        <f t="shared" si="5"/>
        <v>0</v>
      </c>
    </row>
    <row r="89" spans="1:5" ht="12.75">
      <c r="A89" s="66" t="s">
        <v>166</v>
      </c>
      <c r="B89" s="8" t="s">
        <v>187</v>
      </c>
      <c r="C89" s="292"/>
      <c r="D89" s="292"/>
      <c r="E89" s="250">
        <f t="shared" si="5"/>
        <v>0</v>
      </c>
    </row>
    <row r="90" spans="1:5" ht="12.75">
      <c r="A90" s="66" t="s">
        <v>167</v>
      </c>
      <c r="B90" s="8" t="s">
        <v>187</v>
      </c>
      <c r="C90" s="292"/>
      <c r="D90" s="292"/>
      <c r="E90" s="250">
        <f t="shared" si="5"/>
        <v>0</v>
      </c>
    </row>
    <row r="91" spans="1:5" ht="12.75">
      <c r="A91" s="66" t="s">
        <v>168</v>
      </c>
      <c r="B91" s="8" t="s">
        <v>187</v>
      </c>
      <c r="C91" s="292"/>
      <c r="D91" s="292"/>
      <c r="E91" s="250">
        <f t="shared" si="5"/>
        <v>0</v>
      </c>
    </row>
    <row r="92" spans="2:5" ht="12.75">
      <c r="B92" s="8" t="s">
        <v>187</v>
      </c>
      <c r="C92" s="292"/>
      <c r="D92" s="292"/>
      <c r="E92" s="250"/>
    </row>
    <row r="93" spans="1:5" ht="12.75">
      <c r="A93" s="66"/>
      <c r="B93" s="8" t="s">
        <v>187</v>
      </c>
      <c r="C93" s="292"/>
      <c r="D93" s="292"/>
      <c r="E93" s="250">
        <f t="shared" si="5"/>
        <v>0</v>
      </c>
    </row>
    <row r="94" spans="1:5" ht="12.75">
      <c r="A94" s="66"/>
      <c r="B94" s="8" t="s">
        <v>187</v>
      </c>
      <c r="C94" s="292"/>
      <c r="D94" s="292"/>
      <c r="E94" s="250">
        <f t="shared" si="5"/>
        <v>0</v>
      </c>
    </row>
    <row r="95" spans="1:5" ht="12.75">
      <c r="A95" s="67" t="s">
        <v>204</v>
      </c>
      <c r="B95" s="8" t="s">
        <v>187</v>
      </c>
      <c r="C95" s="292"/>
      <c r="D95" s="292"/>
      <c r="E95" s="250">
        <f t="shared" si="5"/>
        <v>0</v>
      </c>
    </row>
    <row r="96" spans="1:5" ht="12.75">
      <c r="A96" s="66" t="s">
        <v>475</v>
      </c>
      <c r="B96" s="8" t="s">
        <v>187</v>
      </c>
      <c r="C96" s="292">
        <v>0</v>
      </c>
      <c r="D96" s="292"/>
      <c r="E96" s="250">
        <f t="shared" si="5"/>
        <v>0</v>
      </c>
    </row>
    <row r="97" spans="1:5" ht="12.75">
      <c r="A97" s="486" t="s">
        <v>499</v>
      </c>
      <c r="B97" s="8" t="s">
        <v>187</v>
      </c>
      <c r="C97" s="292">
        <v>0</v>
      </c>
      <c r="D97" s="292"/>
      <c r="E97" s="250">
        <f t="shared" si="5"/>
        <v>0</v>
      </c>
    </row>
    <row r="98" spans="1:5" ht="12.75">
      <c r="A98" s="66"/>
      <c r="B98" s="8" t="s">
        <v>187</v>
      </c>
      <c r="C98" s="292"/>
      <c r="D98" s="292"/>
      <c r="E98" s="250">
        <f t="shared" si="5"/>
        <v>0</v>
      </c>
    </row>
    <row r="99" spans="1:5" ht="12.75">
      <c r="A99" s="66" t="s">
        <v>170</v>
      </c>
      <c r="B99" s="8" t="s">
        <v>188</v>
      </c>
      <c r="C99" s="250">
        <f>SUM(C82:C98)</f>
        <v>0</v>
      </c>
      <c r="D99" s="250">
        <f>SUM(D82:D98)</f>
        <v>0</v>
      </c>
      <c r="E99" s="250">
        <f>SUM(E82:E98)</f>
        <v>0</v>
      </c>
    </row>
    <row r="100" ht="12.75">
      <c r="A100" s="66"/>
    </row>
    <row r="101" ht="12.75">
      <c r="A101" s="66" t="s">
        <v>173</v>
      </c>
    </row>
    <row r="102" spans="1:5" ht="12.75">
      <c r="A102" s="273" t="str">
        <f aca="true" t="shared" si="6" ref="A102:A111">IF($E82&gt;$C$11,A82," ")</f>
        <v> </v>
      </c>
      <c r="B102" s="271"/>
      <c r="C102" s="250">
        <f aca="true" t="shared" si="7" ref="C102:E118">IF($E82&gt;$C$11,C82,)</f>
        <v>0</v>
      </c>
      <c r="D102" s="250">
        <f t="shared" si="7"/>
        <v>0</v>
      </c>
      <c r="E102" s="250">
        <f t="shared" si="7"/>
        <v>0</v>
      </c>
    </row>
    <row r="103" spans="1:5" ht="12.75">
      <c r="A103" s="273" t="str">
        <f t="shared" si="6"/>
        <v> </v>
      </c>
      <c r="B103" s="271"/>
      <c r="C103" s="250">
        <f t="shared" si="7"/>
        <v>0</v>
      </c>
      <c r="D103" s="250">
        <f t="shared" si="7"/>
        <v>0</v>
      </c>
      <c r="E103" s="250">
        <f t="shared" si="7"/>
        <v>0</v>
      </c>
    </row>
    <row r="104" spans="1:5" ht="12.75">
      <c r="A104" s="273" t="str">
        <f t="shared" si="6"/>
        <v> </v>
      </c>
      <c r="B104" s="271"/>
      <c r="C104" s="250">
        <f t="shared" si="7"/>
        <v>0</v>
      </c>
      <c r="D104" s="250">
        <f t="shared" si="7"/>
        <v>0</v>
      </c>
      <c r="E104" s="250">
        <f t="shared" si="7"/>
        <v>0</v>
      </c>
    </row>
    <row r="105" spans="1:5" ht="12.75">
      <c r="A105" s="273" t="str">
        <f t="shared" si="6"/>
        <v> </v>
      </c>
      <c r="B105" s="271"/>
      <c r="C105" s="250">
        <f t="shared" si="7"/>
        <v>0</v>
      </c>
      <c r="D105" s="250">
        <f t="shared" si="7"/>
        <v>0</v>
      </c>
      <c r="E105" s="250">
        <f t="shared" si="7"/>
        <v>0</v>
      </c>
    </row>
    <row r="106" spans="1:5" ht="12.75">
      <c r="A106" s="273" t="str">
        <f t="shared" si="6"/>
        <v> </v>
      </c>
      <c r="B106" s="271"/>
      <c r="C106" s="250">
        <f t="shared" si="7"/>
        <v>0</v>
      </c>
      <c r="D106" s="250">
        <f t="shared" si="7"/>
        <v>0</v>
      </c>
      <c r="E106" s="250">
        <f t="shared" si="7"/>
        <v>0</v>
      </c>
    </row>
    <row r="107" spans="1:5" ht="12.75">
      <c r="A107" s="273" t="str">
        <f t="shared" si="6"/>
        <v> </v>
      </c>
      <c r="B107" s="271"/>
      <c r="C107" s="250">
        <f t="shared" si="7"/>
        <v>0</v>
      </c>
      <c r="D107" s="250">
        <f t="shared" si="7"/>
        <v>0</v>
      </c>
      <c r="E107" s="250">
        <f t="shared" si="7"/>
        <v>0</v>
      </c>
    </row>
    <row r="108" spans="1:5" ht="12.75">
      <c r="A108" s="273" t="str">
        <f t="shared" si="6"/>
        <v> </v>
      </c>
      <c r="B108" s="271"/>
      <c r="C108" s="250">
        <f t="shared" si="7"/>
        <v>0</v>
      </c>
      <c r="D108" s="250">
        <f t="shared" si="7"/>
        <v>0</v>
      </c>
      <c r="E108" s="250">
        <f t="shared" si="7"/>
        <v>0</v>
      </c>
    </row>
    <row r="109" spans="1:5" ht="12.75">
      <c r="A109" s="273" t="str">
        <f t="shared" si="6"/>
        <v> </v>
      </c>
      <c r="B109" s="271"/>
      <c r="C109" s="250">
        <f t="shared" si="7"/>
        <v>0</v>
      </c>
      <c r="D109" s="250">
        <f t="shared" si="7"/>
        <v>0</v>
      </c>
      <c r="E109" s="250">
        <f t="shared" si="7"/>
        <v>0</v>
      </c>
    </row>
    <row r="110" spans="1:5" ht="12.75">
      <c r="A110" s="273" t="str">
        <f t="shared" si="6"/>
        <v> </v>
      </c>
      <c r="B110" s="271"/>
      <c r="C110" s="250">
        <f t="shared" si="7"/>
        <v>0</v>
      </c>
      <c r="D110" s="250">
        <f t="shared" si="7"/>
        <v>0</v>
      </c>
      <c r="E110" s="250">
        <f t="shared" si="7"/>
        <v>0</v>
      </c>
    </row>
    <row r="111" spans="1:5" ht="12.75">
      <c r="A111" s="273" t="str">
        <f t="shared" si="6"/>
        <v> </v>
      </c>
      <c r="B111" s="271"/>
      <c r="C111" s="250">
        <f t="shared" si="7"/>
        <v>0</v>
      </c>
      <c r="D111" s="250">
        <f t="shared" si="7"/>
        <v>0</v>
      </c>
      <c r="E111" s="250">
        <f t="shared" si="7"/>
        <v>0</v>
      </c>
    </row>
    <row r="112" spans="1:5" ht="12.75">
      <c r="A112" s="273" t="str">
        <f>IF($E92&gt;$C$11,A95," ")</f>
        <v> </v>
      </c>
      <c r="B112" s="271"/>
      <c r="C112" s="250">
        <f t="shared" si="7"/>
        <v>0</v>
      </c>
      <c r="D112" s="250">
        <f t="shared" si="7"/>
        <v>0</v>
      </c>
      <c r="E112" s="250">
        <f t="shared" si="7"/>
        <v>0</v>
      </c>
    </row>
    <row r="113" spans="1:5" ht="12.75">
      <c r="A113" s="273" t="str">
        <f>IF($E93&gt;$C$11,#REF!," ")</f>
        <v> </v>
      </c>
      <c r="B113" s="271"/>
      <c r="C113" s="250">
        <f t="shared" si="7"/>
        <v>0</v>
      </c>
      <c r="D113" s="250">
        <f t="shared" si="7"/>
        <v>0</v>
      </c>
      <c r="E113" s="250">
        <f t="shared" si="7"/>
        <v>0</v>
      </c>
    </row>
    <row r="114" spans="1:5" ht="12.75">
      <c r="A114" s="273" t="str">
        <f>IF($E94&gt;$C$11,A94," ")</f>
        <v> </v>
      </c>
      <c r="B114" s="271"/>
      <c r="C114" s="250">
        <f t="shared" si="7"/>
        <v>0</v>
      </c>
      <c r="D114" s="250">
        <f t="shared" si="7"/>
        <v>0</v>
      </c>
      <c r="E114" s="250">
        <f t="shared" si="7"/>
        <v>0</v>
      </c>
    </row>
    <row r="115" spans="1:5" ht="12.75">
      <c r="A115" s="273" t="str">
        <f>IF($E95&gt;$C$11,A93," ")</f>
        <v> </v>
      </c>
      <c r="B115" s="271"/>
      <c r="C115" s="250">
        <f t="shared" si="7"/>
        <v>0</v>
      </c>
      <c r="D115" s="250">
        <f t="shared" si="7"/>
        <v>0</v>
      </c>
      <c r="E115" s="250">
        <f t="shared" si="7"/>
        <v>0</v>
      </c>
    </row>
    <row r="116" spans="1:5" ht="12.75">
      <c r="A116" s="273" t="str">
        <f>IF($E96&gt;$C$11,A96," ")</f>
        <v> </v>
      </c>
      <c r="B116" s="271"/>
      <c r="C116" s="250">
        <f t="shared" si="7"/>
        <v>0</v>
      </c>
      <c r="D116" s="250">
        <f t="shared" si="7"/>
        <v>0</v>
      </c>
      <c r="E116" s="250">
        <f t="shared" si="7"/>
        <v>0</v>
      </c>
    </row>
    <row r="117" spans="1:5" ht="12.75">
      <c r="A117" s="273" t="str">
        <f>IF($E97&gt;$C$11,A97," ")</f>
        <v> </v>
      </c>
      <c r="B117" s="271"/>
      <c r="C117" s="250">
        <f t="shared" si="7"/>
        <v>0</v>
      </c>
      <c r="D117" s="250">
        <f t="shared" si="7"/>
        <v>0</v>
      </c>
      <c r="E117" s="250">
        <f t="shared" si="7"/>
        <v>0</v>
      </c>
    </row>
    <row r="118" spans="1:5" ht="12.75">
      <c r="A118" s="273" t="str">
        <f>IF($E98&gt;$C$11,A98," ")</f>
        <v> </v>
      </c>
      <c r="B118" s="271"/>
      <c r="C118" s="250">
        <f t="shared" si="7"/>
        <v>0</v>
      </c>
      <c r="D118" s="250">
        <f t="shared" si="7"/>
        <v>0</v>
      </c>
      <c r="E118" s="250">
        <f t="shared" si="7"/>
        <v>0</v>
      </c>
    </row>
    <row r="119" spans="1:5" ht="12.75">
      <c r="A119" s="276" t="s">
        <v>201</v>
      </c>
      <c r="B119" s="271"/>
      <c r="C119" s="250">
        <f>SUM(C102:C118)</f>
        <v>0</v>
      </c>
      <c r="D119" s="250">
        <f>SUM(D102:D118)</f>
        <v>0</v>
      </c>
      <c r="E119" s="250">
        <f>SUM(E102:E118)</f>
        <v>0</v>
      </c>
    </row>
    <row r="120" spans="1:5" ht="12.75">
      <c r="A120" s="276" t="s">
        <v>200</v>
      </c>
      <c r="B120" s="271"/>
      <c r="C120" s="250">
        <f>C99-C119</f>
        <v>0</v>
      </c>
      <c r="D120" s="250">
        <f>D99-D119</f>
        <v>0</v>
      </c>
      <c r="E120" s="250">
        <f>E99-E119</f>
        <v>0</v>
      </c>
    </row>
    <row r="121" spans="1:5" ht="12.75">
      <c r="A121" s="276" t="s">
        <v>170</v>
      </c>
      <c r="B121" s="271"/>
      <c r="C121" s="250">
        <f>C119+C120</f>
        <v>0</v>
      </c>
      <c r="D121" s="250">
        <f>D119+D120</f>
        <v>0</v>
      </c>
      <c r="E121" s="250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7" bottom="0.34" header="0.19" footer="0"/>
  <pageSetup fitToHeight="2" fitToWidth="1" horizontalDpi="600" verticalDpi="600" orientation="portrait" scale="76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F92"/>
  <sheetViews>
    <sheetView zoomScale="75" zoomScaleNormal="75" zoomScalePageLayoutView="0" workbookViewId="0" topLeftCell="A1">
      <pane xSplit="1" ySplit="8" topLeftCell="B6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C88" sqref="C8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EB-2011-0167</v>
      </c>
    </row>
    <row r="3" spans="1:5" ht="12.75">
      <c r="A3" s="2" t="s">
        <v>383</v>
      </c>
      <c r="E3" s="91"/>
    </row>
    <row r="4" spans="1:6" ht="15.75">
      <c r="A4" s="457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9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Festival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2003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9">
        <f>TAXREC!C11</f>
        <v>365</v>
      </c>
      <c r="D12" s="59"/>
      <c r="E12" s="25"/>
      <c r="F12" s="20"/>
    </row>
    <row r="13" spans="1:6" ht="13.5" thickBot="1">
      <c r="A13" s="2"/>
      <c r="B13" s="20"/>
      <c r="C13" s="233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3"/>
      <c r="D19" s="293"/>
      <c r="E19" s="311">
        <f aca="true" t="shared" si="0" ref="E19:E45">C19-D19</f>
        <v>0</v>
      </c>
    </row>
    <row r="20" spans="1:5" ht="12.75">
      <c r="A20" t="s">
        <v>386</v>
      </c>
      <c r="B20" t="s">
        <v>186</v>
      </c>
      <c r="C20" s="293"/>
      <c r="D20" s="293"/>
      <c r="E20" s="311">
        <f t="shared" si="0"/>
        <v>0</v>
      </c>
    </row>
    <row r="21" spans="1:5" ht="12.75">
      <c r="A21" t="s">
        <v>452</v>
      </c>
      <c r="B21" t="s">
        <v>186</v>
      </c>
      <c r="C21" s="293"/>
      <c r="D21" s="293"/>
      <c r="E21" s="311">
        <f t="shared" si="0"/>
        <v>0</v>
      </c>
    </row>
    <row r="22" spans="1:5" ht="12.75">
      <c r="A22" s="66" t="s">
        <v>389</v>
      </c>
      <c r="B22" t="s">
        <v>186</v>
      </c>
      <c r="C22" s="293"/>
      <c r="D22" s="312"/>
      <c r="E22" s="311">
        <f t="shared" si="0"/>
        <v>0</v>
      </c>
    </row>
    <row r="23" spans="1:5" ht="12.75">
      <c r="A23" s="66" t="s">
        <v>390</v>
      </c>
      <c r="B23" t="s">
        <v>186</v>
      </c>
      <c r="C23" s="293"/>
      <c r="D23" s="293"/>
      <c r="E23" s="311">
        <f t="shared" si="0"/>
        <v>0</v>
      </c>
    </row>
    <row r="24" spans="1:5" ht="12.75">
      <c r="A24" s="66" t="s">
        <v>453</v>
      </c>
      <c r="B24" t="s">
        <v>186</v>
      </c>
      <c r="C24" s="293"/>
      <c r="D24" s="293"/>
      <c r="E24" s="311">
        <f t="shared" si="0"/>
        <v>0</v>
      </c>
    </row>
    <row r="25" spans="1:5" ht="12.75">
      <c r="A25" s="66" t="s">
        <v>125</v>
      </c>
      <c r="B25" t="s">
        <v>186</v>
      </c>
      <c r="C25" s="293"/>
      <c r="D25" s="293"/>
      <c r="E25" s="311">
        <f t="shared" si="0"/>
        <v>0</v>
      </c>
    </row>
    <row r="26" spans="1:5" ht="12.75">
      <c r="A26" s="66" t="s">
        <v>133</v>
      </c>
      <c r="B26" t="s">
        <v>186</v>
      </c>
      <c r="C26" s="293"/>
      <c r="D26" s="293"/>
      <c r="E26" s="311">
        <f t="shared" si="0"/>
        <v>0</v>
      </c>
    </row>
    <row r="27" spans="1:5" ht="12.75">
      <c r="A27" s="66" t="s">
        <v>436</v>
      </c>
      <c r="B27" t="s">
        <v>186</v>
      </c>
      <c r="C27" s="293"/>
      <c r="D27" s="293"/>
      <c r="E27" s="311">
        <f t="shared" si="0"/>
        <v>0</v>
      </c>
    </row>
    <row r="28" spans="1:5" ht="12.75">
      <c r="A28" s="66" t="s">
        <v>388</v>
      </c>
      <c r="B28" t="s">
        <v>186</v>
      </c>
      <c r="C28" s="293"/>
      <c r="D28" s="293"/>
      <c r="E28" s="311">
        <f t="shared" si="0"/>
        <v>0</v>
      </c>
    </row>
    <row r="29" spans="1:5" ht="12.75">
      <c r="A29" s="66" t="s">
        <v>135</v>
      </c>
      <c r="B29" t="s">
        <v>186</v>
      </c>
      <c r="C29" s="293"/>
      <c r="D29" s="293"/>
      <c r="E29" s="311">
        <f t="shared" si="0"/>
        <v>0</v>
      </c>
    </row>
    <row r="30" spans="1:5" ht="12.75">
      <c r="A30" s="66" t="s">
        <v>387</v>
      </c>
      <c r="B30" t="s">
        <v>186</v>
      </c>
      <c r="C30" s="293"/>
      <c r="D30" s="293"/>
      <c r="E30" s="311">
        <f t="shared" si="0"/>
        <v>0</v>
      </c>
    </row>
    <row r="31" spans="1:5" ht="12.75">
      <c r="A31" s="66" t="s">
        <v>191</v>
      </c>
      <c r="B31" t="s">
        <v>186</v>
      </c>
      <c r="C31" s="293"/>
      <c r="D31" s="293"/>
      <c r="E31" s="311">
        <f t="shared" si="0"/>
        <v>0</v>
      </c>
    </row>
    <row r="32" spans="1:5" ht="12.75">
      <c r="A32" s="66" t="s">
        <v>431</v>
      </c>
      <c r="B32" t="s">
        <v>186</v>
      </c>
      <c r="C32" s="293"/>
      <c r="D32" s="293"/>
      <c r="E32" s="311">
        <f t="shared" si="0"/>
        <v>0</v>
      </c>
    </row>
    <row r="33" spans="1:5" ht="12.75">
      <c r="A33" s="66" t="s">
        <v>432</v>
      </c>
      <c r="B33" t="s">
        <v>186</v>
      </c>
      <c r="C33" s="293"/>
      <c r="D33" s="293"/>
      <c r="E33" s="311">
        <f t="shared" si="0"/>
        <v>0</v>
      </c>
    </row>
    <row r="34" spans="1:5" ht="12.75">
      <c r="A34" s="66" t="s">
        <v>449</v>
      </c>
      <c r="B34" t="s">
        <v>186</v>
      </c>
      <c r="C34" s="293"/>
      <c r="D34" s="293"/>
      <c r="E34" s="311">
        <f t="shared" si="0"/>
        <v>0</v>
      </c>
    </row>
    <row r="35" spans="1:5" ht="12.75">
      <c r="A35" s="80" t="s">
        <v>450</v>
      </c>
      <c r="C35" s="293">
        <v>0</v>
      </c>
      <c r="D35" s="293"/>
      <c r="E35" s="311">
        <f t="shared" si="0"/>
        <v>0</v>
      </c>
    </row>
    <row r="36" spans="1:5" ht="12.75">
      <c r="A36" s="66" t="s">
        <v>433</v>
      </c>
      <c r="C36" s="293">
        <v>60771</v>
      </c>
      <c r="D36" s="293"/>
      <c r="E36" s="311">
        <f t="shared" si="0"/>
        <v>60771</v>
      </c>
    </row>
    <row r="37" spans="1:5" ht="12.75">
      <c r="A37" s="66" t="s">
        <v>434</v>
      </c>
      <c r="C37" s="293"/>
      <c r="D37" s="293"/>
      <c r="E37" s="311">
        <f t="shared" si="0"/>
        <v>0</v>
      </c>
    </row>
    <row r="38" spans="1:5" ht="12.75">
      <c r="A38" s="66" t="s">
        <v>456</v>
      </c>
      <c r="C38" s="293"/>
      <c r="D38" s="293"/>
      <c r="E38" s="311">
        <f t="shared" si="0"/>
        <v>0</v>
      </c>
    </row>
    <row r="39" spans="2:5" ht="12.75">
      <c r="B39" t="s">
        <v>186</v>
      </c>
      <c r="C39" s="293"/>
      <c r="D39" s="293"/>
      <c r="E39" s="311">
        <f t="shared" si="0"/>
        <v>0</v>
      </c>
    </row>
    <row r="40" spans="1:5" ht="12.75">
      <c r="A40" s="80" t="s">
        <v>391</v>
      </c>
      <c r="B40" t="s">
        <v>186</v>
      </c>
      <c r="C40" s="293"/>
      <c r="D40" s="293"/>
      <c r="E40" s="311">
        <f t="shared" si="0"/>
        <v>0</v>
      </c>
    </row>
    <row r="41" spans="1:5" ht="12.75">
      <c r="A41" s="80" t="s">
        <v>385</v>
      </c>
      <c r="B41" t="s">
        <v>186</v>
      </c>
      <c r="C41" s="293">
        <v>0</v>
      </c>
      <c r="D41" s="293"/>
      <c r="E41" s="311">
        <f t="shared" si="0"/>
        <v>0</v>
      </c>
    </row>
    <row r="42" spans="2:5" ht="12.75">
      <c r="B42" t="s">
        <v>186</v>
      </c>
      <c r="C42" s="293"/>
      <c r="D42" s="293"/>
      <c r="E42" s="311">
        <f t="shared" si="0"/>
        <v>0</v>
      </c>
    </row>
    <row r="43" spans="1:5" ht="12.75">
      <c r="A43" s="67" t="s">
        <v>203</v>
      </c>
      <c r="B43" t="s">
        <v>186</v>
      </c>
      <c r="C43" s="293"/>
      <c r="D43" s="293"/>
      <c r="E43" s="311">
        <f t="shared" si="0"/>
        <v>0</v>
      </c>
    </row>
    <row r="44" spans="1:5" ht="12.75">
      <c r="A44" t="s">
        <v>492</v>
      </c>
      <c r="B44" t="s">
        <v>186</v>
      </c>
      <c r="C44" s="292"/>
      <c r="D44" s="292"/>
      <c r="E44" s="250">
        <f t="shared" si="0"/>
        <v>0</v>
      </c>
    </row>
    <row r="45" spans="2:5" ht="12.75">
      <c r="B45" t="s">
        <v>186</v>
      </c>
      <c r="C45" s="292"/>
      <c r="D45" s="292"/>
      <c r="E45" s="250">
        <f t="shared" si="0"/>
        <v>0</v>
      </c>
    </row>
    <row r="46" spans="1:5" ht="12.75">
      <c r="A46" s="66"/>
      <c r="B46" t="s">
        <v>186</v>
      </c>
      <c r="C46" s="292"/>
      <c r="D46" s="292"/>
      <c r="E46" s="277"/>
    </row>
    <row r="47" spans="1:5" ht="12.75">
      <c r="A47" s="442" t="s">
        <v>395</v>
      </c>
      <c r="B47" t="s">
        <v>188</v>
      </c>
      <c r="C47" s="250">
        <f>SUM(C19:C46)</f>
        <v>60771</v>
      </c>
      <c r="D47" s="250">
        <f>SUM(D19:D46)</f>
        <v>0</v>
      </c>
      <c r="E47" s="250">
        <f>SUM(E19:E46)</f>
        <v>60771</v>
      </c>
    </row>
    <row r="48" ht="12.75">
      <c r="A48" s="66"/>
    </row>
    <row r="49" ht="12.75">
      <c r="A49" s="80" t="s">
        <v>144</v>
      </c>
    </row>
    <row r="51" spans="1:5" ht="12.75">
      <c r="A51" s="70" t="s">
        <v>386</v>
      </c>
      <c r="B51" s="8" t="s">
        <v>187</v>
      </c>
      <c r="C51" s="292"/>
      <c r="D51" s="292"/>
      <c r="E51" s="250">
        <f aca="true" t="shared" si="1" ref="E51:E61">C51-D51</f>
        <v>0</v>
      </c>
    </row>
    <row r="52" spans="1:5" ht="12.75">
      <c r="A52" s="66" t="s">
        <v>452</v>
      </c>
      <c r="B52" s="8" t="s">
        <v>187</v>
      </c>
      <c r="C52" s="292"/>
      <c r="D52" s="292"/>
      <c r="E52" s="250">
        <f t="shared" si="1"/>
        <v>0</v>
      </c>
    </row>
    <row r="53" spans="1:5" ht="12.75">
      <c r="A53" t="s">
        <v>387</v>
      </c>
      <c r="B53" s="8" t="s">
        <v>187</v>
      </c>
      <c r="C53" s="292"/>
      <c r="D53" s="292"/>
      <c r="E53" s="250">
        <f t="shared" si="1"/>
        <v>0</v>
      </c>
    </row>
    <row r="54" spans="1:5" ht="12.75">
      <c r="A54" t="s">
        <v>435</v>
      </c>
      <c r="B54" s="8" t="s">
        <v>187</v>
      </c>
      <c r="C54" s="292"/>
      <c r="D54" s="292"/>
      <c r="E54" s="250">
        <f t="shared" si="1"/>
        <v>0</v>
      </c>
    </row>
    <row r="55" spans="1:5" ht="12.75">
      <c r="A55" s="66" t="s">
        <v>443</v>
      </c>
      <c r="B55" s="8" t="s">
        <v>187</v>
      </c>
      <c r="C55" s="292"/>
      <c r="D55" s="292"/>
      <c r="E55" s="250">
        <f t="shared" si="1"/>
        <v>0</v>
      </c>
    </row>
    <row r="56" spans="1:5" ht="12.75">
      <c r="A56" s="66" t="s">
        <v>455</v>
      </c>
      <c r="B56" s="8" t="s">
        <v>187</v>
      </c>
      <c r="C56" s="292"/>
      <c r="D56" s="292"/>
      <c r="E56" s="250">
        <f t="shared" si="1"/>
        <v>0</v>
      </c>
    </row>
    <row r="57" spans="1:5" ht="12.75">
      <c r="A57" s="2" t="s">
        <v>451</v>
      </c>
      <c r="B57" s="8" t="s">
        <v>187</v>
      </c>
      <c r="C57" s="292">
        <v>0</v>
      </c>
      <c r="D57" s="292"/>
      <c r="E57" s="250">
        <f t="shared" si="1"/>
        <v>0</v>
      </c>
    </row>
    <row r="58" spans="1:5" ht="12.75">
      <c r="A58" s="66" t="s">
        <v>454</v>
      </c>
      <c r="B58" s="8" t="s">
        <v>187</v>
      </c>
      <c r="C58" s="292"/>
      <c r="D58" s="292"/>
      <c r="E58" s="250">
        <f t="shared" si="1"/>
        <v>0</v>
      </c>
    </row>
    <row r="59" spans="1:5" ht="12.75">
      <c r="A59" s="66"/>
      <c r="B59" s="8" t="s">
        <v>187</v>
      </c>
      <c r="C59" s="292"/>
      <c r="D59" s="292"/>
      <c r="E59" s="250">
        <f t="shared" si="1"/>
        <v>0</v>
      </c>
    </row>
    <row r="60" spans="2:5" ht="12.75">
      <c r="B60" s="8" t="s">
        <v>187</v>
      </c>
      <c r="C60" s="292"/>
      <c r="D60" s="292"/>
      <c r="E60" s="250">
        <f t="shared" si="1"/>
        <v>0</v>
      </c>
    </row>
    <row r="61" spans="2:5" ht="12.75">
      <c r="B61" s="8" t="s">
        <v>187</v>
      </c>
      <c r="C61" s="292"/>
      <c r="D61" s="292"/>
      <c r="E61" s="250">
        <f t="shared" si="1"/>
        <v>0</v>
      </c>
    </row>
    <row r="62" spans="2:5" ht="12.75">
      <c r="B62" s="8" t="s">
        <v>187</v>
      </c>
      <c r="C62" s="292"/>
      <c r="D62" s="292"/>
      <c r="E62" s="250">
        <f aca="true" t="shared" si="2" ref="E62:E72">C62-D62</f>
        <v>0</v>
      </c>
    </row>
    <row r="63" spans="2:5" ht="12.75">
      <c r="B63" s="8" t="s">
        <v>187</v>
      </c>
      <c r="C63" s="292"/>
      <c r="D63" s="292"/>
      <c r="E63" s="250">
        <f t="shared" si="2"/>
        <v>0</v>
      </c>
    </row>
    <row r="64" spans="1:5" ht="12.75">
      <c r="A64" s="461" t="s">
        <v>392</v>
      </c>
      <c r="B64" s="8" t="s">
        <v>187</v>
      </c>
      <c r="C64" s="292"/>
      <c r="D64" s="292"/>
      <c r="E64" s="250">
        <f t="shared" si="2"/>
        <v>0</v>
      </c>
    </row>
    <row r="65" spans="2:5" ht="12.75">
      <c r="B65" s="8" t="s">
        <v>187</v>
      </c>
      <c r="C65" s="292"/>
      <c r="D65" s="292"/>
      <c r="E65" s="250">
        <f t="shared" si="2"/>
        <v>0</v>
      </c>
    </row>
    <row r="66" spans="1:5" ht="12.75">
      <c r="A66" s="461" t="s">
        <v>385</v>
      </c>
      <c r="B66" s="8" t="s">
        <v>187</v>
      </c>
      <c r="C66" s="292"/>
      <c r="D66" s="292"/>
      <c r="E66" s="250">
        <f t="shared" si="2"/>
        <v>0</v>
      </c>
    </row>
    <row r="67" spans="1:5" ht="12.75">
      <c r="A67" s="66"/>
      <c r="B67" s="8" t="s">
        <v>187</v>
      </c>
      <c r="C67" s="292"/>
      <c r="D67" s="292"/>
      <c r="E67" s="250">
        <f t="shared" si="2"/>
        <v>0</v>
      </c>
    </row>
    <row r="68" spans="1:5" ht="12.75">
      <c r="A68" s="67" t="s">
        <v>204</v>
      </c>
      <c r="B68" s="8" t="s">
        <v>187</v>
      </c>
      <c r="C68" s="292"/>
      <c r="D68" s="292"/>
      <c r="E68" s="250">
        <f t="shared" si="2"/>
        <v>0</v>
      </c>
    </row>
    <row r="69" spans="1:5" ht="12.75">
      <c r="A69" s="66"/>
      <c r="B69" s="8" t="s">
        <v>187</v>
      </c>
      <c r="C69" s="292"/>
      <c r="D69" s="292"/>
      <c r="E69" s="250">
        <f t="shared" si="2"/>
        <v>0</v>
      </c>
    </row>
    <row r="70" spans="1:5" ht="12.75">
      <c r="A70" s="66"/>
      <c r="B70" s="8" t="s">
        <v>187</v>
      </c>
      <c r="C70" s="292"/>
      <c r="D70" s="292"/>
      <c r="E70" s="250">
        <f t="shared" si="2"/>
        <v>0</v>
      </c>
    </row>
    <row r="71" spans="1:5" ht="12.75">
      <c r="A71" s="66"/>
      <c r="B71" s="8" t="s">
        <v>187</v>
      </c>
      <c r="C71" s="292"/>
      <c r="D71" s="292"/>
      <c r="E71" s="250">
        <f t="shared" si="2"/>
        <v>0</v>
      </c>
    </row>
    <row r="72" spans="1:5" ht="12.75">
      <c r="A72" s="66"/>
      <c r="B72" s="8" t="s">
        <v>187</v>
      </c>
      <c r="C72" s="292"/>
      <c r="D72" s="292"/>
      <c r="E72" s="277">
        <f t="shared" si="2"/>
        <v>0</v>
      </c>
    </row>
    <row r="73" spans="1:5" ht="12.75">
      <c r="A73" s="441" t="s">
        <v>394</v>
      </c>
      <c r="B73" s="8" t="s">
        <v>188</v>
      </c>
      <c r="C73" s="250">
        <f>SUM(C51:C72)</f>
        <v>0</v>
      </c>
      <c r="D73" s="250">
        <f>SUM(D51:D72)</f>
        <v>0</v>
      </c>
      <c r="E73" s="250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68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98"/>
  <sheetViews>
    <sheetView zoomScale="75" zoomScaleNormal="75" zoomScalePageLayoutView="0" workbookViewId="0" topLeftCell="A34">
      <selection activeCell="C58" sqref="C58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77" t="str">
        <f>REGINFO!A1</f>
        <v>PILs TAXES - EB-2011-0167</v>
      </c>
      <c r="B1" s="378"/>
      <c r="C1" s="341"/>
      <c r="D1" s="341"/>
      <c r="E1" s="341"/>
      <c r="F1" s="341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2" t="s">
        <v>107</v>
      </c>
      <c r="B2" s="341"/>
      <c r="C2" s="341"/>
      <c r="D2" s="341"/>
      <c r="E2" s="341"/>
      <c r="F2" s="343" t="str">
        <f>REGINFO!E1</f>
        <v>Version 2009.1</v>
      </c>
      <c r="G2" s="188"/>
      <c r="H2" s="188"/>
      <c r="I2" s="188"/>
      <c r="J2" s="188"/>
      <c r="K2" s="238"/>
      <c r="L2" s="188"/>
      <c r="M2" s="188"/>
      <c r="N2" s="188"/>
      <c r="O2" s="188"/>
      <c r="P2" s="188"/>
      <c r="Q2" s="34"/>
      <c r="R2" s="34"/>
    </row>
    <row r="3" spans="1:18" ht="12.75">
      <c r="A3" s="342" t="s">
        <v>305</v>
      </c>
      <c r="B3" s="341"/>
      <c r="C3" s="341"/>
      <c r="D3" s="341"/>
      <c r="E3" s="341"/>
      <c r="F3" s="343"/>
      <c r="G3" s="188"/>
      <c r="H3" s="188"/>
      <c r="I3" s="188"/>
      <c r="J3" s="188"/>
      <c r="K3" s="238"/>
      <c r="L3" s="188"/>
      <c r="M3" s="188"/>
      <c r="N3" s="188"/>
      <c r="O3" s="188"/>
      <c r="P3" s="188"/>
      <c r="Q3" s="34"/>
      <c r="R3" s="34"/>
    </row>
    <row r="4" spans="1:18" ht="12.75">
      <c r="A4" s="238" t="str">
        <f>REGINFO!A3</f>
        <v>Utility Name: Festival Hydro Inc.</v>
      </c>
      <c r="B4" s="341"/>
      <c r="C4" s="341"/>
      <c r="D4" s="341"/>
      <c r="E4" s="341"/>
      <c r="F4" s="341"/>
      <c r="G4" s="188"/>
      <c r="H4" s="188"/>
      <c r="I4" s="188"/>
      <c r="J4" s="188"/>
      <c r="K4" s="238"/>
      <c r="L4" s="188"/>
      <c r="M4" s="188"/>
      <c r="N4" s="188"/>
      <c r="O4" s="188"/>
      <c r="P4" s="188"/>
      <c r="Q4" s="34"/>
      <c r="R4" s="34"/>
    </row>
    <row r="5" spans="1:18" ht="12.75">
      <c r="A5" s="238" t="str">
        <f>REGINFO!A4</f>
        <v>Reporting period:  2003</v>
      </c>
      <c r="B5" s="341"/>
      <c r="C5" s="341"/>
      <c r="D5" s="341"/>
      <c r="E5" s="341"/>
      <c r="F5" s="341"/>
      <c r="G5" s="188"/>
      <c r="H5" s="188"/>
      <c r="I5" s="188"/>
      <c r="J5" s="188"/>
      <c r="K5" s="238"/>
      <c r="L5" s="188"/>
      <c r="M5" s="188"/>
      <c r="N5" s="188"/>
      <c r="O5" s="188"/>
      <c r="P5" s="188"/>
      <c r="Q5" s="34"/>
      <c r="R5" s="34"/>
    </row>
    <row r="6" spans="1:18" ht="12.75">
      <c r="A6" s="342"/>
      <c r="B6" s="341"/>
      <c r="C6" s="341"/>
      <c r="D6" s="341"/>
      <c r="E6" s="341"/>
      <c r="F6" s="341"/>
      <c r="G6" s="188"/>
      <c r="H6" s="188"/>
      <c r="I6" s="188"/>
      <c r="J6" s="188"/>
      <c r="K6" s="238"/>
      <c r="L6" s="188"/>
      <c r="M6" s="188"/>
      <c r="N6" s="188"/>
      <c r="O6" s="188"/>
      <c r="P6" s="188"/>
      <c r="Q6" s="34"/>
      <c r="R6" s="34"/>
    </row>
    <row r="7" spans="1:18" ht="12.75">
      <c r="A7" s="342"/>
      <c r="B7" s="341"/>
      <c r="C7" s="341"/>
      <c r="D7" s="341"/>
      <c r="E7" s="341"/>
      <c r="F7" s="403" t="s">
        <v>335</v>
      </c>
      <c r="G7" s="188"/>
      <c r="H7" s="188"/>
      <c r="I7" s="188"/>
      <c r="J7" s="188"/>
      <c r="K7" s="238"/>
      <c r="L7" s="188"/>
      <c r="M7" s="188"/>
      <c r="N7" s="188"/>
      <c r="O7" s="188"/>
      <c r="P7" s="188"/>
      <c r="Q7" s="34"/>
      <c r="R7" s="34"/>
    </row>
    <row r="8" spans="1:18" ht="13.5" thickBot="1">
      <c r="A8" s="517" t="s">
        <v>482</v>
      </c>
      <c r="B8" s="518"/>
      <c r="C8" s="518"/>
      <c r="D8" s="518"/>
      <c r="E8" s="341"/>
      <c r="F8" s="375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9" t="s">
        <v>112</v>
      </c>
      <c r="B9" s="324"/>
      <c r="C9" s="369">
        <v>0</v>
      </c>
      <c r="D9" s="369"/>
      <c r="E9" s="369">
        <v>200001</v>
      </c>
      <c r="F9" s="49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20" t="s">
        <v>466</v>
      </c>
      <c r="B10" s="325"/>
      <c r="C10" s="370" t="s">
        <v>111</v>
      </c>
      <c r="D10" s="370"/>
      <c r="E10" s="370" t="s">
        <v>111</v>
      </c>
      <c r="F10" s="493" t="s">
        <v>487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20"/>
      <c r="B11" s="325" t="s">
        <v>116</v>
      </c>
      <c r="C11" s="371">
        <v>200000</v>
      </c>
      <c r="D11" s="371"/>
      <c r="E11" s="371">
        <v>700000</v>
      </c>
      <c r="F11" s="494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1" t="s">
        <v>108</v>
      </c>
      <c r="B12" s="234"/>
      <c r="C12" s="235"/>
      <c r="D12" s="235"/>
      <c r="E12" s="241"/>
      <c r="F12" s="241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2" t="s">
        <v>298</v>
      </c>
      <c r="B13" s="402">
        <v>2002</v>
      </c>
      <c r="C13" s="236"/>
      <c r="D13" s="236"/>
      <c r="E13" s="242"/>
      <c r="F13" s="242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2" t="s">
        <v>297</v>
      </c>
      <c r="B14" s="244"/>
      <c r="C14" s="326">
        <v>0.1312</v>
      </c>
      <c r="D14" s="326"/>
      <c r="E14" s="327">
        <v>0.2612</v>
      </c>
      <c r="F14" s="327">
        <v>0.2612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2" t="s">
        <v>302</v>
      </c>
      <c r="B15" s="244"/>
      <c r="C15" s="328">
        <v>0.06</v>
      </c>
      <c r="D15" s="328"/>
      <c r="E15" s="329">
        <v>0.06</v>
      </c>
      <c r="F15" s="329">
        <v>0.125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2" t="s">
        <v>258</v>
      </c>
      <c r="B16" s="244"/>
      <c r="C16" s="330">
        <f>SUM(C14:C15)</f>
        <v>0.1912</v>
      </c>
      <c r="D16" s="330"/>
      <c r="E16" s="331">
        <v>0.3412</v>
      </c>
      <c r="F16" s="331">
        <f>SUM(F14:F15)</f>
        <v>0.3862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2"/>
      <c r="B17" s="244"/>
      <c r="C17" s="326"/>
      <c r="D17" s="326"/>
      <c r="E17" s="327"/>
      <c r="F17" s="327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1" t="s">
        <v>109</v>
      </c>
      <c r="B18" s="243"/>
      <c r="C18" s="332">
        <v>0.003</v>
      </c>
      <c r="D18" s="326"/>
      <c r="E18" s="327"/>
      <c r="F18" s="327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1" t="s">
        <v>110</v>
      </c>
      <c r="B19" s="237"/>
      <c r="C19" s="333">
        <v>0.00225</v>
      </c>
      <c r="D19" s="334"/>
      <c r="E19" s="335"/>
      <c r="F19" s="335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1" t="s">
        <v>113</v>
      </c>
      <c r="B20" s="237"/>
      <c r="C20" s="334">
        <v>0.0112</v>
      </c>
      <c r="D20" s="336"/>
      <c r="E20" s="337"/>
      <c r="F20" s="337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3" t="s">
        <v>330</v>
      </c>
      <c r="B21" s="399" t="s">
        <v>471</v>
      </c>
      <c r="C21" s="360">
        <v>5000000</v>
      </c>
      <c r="D21" s="336"/>
      <c r="E21" s="337"/>
      <c r="F21" s="337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3" t="s">
        <v>331</v>
      </c>
      <c r="B22" s="400" t="s">
        <v>472</v>
      </c>
      <c r="C22" s="361">
        <v>10000000</v>
      </c>
      <c r="D22" s="338"/>
      <c r="E22" s="339"/>
      <c r="F22" s="339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11" t="s">
        <v>491</v>
      </c>
      <c r="B23" s="512"/>
      <c r="C23" s="512"/>
      <c r="D23" s="512"/>
      <c r="E23" s="512"/>
      <c r="F23" s="512"/>
      <c r="G23" s="431"/>
      <c r="H23" s="413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4"/>
      <c r="B24" s="405"/>
      <c r="C24" s="405"/>
      <c r="D24" s="405"/>
      <c r="E24" s="405"/>
      <c r="F24" s="405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2"/>
      <c r="B25" s="373"/>
      <c r="C25" s="376"/>
      <c r="D25" s="341"/>
      <c r="E25" s="341"/>
      <c r="F25" s="403" t="s">
        <v>336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9" t="s">
        <v>483</v>
      </c>
      <c r="B26" s="520"/>
      <c r="C26" s="520"/>
      <c r="D26" s="520"/>
      <c r="E26" s="520"/>
      <c r="F26" s="520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9" t="s">
        <v>112</v>
      </c>
      <c r="B27" s="324"/>
      <c r="C27" s="366">
        <v>0</v>
      </c>
      <c r="D27" s="366"/>
      <c r="E27" s="366">
        <v>200001</v>
      </c>
      <c r="F27" s="492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20" t="s">
        <v>439</v>
      </c>
      <c r="B28" s="325"/>
      <c r="C28" s="367" t="s">
        <v>111</v>
      </c>
      <c r="D28" s="367"/>
      <c r="E28" s="367" t="s">
        <v>111</v>
      </c>
      <c r="F28" s="493" t="s">
        <v>487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20"/>
      <c r="B29" s="325" t="s">
        <v>116</v>
      </c>
      <c r="C29" s="368">
        <v>200000</v>
      </c>
      <c r="D29" s="368"/>
      <c r="E29" s="368">
        <v>700000</v>
      </c>
      <c r="F29" s="494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1" t="s">
        <v>108</v>
      </c>
      <c r="B30" s="234"/>
      <c r="C30" s="235"/>
      <c r="D30" s="235"/>
      <c r="E30" s="241"/>
      <c r="F30" s="241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2" t="s">
        <v>115</v>
      </c>
      <c r="B31" s="402">
        <v>2003</v>
      </c>
      <c r="C31" s="236"/>
      <c r="D31" s="236"/>
      <c r="E31" s="242"/>
      <c r="F31" s="242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2" t="s">
        <v>297</v>
      </c>
      <c r="B32" s="402">
        <v>2003</v>
      </c>
      <c r="C32" s="326">
        <v>0.1312</v>
      </c>
      <c r="D32" s="326"/>
      <c r="E32" s="327"/>
      <c r="F32" s="327">
        <v>0.2412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2" t="s">
        <v>29</v>
      </c>
      <c r="B33" s="402">
        <v>2003</v>
      </c>
      <c r="C33" s="328">
        <v>0.06</v>
      </c>
      <c r="D33" s="328"/>
      <c r="E33" s="329"/>
      <c r="F33" s="329">
        <v>0.125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2" t="s">
        <v>258</v>
      </c>
      <c r="B34" s="402">
        <v>2003</v>
      </c>
      <c r="C34" s="330">
        <f>SUM(C32:C33)</f>
        <v>0.1912</v>
      </c>
      <c r="D34" s="330"/>
      <c r="E34" s="331">
        <v>0.3412</v>
      </c>
      <c r="F34" s="331">
        <f>SUM(F32:F33)</f>
        <v>0.36619999999999997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2"/>
      <c r="B35" s="244"/>
      <c r="C35" s="326"/>
      <c r="D35" s="326"/>
      <c r="E35" s="327"/>
      <c r="F35" s="327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1" t="s">
        <v>109</v>
      </c>
      <c r="B36" s="402">
        <v>2003</v>
      </c>
      <c r="C36" s="332">
        <v>0.003</v>
      </c>
      <c r="D36" s="326"/>
      <c r="E36" s="327"/>
      <c r="F36" s="327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1" t="s">
        <v>110</v>
      </c>
      <c r="B37" s="402">
        <v>2003</v>
      </c>
      <c r="C37" s="333">
        <v>0.00225</v>
      </c>
      <c r="D37" s="334"/>
      <c r="E37" s="335"/>
      <c r="F37" s="335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1" t="s">
        <v>113</v>
      </c>
      <c r="B38" s="402">
        <v>2003</v>
      </c>
      <c r="C38" s="334">
        <v>0.0112</v>
      </c>
      <c r="D38" s="336"/>
      <c r="E38" s="337"/>
      <c r="F38" s="337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3" t="s">
        <v>484</v>
      </c>
      <c r="B39" s="399" t="s">
        <v>471</v>
      </c>
      <c r="C39" s="360">
        <v>5000000</v>
      </c>
      <c r="D39" s="336"/>
      <c r="E39" s="337"/>
      <c r="F39" s="337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3" t="s">
        <v>485</v>
      </c>
      <c r="B40" s="400" t="s">
        <v>472</v>
      </c>
      <c r="C40" s="361">
        <v>10000000</v>
      </c>
      <c r="D40" s="338"/>
      <c r="E40" s="339"/>
      <c r="F40" s="339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3" t="s">
        <v>333</v>
      </c>
      <c r="B41" s="512"/>
      <c r="C41" s="512"/>
      <c r="D41" s="512"/>
      <c r="E41" s="512"/>
      <c r="F41" s="512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4"/>
      <c r="B42" s="514"/>
      <c r="C42" s="514"/>
      <c r="D42" s="514"/>
      <c r="E42" s="514"/>
      <c r="F42" s="514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2"/>
      <c r="B43" s="373"/>
      <c r="C43" s="374"/>
      <c r="D43" s="373"/>
      <c r="E43" s="373"/>
      <c r="F43" s="403" t="s">
        <v>337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1" t="s">
        <v>486</v>
      </c>
      <c r="B44" s="364"/>
      <c r="C44" s="365"/>
      <c r="D44" s="364"/>
      <c r="E44" s="341"/>
      <c r="F44" s="375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9" t="s">
        <v>112</v>
      </c>
      <c r="B45" s="324"/>
      <c r="C45" s="366">
        <v>0</v>
      </c>
      <c r="D45" s="366"/>
      <c r="E45" s="366">
        <v>200001</v>
      </c>
      <c r="F45" s="492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20"/>
      <c r="B46" s="325"/>
      <c r="C46" s="367" t="s">
        <v>111</v>
      </c>
      <c r="D46" s="367"/>
      <c r="E46" s="367" t="s">
        <v>111</v>
      </c>
      <c r="F46" s="493" t="s">
        <v>470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20"/>
      <c r="B47" s="340" t="s">
        <v>116</v>
      </c>
      <c r="C47" s="368">
        <v>200000</v>
      </c>
      <c r="D47" s="368"/>
      <c r="E47" s="368">
        <v>700000</v>
      </c>
      <c r="F47" s="494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1" t="s">
        <v>108</v>
      </c>
      <c r="B48" s="234"/>
      <c r="C48" s="235"/>
      <c r="D48" s="235"/>
      <c r="E48" s="241"/>
      <c r="F48" s="241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2" t="s">
        <v>115</v>
      </c>
      <c r="B49" s="402">
        <v>2003</v>
      </c>
      <c r="C49" s="236"/>
      <c r="D49" s="236"/>
      <c r="E49" s="242"/>
      <c r="F49" s="242"/>
      <c r="G49" s="193"/>
      <c r="H49" s="506"/>
      <c r="I49" s="507"/>
      <c r="J49" s="193"/>
      <c r="K49" s="187"/>
      <c r="L49" s="188"/>
      <c r="M49" s="188"/>
      <c r="N49" s="188"/>
      <c r="O49" s="188"/>
      <c r="P49" s="188"/>
    </row>
    <row r="50" spans="1:16" ht="13.5" thickBot="1">
      <c r="A50" s="322" t="s">
        <v>297</v>
      </c>
      <c r="B50" s="244"/>
      <c r="C50" s="350">
        <v>0.131</v>
      </c>
      <c r="D50" s="350"/>
      <c r="E50" s="351">
        <v>0</v>
      </c>
      <c r="F50" s="351">
        <v>0.241</v>
      </c>
      <c r="G50" s="193"/>
      <c r="H50" s="508"/>
      <c r="I50" s="508"/>
      <c r="J50" s="193"/>
      <c r="K50" s="187"/>
      <c r="L50" s="188"/>
      <c r="M50" s="188"/>
      <c r="N50" s="188"/>
      <c r="O50" s="188"/>
      <c r="P50" s="188"/>
    </row>
    <row r="51" spans="1:16" ht="13.5" thickBot="1">
      <c r="A51" s="322" t="s">
        <v>29</v>
      </c>
      <c r="B51" s="244"/>
      <c r="C51" s="352">
        <v>0.06</v>
      </c>
      <c r="D51" s="352"/>
      <c r="E51" s="353">
        <v>0</v>
      </c>
      <c r="F51" s="353">
        <v>0.125</v>
      </c>
      <c r="G51" s="193"/>
      <c r="H51" s="508"/>
      <c r="I51" s="508"/>
      <c r="J51" s="193"/>
      <c r="K51" s="491"/>
      <c r="L51" s="188"/>
      <c r="M51" s="188"/>
      <c r="N51" s="188"/>
      <c r="O51" s="188"/>
      <c r="P51" s="188"/>
    </row>
    <row r="52" spans="1:16" ht="13.5" thickBot="1">
      <c r="A52" s="322" t="s">
        <v>258</v>
      </c>
      <c r="B52" s="244"/>
      <c r="C52" s="330">
        <f>SUM(C50:C51)</f>
        <v>0.191</v>
      </c>
      <c r="D52" s="330"/>
      <c r="E52" s="331">
        <f>SUM(E50:E51)</f>
        <v>0</v>
      </c>
      <c r="F52" s="331">
        <f>SUM(F50:F51)</f>
        <v>0.366</v>
      </c>
      <c r="G52" s="193"/>
      <c r="H52" s="508"/>
      <c r="I52" s="508"/>
      <c r="J52" s="193"/>
      <c r="K52" s="187"/>
      <c r="L52" s="188"/>
      <c r="M52" s="188"/>
      <c r="N52" s="188"/>
      <c r="O52" s="188"/>
      <c r="P52" s="188"/>
    </row>
    <row r="53" spans="1:16" ht="13.5" thickBot="1">
      <c r="A53" s="322"/>
      <c r="B53" s="244"/>
      <c r="C53" s="350"/>
      <c r="D53" s="350"/>
      <c r="E53" s="351"/>
      <c r="F53" s="351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1" t="s">
        <v>109</v>
      </c>
      <c r="B54" s="243"/>
      <c r="C54" s="354">
        <v>0.003</v>
      </c>
      <c r="D54" s="350"/>
      <c r="E54" s="351"/>
      <c r="F54" s="351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1" t="s">
        <v>110</v>
      </c>
      <c r="B55" s="237"/>
      <c r="C55" s="355">
        <v>0.00225</v>
      </c>
      <c r="D55" s="356"/>
      <c r="E55" s="357"/>
      <c r="F55" s="357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1" t="s">
        <v>113</v>
      </c>
      <c r="B56" s="237"/>
      <c r="C56" s="356">
        <v>0.0112</v>
      </c>
      <c r="D56" s="358"/>
      <c r="E56" s="359"/>
      <c r="F56" s="359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3" t="s">
        <v>347</v>
      </c>
      <c r="B57" s="399" t="s">
        <v>471</v>
      </c>
      <c r="C57" s="360">
        <v>4851805</v>
      </c>
      <c r="D57" s="358"/>
      <c r="E57" s="359"/>
      <c r="F57" s="359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3" t="s">
        <v>348</v>
      </c>
      <c r="B58" s="400" t="s">
        <v>472</v>
      </c>
      <c r="C58" s="361">
        <v>9062500</v>
      </c>
      <c r="D58" s="362"/>
      <c r="E58" s="363"/>
      <c r="F58" s="363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11" t="s">
        <v>349</v>
      </c>
      <c r="B59" s="515"/>
      <c r="C59" s="515"/>
      <c r="D59" s="515"/>
      <c r="E59" s="515"/>
      <c r="F59" s="515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6"/>
      <c r="B60" s="516"/>
      <c r="C60" s="516"/>
      <c r="D60" s="516"/>
      <c r="E60" s="516"/>
      <c r="F60" s="516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2"/>
      <c r="B61" s="343"/>
      <c r="C61" s="343"/>
      <c r="D61" s="343"/>
      <c r="E61" s="343"/>
      <c r="F61" s="345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2"/>
      <c r="B62" s="343"/>
      <c r="C62" s="344"/>
      <c r="D62" s="344"/>
      <c r="E62" s="344"/>
      <c r="F62" s="346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2"/>
      <c r="B63" s="341"/>
      <c r="C63" s="341"/>
      <c r="D63" s="341"/>
      <c r="E63" s="341"/>
      <c r="F63" s="341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7"/>
      <c r="B64" s="348"/>
      <c r="C64" s="349"/>
      <c r="D64" s="349"/>
      <c r="E64" s="349"/>
      <c r="F64" s="349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9"/>
      <c r="C66" s="239"/>
      <c r="D66" s="239"/>
      <c r="E66" s="239"/>
      <c r="F66" s="239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9"/>
      <c r="C67" s="239"/>
      <c r="D67" s="239"/>
      <c r="E67" s="239"/>
      <c r="F67" s="239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9"/>
      <c r="C68" s="239"/>
      <c r="D68" s="239"/>
      <c r="E68" s="239"/>
      <c r="F68" s="239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9"/>
      <c r="C69" s="239"/>
      <c r="D69" s="239"/>
      <c r="E69" s="239"/>
      <c r="F69" s="239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9"/>
      <c r="C70" s="239"/>
      <c r="D70" s="239"/>
      <c r="E70" s="239"/>
      <c r="F70" s="239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9"/>
      <c r="C71" s="239"/>
      <c r="D71" s="239"/>
      <c r="E71" s="239"/>
      <c r="F71" s="239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9"/>
      <c r="C72" s="239"/>
      <c r="D72" s="239"/>
      <c r="E72" s="239"/>
      <c r="F72" s="239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9"/>
      <c r="C73" s="239"/>
      <c r="D73" s="239"/>
      <c r="E73" s="239"/>
      <c r="F73" s="239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9"/>
      <c r="C74" s="239"/>
      <c r="D74" s="239"/>
      <c r="E74" s="239"/>
      <c r="F74" s="239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9"/>
      <c r="C75" s="239"/>
      <c r="D75" s="239"/>
      <c r="E75" s="239"/>
      <c r="F75" s="239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9"/>
      <c r="C76" s="239"/>
      <c r="D76" s="239"/>
      <c r="E76" s="239"/>
      <c r="F76" s="239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9"/>
      <c r="C77" s="239"/>
      <c r="D77" s="239"/>
      <c r="E77" s="239"/>
      <c r="F77" s="239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9"/>
      <c r="C78" s="239"/>
      <c r="D78" s="239"/>
      <c r="E78" s="239"/>
      <c r="F78" s="239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9"/>
      <c r="C79" s="239"/>
      <c r="D79" s="239"/>
      <c r="E79" s="239"/>
      <c r="F79" s="239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9"/>
      <c r="C80" s="239"/>
      <c r="D80" s="239"/>
      <c r="E80" s="239"/>
      <c r="F80" s="239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9"/>
      <c r="C81" s="239"/>
      <c r="D81" s="239"/>
      <c r="E81" s="239"/>
      <c r="F81" s="239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9"/>
      <c r="C82" s="239"/>
      <c r="D82" s="239"/>
      <c r="E82" s="239"/>
      <c r="F82" s="239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9"/>
      <c r="C83" s="239"/>
      <c r="D83" s="239"/>
      <c r="E83" s="239"/>
      <c r="F83" s="239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9"/>
      <c r="C84" s="239"/>
      <c r="D84" s="239"/>
      <c r="E84" s="239"/>
      <c r="F84" s="239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9"/>
      <c r="C85" s="239"/>
      <c r="D85" s="239"/>
      <c r="E85" s="239"/>
      <c r="F85" s="239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9"/>
      <c r="C86" s="239"/>
      <c r="D86" s="239"/>
      <c r="E86" s="239"/>
      <c r="F86" s="239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9"/>
      <c r="C87" s="239"/>
      <c r="D87" s="239"/>
      <c r="E87" s="239"/>
      <c r="F87" s="239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9"/>
      <c r="C88" s="239"/>
      <c r="D88" s="239"/>
      <c r="E88" s="239"/>
      <c r="F88" s="239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9"/>
      <c r="C89" s="239"/>
      <c r="D89" s="239"/>
      <c r="E89" s="239"/>
      <c r="F89" s="239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9"/>
      <c r="C90" s="239"/>
      <c r="D90" s="239"/>
      <c r="E90" s="239"/>
      <c r="F90" s="239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9"/>
      <c r="C91" s="239"/>
      <c r="D91" s="239"/>
      <c r="E91" s="239"/>
      <c r="F91" s="239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9"/>
      <c r="C92" s="239"/>
      <c r="D92" s="239"/>
      <c r="E92" s="239"/>
      <c r="F92" s="239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9"/>
      <c r="C93" s="239"/>
      <c r="D93" s="239"/>
      <c r="E93" s="239"/>
      <c r="F93" s="239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9"/>
      <c r="C94" s="239"/>
      <c r="D94" s="239"/>
      <c r="E94" s="239"/>
      <c r="F94" s="239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9"/>
      <c r="C95" s="239"/>
      <c r="D95" s="239"/>
      <c r="E95" s="239"/>
      <c r="F95" s="239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9"/>
      <c r="C96" s="239"/>
      <c r="D96" s="239"/>
      <c r="E96" s="239"/>
      <c r="F96" s="239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9"/>
      <c r="C97" s="239"/>
      <c r="D97" s="239"/>
      <c r="E97" s="239"/>
      <c r="F97" s="239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9"/>
      <c r="C98" s="239"/>
      <c r="D98" s="239"/>
      <c r="E98" s="239"/>
      <c r="F98" s="239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74" r:id="rId1"/>
  <headerFooter alignWithMargins="0">
    <oddHeader>&amp;R&amp;9Halton Hills Hydro Inc.
EB-2008-0381
Deferred PILs Combined Proceeding
Appendix C</oddHeader>
    <oddFooter>&amp;L&amp;8March 22, 2010&amp;R&amp;"Arial,Bold"&amp;9&amp;A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08"/>
  <sheetViews>
    <sheetView tabSelected="1" view="pageLayout" workbookViewId="0" topLeftCell="A1">
      <selection activeCell="G22" sqref="G2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EB-2011-0167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Festival Hydro Inc.</v>
      </c>
      <c r="O3" s="409" t="str">
        <f>REGINFO!E1</f>
        <v>Version 2009.1</v>
      </c>
    </row>
    <row r="4" spans="1:15" ht="12.75">
      <c r="A4" s="2" t="str">
        <f>REGINFO!A4</f>
        <v>Reporting period:  2003</v>
      </c>
      <c r="E4" s="410" t="s">
        <v>319</v>
      </c>
      <c r="F4" s="391"/>
      <c r="G4" s="391"/>
      <c r="H4" s="391"/>
      <c r="I4" s="391"/>
      <c r="O4" s="409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5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387">
        <v>0</v>
      </c>
      <c r="D11" s="383"/>
      <c r="E11" s="389">
        <f>C22</f>
        <v>370962</v>
      </c>
      <c r="F11" s="412"/>
      <c r="G11" s="389">
        <f>E22</f>
        <v>424079.92999999993</v>
      </c>
      <c r="H11" s="412"/>
      <c r="I11" s="389">
        <f>G22</f>
        <v>435248.5199999998</v>
      </c>
      <c r="J11" s="383"/>
      <c r="K11" s="389">
        <f>I22</f>
        <v>394027.5199999998</v>
      </c>
      <c r="L11" s="383"/>
      <c r="M11" s="389">
        <f>K22</f>
        <v>394027.5199999998</v>
      </c>
      <c r="N11" s="383"/>
      <c r="O11" s="389">
        <f>C11</f>
        <v>0</v>
      </c>
    </row>
    <row r="12" spans="1:15" ht="27" customHeight="1">
      <c r="A12" s="80" t="s">
        <v>396</v>
      </c>
      <c r="B12" s="65" t="s">
        <v>189</v>
      </c>
      <c r="C12" s="388">
        <v>370962</v>
      </c>
      <c r="D12" s="384"/>
      <c r="E12" s="388">
        <v>1226571</v>
      </c>
      <c r="F12" s="94"/>
      <c r="G12" s="411">
        <f>C12+E12</f>
        <v>1597533</v>
      </c>
      <c r="H12" s="94"/>
      <c r="I12" s="411">
        <v>0</v>
      </c>
      <c r="J12" s="384"/>
      <c r="K12" s="411">
        <v>0</v>
      </c>
      <c r="L12" s="384"/>
      <c r="M12" s="411">
        <f>K13/9*12/4</f>
        <v>0</v>
      </c>
      <c r="N12" s="384"/>
      <c r="O12" s="389">
        <f aca="true" t="shared" si="0" ref="O12:O20">SUM(C12:N12)</f>
        <v>3195066</v>
      </c>
    </row>
    <row r="13" spans="1:15" ht="27" customHeight="1">
      <c r="A13" s="80" t="s">
        <v>438</v>
      </c>
      <c r="B13" s="65"/>
      <c r="C13" s="411"/>
      <c r="D13" s="384"/>
      <c r="E13" s="411"/>
      <c r="F13" s="94"/>
      <c r="G13" s="411"/>
      <c r="H13" s="94"/>
      <c r="I13" s="411"/>
      <c r="J13" s="384"/>
      <c r="K13" s="388">
        <v>0</v>
      </c>
      <c r="L13" s="384"/>
      <c r="M13" s="411"/>
      <c r="N13" s="384"/>
      <c r="O13" s="389">
        <f t="shared" si="0"/>
        <v>0</v>
      </c>
    </row>
    <row r="14" spans="1:15" ht="25.5">
      <c r="A14" s="80" t="s">
        <v>397</v>
      </c>
      <c r="B14" s="65" t="s">
        <v>189</v>
      </c>
      <c r="C14" s="388"/>
      <c r="D14" s="384"/>
      <c r="E14" s="388">
        <v>10889</v>
      </c>
      <c r="F14" s="94"/>
      <c r="G14" s="388"/>
      <c r="H14" s="94"/>
      <c r="I14" s="388"/>
      <c r="J14" s="384"/>
      <c r="K14" s="388"/>
      <c r="L14" s="384"/>
      <c r="M14" s="388"/>
      <c r="N14" s="384"/>
      <c r="O14" s="389">
        <f t="shared" si="0"/>
        <v>10889</v>
      </c>
    </row>
    <row r="15" spans="1:15" ht="27" customHeight="1">
      <c r="A15" s="80" t="s">
        <v>398</v>
      </c>
      <c r="B15" s="65" t="s">
        <v>189</v>
      </c>
      <c r="C15" s="388"/>
      <c r="D15" s="384"/>
      <c r="E15" s="388"/>
      <c r="F15" s="94"/>
      <c r="G15" s="388">
        <v>-9294</v>
      </c>
      <c r="H15" s="94"/>
      <c r="I15" s="388">
        <v>14183</v>
      </c>
      <c r="J15" s="384"/>
      <c r="K15" s="388"/>
      <c r="L15" s="384"/>
      <c r="M15" s="411"/>
      <c r="N15" s="384"/>
      <c r="O15" s="389">
        <f t="shared" si="0"/>
        <v>4889</v>
      </c>
    </row>
    <row r="16" spans="1:15" ht="27" customHeight="1">
      <c r="A16" s="80" t="s">
        <v>399</v>
      </c>
      <c r="B16" s="65"/>
      <c r="C16" s="388"/>
      <c r="D16" s="384"/>
      <c r="E16" s="388">
        <v>-39993</v>
      </c>
      <c r="F16" s="94"/>
      <c r="G16" s="388"/>
      <c r="H16" s="94"/>
      <c r="I16" s="388"/>
      <c r="J16" s="384"/>
      <c r="K16" s="388"/>
      <c r="L16" s="384"/>
      <c r="M16" s="388"/>
      <c r="N16" s="384"/>
      <c r="O16" s="389">
        <f t="shared" si="0"/>
        <v>-39993</v>
      </c>
    </row>
    <row r="17" spans="1:15" ht="27.75" customHeight="1">
      <c r="A17" s="80" t="s">
        <v>400</v>
      </c>
      <c r="B17" s="65" t="s">
        <v>189</v>
      </c>
      <c r="C17" s="388"/>
      <c r="D17" s="384"/>
      <c r="E17" s="388"/>
      <c r="F17" s="94"/>
      <c r="G17" s="388"/>
      <c r="H17" s="94"/>
      <c r="I17" s="388">
        <v>-55404</v>
      </c>
      <c r="J17" s="384"/>
      <c r="K17" s="388"/>
      <c r="L17" s="384"/>
      <c r="M17" s="411"/>
      <c r="N17" s="384"/>
      <c r="O17" s="389">
        <f t="shared" si="0"/>
        <v>-55404</v>
      </c>
    </row>
    <row r="18" spans="1:15" ht="25.5">
      <c r="A18" s="80" t="s">
        <v>401</v>
      </c>
      <c r="B18" s="65" t="s">
        <v>189</v>
      </c>
      <c r="C18" s="388"/>
      <c r="D18" s="384"/>
      <c r="E18" s="388"/>
      <c r="F18" s="94"/>
      <c r="G18" s="388"/>
      <c r="H18" s="94"/>
      <c r="I18" s="388"/>
      <c r="J18" s="384"/>
      <c r="K18" s="388"/>
      <c r="L18" s="384"/>
      <c r="M18" s="388"/>
      <c r="N18" s="384"/>
      <c r="O18" s="389">
        <f t="shared" si="0"/>
        <v>0</v>
      </c>
    </row>
    <row r="19" spans="1:15" ht="24" customHeight="1">
      <c r="A19" s="425" t="s">
        <v>402</v>
      </c>
      <c r="B19" s="65" t="s">
        <v>189</v>
      </c>
      <c r="C19" s="388">
        <v>0</v>
      </c>
      <c r="D19" s="384"/>
      <c r="E19" s="497">
        <v>37947</v>
      </c>
      <c r="F19" s="94"/>
      <c r="G19" s="497">
        <v>26453.66</v>
      </c>
      <c r="H19" s="94"/>
      <c r="I19" s="388"/>
      <c r="J19" s="384"/>
      <c r="K19" s="388"/>
      <c r="L19" s="384"/>
      <c r="M19" s="388"/>
      <c r="N19" s="384"/>
      <c r="O19" s="389">
        <f t="shared" si="0"/>
        <v>64400.66</v>
      </c>
    </row>
    <row r="20" spans="1:15" ht="24.75" customHeight="1">
      <c r="A20" s="80" t="s">
        <v>469</v>
      </c>
      <c r="B20" s="65" t="s">
        <v>187</v>
      </c>
      <c r="C20" s="411">
        <v>0</v>
      </c>
      <c r="D20" s="384"/>
      <c r="E20" s="388">
        <v>-1182296.07</v>
      </c>
      <c r="F20" s="94"/>
      <c r="G20" s="388">
        <v>-1603524.07</v>
      </c>
      <c r="H20" s="94"/>
      <c r="I20" s="388"/>
      <c r="J20" s="384"/>
      <c r="K20" s="388"/>
      <c r="L20" s="384"/>
      <c r="M20" s="388"/>
      <c r="N20" s="384"/>
      <c r="O20" s="389">
        <f t="shared" si="0"/>
        <v>-2785820.14</v>
      </c>
    </row>
    <row r="21" spans="1:15" ht="12.75">
      <c r="A21" s="64"/>
      <c r="C21" s="384"/>
      <c r="D21" s="94"/>
      <c r="E21" s="384"/>
      <c r="F21" s="94"/>
      <c r="G21" s="384"/>
      <c r="H21" s="94"/>
      <c r="I21" s="384"/>
      <c r="J21" s="384"/>
      <c r="K21" s="384"/>
      <c r="L21" s="384"/>
      <c r="M21" s="384"/>
      <c r="N21" s="384"/>
      <c r="O21" s="412"/>
    </row>
    <row r="22" spans="1:15" ht="13.5" thickBot="1">
      <c r="A22" s="80" t="s">
        <v>372</v>
      </c>
      <c r="B22" s="34"/>
      <c r="C22" s="390">
        <f>SUM(C11:C20)</f>
        <v>370962</v>
      </c>
      <c r="D22" s="412"/>
      <c r="E22" s="390">
        <f>SUM(E11:E20)</f>
        <v>424079.92999999993</v>
      </c>
      <c r="F22" s="412"/>
      <c r="G22" s="390">
        <f>SUM(G11:G20)</f>
        <v>435248.5199999998</v>
      </c>
      <c r="H22" s="412"/>
      <c r="I22" s="390">
        <f>SUM(I11:I20)</f>
        <v>394027.5199999998</v>
      </c>
      <c r="J22" s="383"/>
      <c r="K22" s="390">
        <f>SUM(K11:K20)</f>
        <v>394027.5199999998</v>
      </c>
      <c r="L22" s="383"/>
      <c r="M22" s="390">
        <f>SUM(M11:M21)</f>
        <v>394027.5199999998</v>
      </c>
      <c r="N22" s="383"/>
      <c r="O22" s="443">
        <f>SUM(O11:O20)</f>
        <v>394027.52</v>
      </c>
    </row>
    <row r="23" spans="1:15" ht="13.5" thickTop="1">
      <c r="A23" s="426"/>
      <c r="B23" s="427"/>
      <c r="C23" s="433"/>
      <c r="D23" s="434"/>
      <c r="E23" s="433"/>
      <c r="F23" s="434"/>
      <c r="G23" s="433"/>
      <c r="H23" s="434"/>
      <c r="I23" s="433"/>
      <c r="J23" s="427"/>
      <c r="K23" s="433"/>
      <c r="L23" s="187"/>
      <c r="M23" s="435"/>
      <c r="N23" s="187"/>
      <c r="O23" s="435"/>
    </row>
    <row r="24" spans="1:15" ht="12.75">
      <c r="A24" s="449"/>
      <c r="B24" s="450"/>
      <c r="C24" s="451"/>
      <c r="D24" s="451"/>
      <c r="E24" s="451"/>
      <c r="F24" s="451"/>
      <c r="G24" s="451"/>
      <c r="H24" s="451"/>
      <c r="I24" s="451"/>
      <c r="J24" s="451"/>
      <c r="K24" s="451"/>
      <c r="L24" s="451"/>
      <c r="M24" s="451"/>
      <c r="N24" s="451"/>
      <c r="O24" s="452"/>
    </row>
    <row r="25" spans="1:15" ht="12.75">
      <c r="A25" s="426"/>
      <c r="B25" s="427"/>
      <c r="C25" s="453"/>
      <c r="D25" s="453"/>
      <c r="E25" s="453"/>
      <c r="F25" s="453"/>
      <c r="G25" s="453"/>
      <c r="H25" s="453"/>
      <c r="I25" s="453"/>
      <c r="J25" s="454"/>
      <c r="K25" s="453"/>
      <c r="L25" s="455"/>
      <c r="M25" s="456"/>
      <c r="N25" s="455"/>
      <c r="O25" s="456"/>
    </row>
    <row r="26" spans="1:15" ht="12.75">
      <c r="A26" s="426" t="s">
        <v>403</v>
      </c>
      <c r="B26" s="427"/>
      <c r="C26" s="453"/>
      <c r="D26" s="453"/>
      <c r="E26" s="453"/>
      <c r="F26" s="453"/>
      <c r="G26" s="453"/>
      <c r="H26" s="453"/>
      <c r="I26" s="453"/>
      <c r="J26" s="454"/>
      <c r="K26" s="453"/>
      <c r="L26" s="455"/>
      <c r="M26" s="456"/>
      <c r="N26" s="455"/>
      <c r="O26" s="456"/>
    </row>
    <row r="27" spans="1:15" ht="9" customHeight="1">
      <c r="A27" s="426"/>
      <c r="B27" s="427"/>
      <c r="C27" s="427"/>
      <c r="D27" s="427"/>
      <c r="E27" s="427"/>
      <c r="F27" s="427"/>
      <c r="G27" s="427"/>
      <c r="H27" s="427"/>
      <c r="I27" s="427"/>
      <c r="J27" s="427"/>
      <c r="K27" s="428"/>
      <c r="L27" s="187"/>
      <c r="M27" s="187"/>
      <c r="N27" s="187"/>
      <c r="O27" s="187"/>
    </row>
    <row r="28" spans="1:15" ht="12.75">
      <c r="A28" s="426" t="s">
        <v>404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7"/>
      <c r="L28" s="187"/>
      <c r="M28" s="187"/>
      <c r="N28" s="187"/>
      <c r="O28" s="187"/>
    </row>
    <row r="29" spans="1:15" ht="12.75">
      <c r="A29" s="429" t="s">
        <v>405</v>
      </c>
      <c r="B29" s="427"/>
      <c r="C29" s="427"/>
      <c r="D29" s="427"/>
      <c r="E29" s="427"/>
      <c r="F29" s="427"/>
      <c r="G29" s="427"/>
      <c r="H29" s="427"/>
      <c r="I29" s="427"/>
      <c r="J29" s="427"/>
      <c r="K29" s="427"/>
      <c r="L29" s="187"/>
      <c r="M29" s="187"/>
      <c r="N29" s="187"/>
      <c r="O29" s="187"/>
    </row>
    <row r="30" spans="1:15" ht="9" customHeight="1">
      <c r="A30" s="187"/>
      <c r="B30" s="427"/>
      <c r="C30" s="427"/>
      <c r="D30" s="427"/>
      <c r="E30" s="427"/>
      <c r="F30" s="427"/>
      <c r="G30" s="427"/>
      <c r="H30" s="427"/>
      <c r="I30" s="427"/>
      <c r="J30" s="427"/>
      <c r="K30" s="427"/>
      <c r="L30" s="187"/>
      <c r="M30" s="187"/>
      <c r="N30" s="187"/>
      <c r="O30" s="187"/>
    </row>
    <row r="31" spans="1:15" ht="12.75">
      <c r="A31" s="444" t="s">
        <v>406</v>
      </c>
      <c r="B31" s="79"/>
      <c r="C31" s="79"/>
      <c r="D31" s="79"/>
      <c r="E31" s="79"/>
      <c r="F31" s="79"/>
      <c r="G31" s="79"/>
      <c r="H31" s="79"/>
      <c r="I31" s="440"/>
      <c r="J31" s="440"/>
      <c r="K31" s="490" t="s">
        <v>501</v>
      </c>
      <c r="L31" s="440"/>
      <c r="M31" s="440"/>
      <c r="N31" s="440"/>
      <c r="O31" s="440"/>
    </row>
    <row r="32" spans="1:15" ht="9" customHeight="1">
      <c r="A32" s="445"/>
      <c r="B32" s="445"/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</row>
    <row r="33" spans="1:19" ht="12.75">
      <c r="A33" s="522" t="s">
        <v>407</v>
      </c>
      <c r="B33" s="523"/>
      <c r="C33" s="523"/>
      <c r="D33" s="523"/>
      <c r="E33" s="523"/>
      <c r="F33" s="523"/>
      <c r="G33" s="523"/>
      <c r="H33" s="523"/>
      <c r="I33" s="523"/>
      <c r="J33" s="523"/>
      <c r="K33" s="523"/>
      <c r="L33" s="523"/>
      <c r="M33" s="523"/>
      <c r="N33" s="523"/>
      <c r="O33" s="523"/>
      <c r="P33" s="413"/>
      <c r="Q33" s="413"/>
      <c r="R33" s="413"/>
      <c r="S33" s="413"/>
    </row>
    <row r="34" spans="1:19" ht="12.75">
      <c r="A34" s="521" t="s">
        <v>408</v>
      </c>
      <c r="B34" s="524"/>
      <c r="C34" s="524"/>
      <c r="D34" s="524"/>
      <c r="E34" s="524"/>
      <c r="F34" s="524"/>
      <c r="G34" s="524"/>
      <c r="H34" s="524"/>
      <c r="I34" s="524"/>
      <c r="J34" s="524"/>
      <c r="K34" s="524"/>
      <c r="L34" s="524"/>
      <c r="M34" s="524"/>
      <c r="N34" s="524"/>
      <c r="O34" s="524"/>
      <c r="P34" s="413"/>
      <c r="Q34" s="413"/>
      <c r="R34" s="413"/>
      <c r="S34" s="413"/>
    </row>
    <row r="35" spans="1:19" ht="12.75">
      <c r="A35" s="521" t="s">
        <v>429</v>
      </c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413"/>
      <c r="Q35" s="413"/>
      <c r="R35" s="413"/>
      <c r="S35" s="413"/>
    </row>
    <row r="36" spans="1:19" ht="12.75">
      <c r="A36" s="521" t="s">
        <v>409</v>
      </c>
      <c r="B36" s="523"/>
      <c r="C36" s="523"/>
      <c r="D36" s="523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413"/>
      <c r="Q36" s="413"/>
      <c r="R36" s="413"/>
      <c r="S36" s="413"/>
    </row>
    <row r="37" spans="1:19" ht="12.75">
      <c r="A37" s="430" t="s">
        <v>369</v>
      </c>
      <c r="B37" s="431"/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13"/>
      <c r="Q37" s="413"/>
      <c r="R37" s="413"/>
      <c r="S37" s="413"/>
    </row>
    <row r="38" spans="1:19" ht="12.75">
      <c r="A38" s="430" t="s">
        <v>370</v>
      </c>
      <c r="B38" s="431"/>
      <c r="C38" s="431"/>
      <c r="D38" s="431"/>
      <c r="E38" s="431"/>
      <c r="F38" s="431"/>
      <c r="G38" s="431"/>
      <c r="H38" s="431"/>
      <c r="I38" s="431"/>
      <c r="J38" s="431"/>
      <c r="K38" s="431"/>
      <c r="L38" s="431"/>
      <c r="M38" s="431"/>
      <c r="N38" s="431"/>
      <c r="O38" s="431"/>
      <c r="P38" s="413"/>
      <c r="Q38" s="413"/>
      <c r="R38" s="413"/>
      <c r="S38" s="413"/>
    </row>
    <row r="39" spans="1:19" ht="12.75">
      <c r="A39" s="430" t="s">
        <v>410</v>
      </c>
      <c r="B39" s="431"/>
      <c r="C39" s="431"/>
      <c r="D39" s="431"/>
      <c r="E39" s="431"/>
      <c r="F39" s="431"/>
      <c r="G39" s="431"/>
      <c r="H39" s="431"/>
      <c r="I39" s="431"/>
      <c r="J39" s="431"/>
      <c r="K39" s="431"/>
      <c r="L39" s="431"/>
      <c r="M39" s="431"/>
      <c r="N39" s="431"/>
      <c r="O39" s="431"/>
      <c r="P39" s="413"/>
      <c r="Q39" s="413"/>
      <c r="R39" s="413"/>
      <c r="S39" s="413"/>
    </row>
    <row r="40" spans="1:19" ht="12.75">
      <c r="A40" s="430" t="s">
        <v>411</v>
      </c>
      <c r="B40" s="431"/>
      <c r="C40" s="431"/>
      <c r="D40" s="431"/>
      <c r="E40" s="431"/>
      <c r="F40" s="431"/>
      <c r="G40" s="431"/>
      <c r="H40" s="431"/>
      <c r="I40" s="431"/>
      <c r="J40" s="431"/>
      <c r="K40" s="431"/>
      <c r="L40" s="431"/>
      <c r="M40" s="431"/>
      <c r="N40" s="431"/>
      <c r="O40" s="431"/>
      <c r="P40" s="413"/>
      <c r="Q40" s="413"/>
      <c r="R40" s="413"/>
      <c r="S40" s="413"/>
    </row>
    <row r="41" spans="2:19" ht="9" customHeight="1">
      <c r="B41" s="431"/>
      <c r="C41" s="431"/>
      <c r="D41" s="431"/>
      <c r="E41" s="431"/>
      <c r="F41" s="431"/>
      <c r="G41" s="431"/>
      <c r="H41" s="431"/>
      <c r="I41" s="431"/>
      <c r="J41" s="431"/>
      <c r="K41" s="431"/>
      <c r="L41" s="431"/>
      <c r="M41" s="431"/>
      <c r="N41" s="431"/>
      <c r="O41" s="431"/>
      <c r="P41" s="413"/>
      <c r="Q41" s="413"/>
      <c r="R41" s="413"/>
      <c r="S41" s="413"/>
    </row>
    <row r="42" spans="1:15" ht="12.75">
      <c r="A42" s="432" t="s">
        <v>412</v>
      </c>
      <c r="B42" s="427"/>
      <c r="C42" s="427"/>
      <c r="D42" s="427"/>
      <c r="E42" s="427"/>
      <c r="F42" s="427"/>
      <c r="G42" s="427"/>
      <c r="H42" s="427"/>
      <c r="I42" s="427"/>
      <c r="J42" s="427"/>
      <c r="K42" s="427"/>
      <c r="L42" s="187"/>
      <c r="M42" s="187"/>
      <c r="N42" s="187"/>
      <c r="O42" s="187"/>
    </row>
    <row r="43" spans="1:15" ht="12.75">
      <c r="A43" s="427" t="s">
        <v>413</v>
      </c>
      <c r="B43" s="427"/>
      <c r="C43" s="427"/>
      <c r="D43" s="427"/>
      <c r="E43" s="427"/>
      <c r="F43" s="427"/>
      <c r="G43" s="427"/>
      <c r="H43" s="427"/>
      <c r="I43" s="427"/>
      <c r="J43" s="427"/>
      <c r="K43" s="427"/>
      <c r="L43" s="187"/>
      <c r="M43" s="187"/>
      <c r="N43" s="187"/>
      <c r="O43" s="187"/>
    </row>
    <row r="44" spans="1:15" ht="9" customHeight="1">
      <c r="A44" s="427"/>
      <c r="B44" s="427"/>
      <c r="C44" s="427"/>
      <c r="D44" s="427"/>
      <c r="E44" s="427"/>
      <c r="F44" s="427"/>
      <c r="G44" s="427"/>
      <c r="H44" s="427"/>
      <c r="I44" s="427"/>
      <c r="J44" s="427"/>
      <c r="K44" s="427"/>
      <c r="L44" s="187"/>
      <c r="M44" s="187"/>
      <c r="N44" s="187"/>
      <c r="O44" s="187"/>
    </row>
    <row r="45" spans="1:15" ht="12.75">
      <c r="A45" s="432" t="s">
        <v>414</v>
      </c>
      <c r="B45" s="427"/>
      <c r="C45" s="427"/>
      <c r="D45" s="427"/>
      <c r="E45" s="427"/>
      <c r="F45" s="427"/>
      <c r="G45" s="427"/>
      <c r="H45" s="427"/>
      <c r="I45" s="427"/>
      <c r="J45" s="427"/>
      <c r="K45" s="427"/>
      <c r="L45" s="187"/>
      <c r="M45" s="187"/>
      <c r="N45" s="187"/>
      <c r="O45" s="187"/>
    </row>
    <row r="46" spans="1:15" ht="12.75">
      <c r="A46" s="427" t="s">
        <v>415</v>
      </c>
      <c r="B46" s="427"/>
      <c r="C46" s="427"/>
      <c r="D46" s="427"/>
      <c r="E46" s="427"/>
      <c r="F46" s="427"/>
      <c r="G46" s="427"/>
      <c r="H46" s="427"/>
      <c r="I46" s="427"/>
      <c r="J46" s="427"/>
      <c r="K46" s="427"/>
      <c r="L46" s="187"/>
      <c r="M46" s="187"/>
      <c r="N46" s="187"/>
      <c r="O46" s="187"/>
    </row>
    <row r="47" spans="1:15" ht="9" customHeight="1">
      <c r="A47" s="427"/>
      <c r="B47" s="427"/>
      <c r="C47" s="427"/>
      <c r="D47" s="427"/>
      <c r="E47" s="427"/>
      <c r="F47" s="427"/>
      <c r="G47" s="427"/>
      <c r="H47" s="427"/>
      <c r="I47" s="427"/>
      <c r="J47" s="427"/>
      <c r="K47" s="427"/>
      <c r="L47" s="187"/>
      <c r="M47" s="187"/>
      <c r="N47" s="187"/>
      <c r="O47" s="187"/>
    </row>
    <row r="48" spans="1:15" ht="12.75">
      <c r="A48" s="432" t="s">
        <v>416</v>
      </c>
      <c r="B48" s="427"/>
      <c r="C48" s="427"/>
      <c r="D48" s="427"/>
      <c r="E48" s="427"/>
      <c r="F48" s="427"/>
      <c r="G48" s="427"/>
      <c r="H48" s="427"/>
      <c r="I48" s="427"/>
      <c r="J48" s="427"/>
      <c r="K48" s="427"/>
      <c r="L48" s="187"/>
      <c r="M48" s="187"/>
      <c r="N48" s="187"/>
      <c r="O48" s="187"/>
    </row>
    <row r="49" spans="1:15" ht="12.75">
      <c r="A49" s="427" t="s">
        <v>417</v>
      </c>
      <c r="B49" s="427"/>
      <c r="C49" s="427"/>
      <c r="D49" s="427"/>
      <c r="E49" s="427"/>
      <c r="F49" s="427"/>
      <c r="G49" s="427"/>
      <c r="H49" s="427"/>
      <c r="I49" s="427"/>
      <c r="J49" s="427"/>
      <c r="K49" s="427"/>
      <c r="L49" s="187"/>
      <c r="M49" s="187"/>
      <c r="N49" s="187"/>
      <c r="O49" s="187"/>
    </row>
    <row r="50" spans="1:15" ht="9" customHeight="1">
      <c r="A50" s="427"/>
      <c r="B50" s="427"/>
      <c r="C50" s="427"/>
      <c r="D50" s="427"/>
      <c r="E50" s="427"/>
      <c r="F50" s="427"/>
      <c r="G50" s="427"/>
      <c r="H50" s="427"/>
      <c r="I50" s="427"/>
      <c r="J50" s="427"/>
      <c r="K50" s="427"/>
      <c r="L50" s="187"/>
      <c r="M50" s="187"/>
      <c r="N50" s="187"/>
      <c r="O50" s="187"/>
    </row>
    <row r="51" spans="1:15" ht="12.75">
      <c r="A51" s="432" t="s">
        <v>418</v>
      </c>
      <c r="B51" s="427"/>
      <c r="C51" s="427"/>
      <c r="D51" s="427"/>
      <c r="E51" s="427"/>
      <c r="F51" s="427"/>
      <c r="G51" s="427"/>
      <c r="H51" s="427"/>
      <c r="I51" s="427"/>
      <c r="J51" s="427"/>
      <c r="K51" s="427"/>
      <c r="L51" s="187"/>
      <c r="M51" s="187"/>
      <c r="N51" s="187"/>
      <c r="O51" s="187"/>
    </row>
    <row r="52" spans="1:15" ht="12.75">
      <c r="A52" s="427" t="s">
        <v>415</v>
      </c>
      <c r="B52" s="427"/>
      <c r="C52" s="427"/>
      <c r="D52" s="427"/>
      <c r="E52" s="427"/>
      <c r="F52" s="427"/>
      <c r="G52" s="427"/>
      <c r="H52" s="427"/>
      <c r="I52" s="427"/>
      <c r="J52" s="427"/>
      <c r="K52" s="427"/>
      <c r="L52" s="187"/>
      <c r="M52" s="187"/>
      <c r="N52" s="187"/>
      <c r="O52" s="187"/>
    </row>
    <row r="53" spans="1:15" ht="9" customHeight="1">
      <c r="A53" s="432"/>
      <c r="B53" s="427"/>
      <c r="C53" s="427"/>
      <c r="D53" s="427"/>
      <c r="E53" s="427"/>
      <c r="F53" s="427"/>
      <c r="G53" s="427"/>
      <c r="H53" s="427"/>
      <c r="I53" s="427"/>
      <c r="J53" s="427"/>
      <c r="K53" s="427"/>
      <c r="L53" s="187"/>
      <c r="M53" s="187"/>
      <c r="N53" s="187"/>
      <c r="O53" s="187"/>
    </row>
    <row r="54" spans="1:15" ht="12.75">
      <c r="A54" s="427" t="s">
        <v>419</v>
      </c>
      <c r="B54" s="427"/>
      <c r="C54" s="427"/>
      <c r="D54" s="427"/>
      <c r="E54" s="427"/>
      <c r="F54" s="427"/>
      <c r="G54" s="427"/>
      <c r="H54" s="427"/>
      <c r="I54" s="427"/>
      <c r="J54" s="427"/>
      <c r="K54" s="427"/>
      <c r="L54" s="187"/>
      <c r="M54" s="187"/>
      <c r="N54" s="187"/>
      <c r="O54" s="187"/>
    </row>
    <row r="55" spans="1:15" ht="9" customHeight="1">
      <c r="A55" s="427"/>
      <c r="B55" s="427"/>
      <c r="C55" s="427"/>
      <c r="D55" s="427"/>
      <c r="E55" s="427"/>
      <c r="F55" s="427"/>
      <c r="G55" s="427"/>
      <c r="H55" s="427"/>
      <c r="I55" s="427"/>
      <c r="J55" s="427"/>
      <c r="K55" s="427"/>
      <c r="L55" s="187"/>
      <c r="M55" s="187"/>
      <c r="N55" s="187"/>
      <c r="O55" s="187"/>
    </row>
    <row r="56" spans="1:15" ht="12.75" customHeight="1">
      <c r="A56" s="432" t="s">
        <v>420</v>
      </c>
      <c r="B56" s="427"/>
      <c r="C56" s="427"/>
      <c r="D56" s="427"/>
      <c r="E56" s="427"/>
      <c r="F56" s="427"/>
      <c r="G56" s="427"/>
      <c r="H56" s="427"/>
      <c r="I56" s="427"/>
      <c r="J56" s="427"/>
      <c r="K56" s="427"/>
      <c r="L56" s="187"/>
      <c r="M56" s="187"/>
      <c r="N56" s="187"/>
      <c r="O56" s="187"/>
    </row>
    <row r="57" spans="1:15" ht="9" customHeight="1">
      <c r="A57" s="427"/>
      <c r="B57" s="427"/>
      <c r="C57" s="427"/>
      <c r="D57" s="427"/>
      <c r="E57" s="427"/>
      <c r="F57" s="427"/>
      <c r="G57" s="427"/>
      <c r="H57" s="427"/>
      <c r="I57" s="427"/>
      <c r="J57" s="427"/>
      <c r="K57" s="427"/>
      <c r="L57" s="187"/>
      <c r="M57" s="187"/>
      <c r="N57" s="187"/>
      <c r="O57" s="187"/>
    </row>
    <row r="58" spans="1:15" ht="12.75">
      <c r="A58" s="427" t="s">
        <v>421</v>
      </c>
      <c r="B58" s="427"/>
      <c r="C58" s="427"/>
      <c r="D58" s="427"/>
      <c r="E58" s="427"/>
      <c r="F58" s="427"/>
      <c r="G58" s="427"/>
      <c r="H58" s="427"/>
      <c r="I58" s="427"/>
      <c r="J58" s="427"/>
      <c r="K58" s="427"/>
      <c r="L58" s="187"/>
      <c r="M58" s="187"/>
      <c r="N58" s="187"/>
      <c r="O58" s="187"/>
    </row>
    <row r="59" spans="1:15" ht="12.75">
      <c r="A59" s="427" t="s">
        <v>422</v>
      </c>
      <c r="B59" s="427"/>
      <c r="C59" s="427"/>
      <c r="D59" s="427"/>
      <c r="E59" s="427"/>
      <c r="F59" s="427"/>
      <c r="G59" s="427"/>
      <c r="H59" s="427"/>
      <c r="I59" s="427"/>
      <c r="J59" s="427"/>
      <c r="K59" s="427"/>
      <c r="L59" s="187"/>
      <c r="M59" s="187"/>
      <c r="N59" s="187"/>
      <c r="O59" s="187"/>
    </row>
    <row r="60" spans="1:15" ht="12.75">
      <c r="A60" s="427" t="s">
        <v>423</v>
      </c>
      <c r="B60" s="427"/>
      <c r="C60" s="427"/>
      <c r="D60" s="427"/>
      <c r="E60" s="427"/>
      <c r="F60" s="427"/>
      <c r="G60" s="427"/>
      <c r="H60" s="427"/>
      <c r="I60" s="427"/>
      <c r="J60" s="427"/>
      <c r="K60" s="427"/>
      <c r="L60" s="187"/>
      <c r="M60" s="187"/>
      <c r="N60" s="187"/>
      <c r="O60" s="187"/>
    </row>
    <row r="61" spans="1:15" ht="12.75">
      <c r="A61" s="427" t="s">
        <v>379</v>
      </c>
      <c r="B61" s="427"/>
      <c r="C61" s="427"/>
      <c r="D61" s="427"/>
      <c r="E61" s="427"/>
      <c r="F61" s="427"/>
      <c r="G61" s="427"/>
      <c r="H61" s="427"/>
      <c r="I61" s="427"/>
      <c r="J61" s="427"/>
      <c r="K61" s="427"/>
      <c r="L61" s="187"/>
      <c r="M61" s="187"/>
      <c r="N61" s="187"/>
      <c r="O61" s="187"/>
    </row>
    <row r="62" spans="1:15" ht="9" customHeight="1">
      <c r="A62" s="427"/>
      <c r="B62" s="427"/>
      <c r="C62" s="427"/>
      <c r="D62" s="427"/>
      <c r="E62" s="427"/>
      <c r="F62" s="427"/>
      <c r="G62" s="427"/>
      <c r="H62" s="427"/>
      <c r="I62" s="427"/>
      <c r="J62" s="427"/>
      <c r="K62" s="427"/>
      <c r="L62" s="187"/>
      <c r="M62" s="187"/>
      <c r="N62" s="187"/>
      <c r="O62" s="187"/>
    </row>
    <row r="63" spans="1:15" ht="12.75">
      <c r="A63" s="427" t="s">
        <v>424</v>
      </c>
      <c r="B63" s="427"/>
      <c r="C63" s="427"/>
      <c r="D63" s="427"/>
      <c r="E63" s="427"/>
      <c r="F63" s="427"/>
      <c r="G63" s="427"/>
      <c r="H63" s="427"/>
      <c r="I63" s="427"/>
      <c r="J63" s="427"/>
      <c r="K63" s="427"/>
      <c r="L63" s="187"/>
      <c r="M63" s="187"/>
      <c r="N63" s="187"/>
      <c r="O63" s="187"/>
    </row>
    <row r="64" spans="1:15" ht="12.75">
      <c r="A64" s="427" t="s">
        <v>425</v>
      </c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187"/>
      <c r="M64" s="187"/>
      <c r="N64" s="187"/>
      <c r="O64" s="187"/>
    </row>
    <row r="65" spans="1:15" ht="12.75">
      <c r="A65" s="427" t="s">
        <v>381</v>
      </c>
      <c r="B65" s="427"/>
      <c r="C65" s="427"/>
      <c r="D65" s="427"/>
      <c r="E65" s="427"/>
      <c r="F65" s="427"/>
      <c r="G65" s="427"/>
      <c r="H65" s="427"/>
      <c r="I65" s="427"/>
      <c r="J65" s="427"/>
      <c r="K65" s="427"/>
      <c r="L65" s="187"/>
      <c r="M65" s="187"/>
      <c r="N65" s="187"/>
      <c r="O65" s="187"/>
    </row>
    <row r="66" spans="1:15" ht="3.75" customHeight="1">
      <c r="A66" s="427"/>
      <c r="B66" s="427"/>
      <c r="C66" s="427"/>
      <c r="D66" s="427"/>
      <c r="E66" s="427"/>
      <c r="F66" s="427"/>
      <c r="G66" s="427"/>
      <c r="H66" s="427"/>
      <c r="I66" s="427"/>
      <c r="J66" s="427"/>
      <c r="K66" s="427"/>
      <c r="L66" s="187"/>
      <c r="M66" s="187"/>
      <c r="N66" s="187"/>
      <c r="O66" s="187"/>
    </row>
    <row r="67" spans="1:15" ht="12.75">
      <c r="A67" s="427" t="s">
        <v>380</v>
      </c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187"/>
      <c r="M67" s="187"/>
      <c r="N67" s="187"/>
      <c r="O67" s="187"/>
    </row>
    <row r="68" spans="1:15" ht="12.75">
      <c r="A68" s="427" t="s">
        <v>382</v>
      </c>
      <c r="B68" s="427"/>
      <c r="C68" s="427"/>
      <c r="D68" s="427"/>
      <c r="E68" s="427"/>
      <c r="F68" s="427"/>
      <c r="G68" s="427"/>
      <c r="H68" s="427"/>
      <c r="I68" s="427"/>
      <c r="J68" s="427"/>
      <c r="K68" s="427"/>
      <c r="L68" s="187"/>
      <c r="M68" s="187"/>
      <c r="N68" s="187"/>
      <c r="O68" s="187"/>
    </row>
    <row r="69" spans="1:15" ht="3.75" customHeight="1">
      <c r="A69" s="427"/>
      <c r="B69" s="427"/>
      <c r="C69" s="427"/>
      <c r="D69" s="427"/>
      <c r="E69" s="427"/>
      <c r="F69" s="427"/>
      <c r="G69" s="427"/>
      <c r="H69" s="427"/>
      <c r="I69" s="427"/>
      <c r="J69" s="427"/>
      <c r="K69" s="427"/>
      <c r="L69" s="187"/>
      <c r="M69" s="187"/>
      <c r="N69" s="187"/>
      <c r="O69" s="187"/>
    </row>
    <row r="70" spans="1:15" ht="12.75">
      <c r="A70" s="427" t="s">
        <v>426</v>
      </c>
      <c r="B70" s="427"/>
      <c r="C70" s="427"/>
      <c r="D70" s="427"/>
      <c r="E70" s="427"/>
      <c r="F70" s="427"/>
      <c r="G70" s="427"/>
      <c r="H70" s="427"/>
      <c r="I70" s="427"/>
      <c r="J70" s="427"/>
      <c r="K70" s="427"/>
      <c r="L70" s="187"/>
      <c r="M70" s="187"/>
      <c r="N70" s="187"/>
      <c r="O70" s="187"/>
    </row>
    <row r="71" spans="1:15" ht="12.75">
      <c r="A71" s="427" t="s">
        <v>427</v>
      </c>
      <c r="B71" s="427"/>
      <c r="C71" s="427"/>
      <c r="D71" s="427"/>
      <c r="E71" s="427"/>
      <c r="F71" s="427"/>
      <c r="G71" s="427"/>
      <c r="H71" s="427"/>
      <c r="I71" s="427"/>
      <c r="J71" s="427"/>
      <c r="K71" s="427"/>
      <c r="L71" s="187"/>
      <c r="M71" s="187"/>
      <c r="N71" s="187"/>
      <c r="O71" s="187"/>
    </row>
    <row r="72" spans="1:15" ht="12.75">
      <c r="A72" s="427" t="s">
        <v>428</v>
      </c>
      <c r="B72" s="427"/>
      <c r="C72" s="427"/>
      <c r="D72" s="427"/>
      <c r="E72" s="427"/>
      <c r="F72" s="427"/>
      <c r="G72" s="427"/>
      <c r="H72" s="427"/>
      <c r="I72" s="427"/>
      <c r="J72" s="427"/>
      <c r="K72" s="427"/>
      <c r="L72" s="187"/>
      <c r="M72" s="187"/>
      <c r="N72" s="187"/>
      <c r="O72" s="187"/>
    </row>
    <row r="73" spans="1:15" ht="9" customHeight="1">
      <c r="A73" s="427"/>
      <c r="B73" s="427"/>
      <c r="C73" s="427"/>
      <c r="D73" s="427"/>
      <c r="E73" s="427"/>
      <c r="F73" s="427"/>
      <c r="G73" s="427"/>
      <c r="H73" s="427"/>
      <c r="I73" s="427"/>
      <c r="J73" s="427"/>
      <c r="K73" s="427"/>
      <c r="L73" s="187"/>
      <c r="M73" s="187"/>
      <c r="N73" s="187"/>
      <c r="O73" s="187"/>
    </row>
    <row r="74" spans="1:15" ht="12.75" customHeight="1">
      <c r="A74" s="521" t="s">
        <v>458</v>
      </c>
      <c r="B74" s="521"/>
      <c r="C74" s="521"/>
      <c r="D74" s="521"/>
      <c r="E74" s="521"/>
      <c r="F74" s="521"/>
      <c r="G74" s="521"/>
      <c r="H74" s="521"/>
      <c r="I74" s="521"/>
      <c r="J74" s="521"/>
      <c r="K74" s="521"/>
      <c r="L74" s="521"/>
      <c r="M74" s="521"/>
      <c r="N74" s="521"/>
      <c r="O74" s="521"/>
    </row>
    <row r="75" spans="1:15" ht="12.75">
      <c r="A75" s="427" t="s">
        <v>371</v>
      </c>
      <c r="B75" s="427"/>
      <c r="C75" s="427"/>
      <c r="D75" s="427"/>
      <c r="E75" s="427"/>
      <c r="F75" s="427"/>
      <c r="G75" s="427"/>
      <c r="H75" s="427"/>
      <c r="I75" s="427"/>
      <c r="J75" s="427"/>
      <c r="K75" s="427"/>
      <c r="L75" s="187"/>
      <c r="M75" s="187"/>
      <c r="N75" s="187"/>
      <c r="O75" s="187"/>
    </row>
    <row r="76" spans="1:15" ht="12.75">
      <c r="A76" s="187"/>
      <c r="B76" s="427"/>
      <c r="C76" s="427"/>
      <c r="D76" s="427"/>
      <c r="E76" s="427"/>
      <c r="F76" s="427"/>
      <c r="G76" s="427"/>
      <c r="H76" s="427"/>
      <c r="I76" s="427"/>
      <c r="J76" s="427"/>
      <c r="K76" s="427"/>
      <c r="L76" s="187"/>
      <c r="M76" s="187"/>
      <c r="N76" s="187"/>
      <c r="O76" s="187"/>
    </row>
    <row r="77" spans="1:15" ht="12.75">
      <c r="A77" s="187"/>
      <c r="B77" s="427"/>
      <c r="C77" s="427"/>
      <c r="D77" s="427"/>
      <c r="E77" s="427"/>
      <c r="F77" s="427"/>
      <c r="G77" s="427"/>
      <c r="H77" s="427"/>
      <c r="I77" s="427"/>
      <c r="J77" s="427"/>
      <c r="K77" s="427"/>
      <c r="L77" s="187"/>
      <c r="M77" s="187"/>
      <c r="N77" s="187"/>
      <c r="O77" s="187"/>
    </row>
    <row r="78" spans="1:17" ht="12.75">
      <c r="A78" s="187"/>
      <c r="B78" s="427"/>
      <c r="C78" s="427"/>
      <c r="D78" s="427"/>
      <c r="E78" s="427"/>
      <c r="F78" s="427"/>
      <c r="G78" s="427"/>
      <c r="H78" s="427"/>
      <c r="I78" s="427"/>
      <c r="J78" s="427"/>
      <c r="K78" s="427"/>
      <c r="L78" s="427"/>
      <c r="M78" s="427"/>
      <c r="N78" s="187"/>
      <c r="O78" s="187"/>
      <c r="P78" s="187"/>
      <c r="Q78" s="187"/>
    </row>
    <row r="79" spans="1:17" ht="12.75">
      <c r="A79" s="187"/>
      <c r="B79" s="427"/>
      <c r="C79" s="427"/>
      <c r="D79" s="427"/>
      <c r="E79" s="427"/>
      <c r="F79" s="427"/>
      <c r="G79" s="427"/>
      <c r="H79" s="427"/>
      <c r="I79" s="427"/>
      <c r="J79" s="427"/>
      <c r="K79" s="427"/>
      <c r="L79" s="427"/>
      <c r="M79" s="427"/>
      <c r="N79" s="187"/>
      <c r="O79" s="187"/>
      <c r="P79" s="187"/>
      <c r="Q79" s="187"/>
    </row>
    <row r="80" spans="1:17" ht="12.75">
      <c r="A80" s="187"/>
      <c r="B80" s="427"/>
      <c r="C80" s="427"/>
      <c r="D80" s="427"/>
      <c r="E80" s="427"/>
      <c r="F80" s="427"/>
      <c r="G80" s="427"/>
      <c r="H80" s="427"/>
      <c r="I80" s="427"/>
      <c r="J80" s="427"/>
      <c r="K80" s="427"/>
      <c r="L80" s="427"/>
      <c r="M80" s="427"/>
      <c r="N80" s="187"/>
      <c r="O80" s="187"/>
      <c r="P80" s="187"/>
      <c r="Q80" s="187"/>
    </row>
    <row r="81" spans="1:17" ht="12.75">
      <c r="A81" s="427"/>
      <c r="B81" s="427"/>
      <c r="C81" s="427"/>
      <c r="D81" s="427"/>
      <c r="E81" s="427"/>
      <c r="F81" s="427"/>
      <c r="G81" s="427"/>
      <c r="H81" s="427"/>
      <c r="I81" s="427"/>
      <c r="J81" s="427"/>
      <c r="K81" s="427"/>
      <c r="L81" s="427"/>
      <c r="M81" s="427"/>
      <c r="N81" s="187"/>
      <c r="O81" s="187"/>
      <c r="P81" s="187"/>
      <c r="Q81" s="187"/>
    </row>
    <row r="82" spans="1:17" ht="12.75">
      <c r="A82" s="187"/>
      <c r="B82" s="187"/>
      <c r="C82" s="427"/>
      <c r="D82" s="427"/>
      <c r="E82" s="427"/>
      <c r="F82" s="427"/>
      <c r="G82" s="427"/>
      <c r="H82" s="427"/>
      <c r="I82" s="427"/>
      <c r="J82" s="427"/>
      <c r="K82" s="427"/>
      <c r="L82" s="427"/>
      <c r="M82" s="427"/>
      <c r="N82" s="187"/>
      <c r="O82" s="187"/>
      <c r="P82" s="187"/>
      <c r="Q82" s="187"/>
    </row>
    <row r="83" spans="1:17" ht="12.75">
      <c r="A83" s="187"/>
      <c r="B83" s="187"/>
      <c r="C83" s="427"/>
      <c r="D83" s="427"/>
      <c r="E83" s="427"/>
      <c r="F83" s="427"/>
      <c r="G83" s="427"/>
      <c r="H83" s="427"/>
      <c r="I83" s="427"/>
      <c r="J83" s="427"/>
      <c r="K83" s="427"/>
      <c r="L83" s="427"/>
      <c r="M83" s="427"/>
      <c r="N83" s="187"/>
      <c r="O83" s="187"/>
      <c r="P83" s="187"/>
      <c r="Q83" s="187"/>
    </row>
    <row r="84" spans="1:17" ht="12.75">
      <c r="A84" s="427"/>
      <c r="B84" s="427"/>
      <c r="C84" s="427"/>
      <c r="D84" s="427"/>
      <c r="E84" s="427"/>
      <c r="F84" s="427"/>
      <c r="G84" s="427"/>
      <c r="H84" s="427"/>
      <c r="I84" s="427"/>
      <c r="J84" s="427"/>
      <c r="K84" s="427"/>
      <c r="L84" s="427"/>
      <c r="M84" s="427"/>
      <c r="N84" s="187"/>
      <c r="O84" s="187"/>
      <c r="P84" s="187"/>
      <c r="Q84" s="187"/>
    </row>
    <row r="85" spans="1:17" ht="12.75">
      <c r="A85" s="187"/>
      <c r="B85" s="427"/>
      <c r="C85" s="427"/>
      <c r="D85" s="427"/>
      <c r="E85" s="427"/>
      <c r="F85" s="427"/>
      <c r="G85" s="427"/>
      <c r="H85" s="427"/>
      <c r="I85" s="427"/>
      <c r="J85" s="427"/>
      <c r="K85" s="427"/>
      <c r="L85" s="427"/>
      <c r="M85" s="427"/>
      <c r="N85" s="187"/>
      <c r="O85" s="187"/>
      <c r="P85" s="187"/>
      <c r="Q85" s="187"/>
    </row>
    <row r="86" spans="1:17" ht="12.75">
      <c r="A86" s="187"/>
      <c r="B86" s="427"/>
      <c r="C86" s="427"/>
      <c r="D86" s="427"/>
      <c r="E86" s="427"/>
      <c r="F86" s="427"/>
      <c r="G86" s="427"/>
      <c r="H86" s="427"/>
      <c r="I86" s="427"/>
      <c r="J86" s="427"/>
      <c r="K86" s="427"/>
      <c r="L86" s="427"/>
      <c r="M86" s="427"/>
      <c r="N86" s="187"/>
      <c r="O86" s="187"/>
      <c r="P86" s="187"/>
      <c r="Q86" s="187"/>
    </row>
    <row r="87" spans="1:17" ht="12.75">
      <c r="A87" s="187"/>
      <c r="B87" s="187"/>
      <c r="C87" s="427"/>
      <c r="D87" s="427"/>
      <c r="E87" s="427"/>
      <c r="F87" s="427"/>
      <c r="G87" s="427"/>
      <c r="H87" s="427"/>
      <c r="I87" s="427"/>
      <c r="J87" s="427"/>
      <c r="K87" s="427"/>
      <c r="L87" s="427"/>
      <c r="M87" s="427"/>
      <c r="N87" s="187"/>
      <c r="O87" s="187"/>
      <c r="P87" s="187"/>
      <c r="Q87" s="187"/>
    </row>
    <row r="88" spans="1:17" ht="12.75">
      <c r="A88" s="187"/>
      <c r="B88" s="187"/>
      <c r="C88" s="427"/>
      <c r="D88" s="427"/>
      <c r="E88" s="427"/>
      <c r="F88" s="427"/>
      <c r="G88" s="427"/>
      <c r="H88" s="427"/>
      <c r="I88" s="427"/>
      <c r="J88" s="427"/>
      <c r="K88" s="427"/>
      <c r="L88" s="427"/>
      <c r="M88" s="427"/>
      <c r="N88" s="187"/>
      <c r="O88" s="187"/>
      <c r="P88" s="187"/>
      <c r="Q88" s="187"/>
    </row>
    <row r="89" spans="1:17" ht="12.75">
      <c r="A89" s="187"/>
      <c r="B89" s="187"/>
      <c r="C89" s="427"/>
      <c r="D89" s="427"/>
      <c r="E89" s="427"/>
      <c r="F89" s="427"/>
      <c r="G89" s="427"/>
      <c r="H89" s="427"/>
      <c r="I89" s="427"/>
      <c r="J89" s="427"/>
      <c r="K89" s="427"/>
      <c r="L89" s="427"/>
      <c r="M89" s="427"/>
      <c r="N89" s="187"/>
      <c r="O89" s="187"/>
      <c r="P89" s="187"/>
      <c r="Q89" s="187"/>
    </row>
    <row r="90" spans="1:17" ht="12.75">
      <c r="A90" s="187"/>
      <c r="B90" s="187"/>
      <c r="C90" s="427"/>
      <c r="D90" s="427"/>
      <c r="E90" s="427"/>
      <c r="F90" s="427"/>
      <c r="G90" s="427"/>
      <c r="H90" s="427"/>
      <c r="I90" s="427"/>
      <c r="J90" s="427"/>
      <c r="K90" s="427"/>
      <c r="L90" s="427"/>
      <c r="M90" s="427"/>
      <c r="N90" s="187"/>
      <c r="O90" s="187"/>
      <c r="P90" s="187"/>
      <c r="Q90" s="187"/>
    </row>
    <row r="91" spans="1:17" ht="12.75">
      <c r="A91" s="187"/>
      <c r="B91" s="187"/>
      <c r="D91" s="427"/>
      <c r="E91" s="427"/>
      <c r="F91" s="427"/>
      <c r="G91" s="427"/>
      <c r="H91" s="427"/>
      <c r="I91" s="427"/>
      <c r="J91" s="427"/>
      <c r="K91" s="427"/>
      <c r="L91" s="427"/>
      <c r="M91" s="427"/>
      <c r="N91" s="187"/>
      <c r="O91" s="187"/>
      <c r="P91" s="187"/>
      <c r="Q91" s="187"/>
    </row>
    <row r="92" spans="1:17" ht="12.75">
      <c r="A92" s="187"/>
      <c r="B92" s="187"/>
      <c r="C92" s="521"/>
      <c r="D92" s="521"/>
      <c r="E92" s="521"/>
      <c r="F92" s="521"/>
      <c r="G92" s="521"/>
      <c r="H92" s="521"/>
      <c r="I92" s="521"/>
      <c r="J92" s="521"/>
      <c r="K92" s="521"/>
      <c r="L92" s="521"/>
      <c r="M92" s="521"/>
      <c r="N92" s="521"/>
      <c r="O92" s="521"/>
      <c r="P92" s="521"/>
      <c r="Q92" s="521"/>
    </row>
    <row r="93" spans="1:17" ht="12.75">
      <c r="A93" s="187"/>
      <c r="B93" s="187"/>
      <c r="C93" s="427"/>
      <c r="D93" s="427"/>
      <c r="E93" s="427"/>
      <c r="F93" s="427"/>
      <c r="G93" s="427"/>
      <c r="H93" s="427"/>
      <c r="I93" s="427"/>
      <c r="J93" s="427"/>
      <c r="K93" s="427"/>
      <c r="L93" s="427"/>
      <c r="M93" s="427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35433070866141736" right="0.03937007874015748" top="0.7" bottom="0.34" header="0.19" footer="0"/>
  <pageSetup fitToHeight="1" fitToWidth="1" horizontalDpi="600" verticalDpi="600" orientation="portrait" scale="50" r:id="rId1"/>
  <headerFooter alignWithMargins="0">
    <oddHeader>&amp;R&amp;9Milton Hydro Distribution Inc.
EB-2011-0183
Deferred PILs Combined Proceeding
Appendix C</oddHeader>
    <oddFooter>&amp;L&amp;8July 07, 2011
&amp;R&amp;"Arial,Bold"&amp;9&amp;A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reeced</cp:lastModifiedBy>
  <cp:lastPrinted>2011-07-07T17:50:16Z</cp:lastPrinted>
  <dcterms:created xsi:type="dcterms:W3CDTF">2001-11-07T16:15:53Z</dcterms:created>
  <dcterms:modified xsi:type="dcterms:W3CDTF">2011-12-02T16:25:13Z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