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7635" tabRatio="901" activeTab="3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Calculation'!$A$5:$O$81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88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approved amount used a grossup rate including surtax</t>
        </r>
      </text>
    </comment>
  </commentList>
</comments>
</file>

<file path=xl/sharedStrings.xml><?xml version="1.0" encoding="utf-8"?>
<sst xmlns="http://schemas.openxmlformats.org/spreadsheetml/2006/main" count="847" uniqueCount="494">
  <si>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</si>
  <si>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</si>
  <si>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</si>
  <si>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</si>
  <si>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</si>
  <si>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</si>
  <si>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</si>
  <si>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</si>
  <si>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</si>
  <si>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</si>
  <si>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</si>
  <si>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</si>
  <si>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</si>
  <si>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</si>
  <si>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</si>
  <si>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</si>
  <si>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</si>
  <si>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</si>
  <si>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</si>
  <si>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</si>
  <si>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</si>
  <si>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</si>
  <si>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</si>
  <si>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</si>
  <si>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</si>
  <si>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</si>
  <si>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</si>
  <si>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</si>
  <si>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</si>
  <si>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</si>
  <si>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</si>
  <si>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</si>
  <si>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</si>
  <si>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</si>
  <si>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</si>
  <si>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</si>
  <si>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</si>
  <si>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</si>
  <si>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</si>
  <si>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</si>
  <si>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</si>
  <si>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</si>
  <si>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</si>
  <si>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</si>
  <si>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</si>
  <si>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</si>
  <si>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</si>
  <si>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</si>
  <si>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</si>
  <si>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</si>
  <si>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</si>
  <si>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</si>
  <si>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</si>
  <si>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</si>
  <si>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</si>
  <si>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</si>
  <si>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</si>
  <si>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</si>
  <si>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</si>
  <si>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</si>
  <si>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</si>
  <si>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</si>
  <si>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</si>
  <si>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</si>
  <si>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</si>
  <si>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</si>
  <si>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</si>
  <si>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</si>
  <si>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</si>
  <si>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</si>
  <si>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</si>
  <si>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</si>
  <si>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</si>
  <si>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</si>
  <si>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</si>
  <si>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</si>
  <si>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</si>
  <si>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</si>
  <si>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</si>
  <si>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</si>
  <si>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</si>
  <si>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</si>
  <si>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</si>
  <si>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</si>
  <si>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</si>
  <si>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</si>
  <si>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</si>
  <si>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</si>
  <si>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</si>
  <si>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</si>
  <si>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</si>
  <si>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</si>
  <si>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</si>
  <si>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</si>
  <si>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</si>
  <si>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</si>
  <si>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</si>
  <si>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</si>
  <si>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</si>
  <si>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</si>
  <si>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</si>
  <si>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</si>
  <si>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</si>
  <si>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</si>
  <si>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</si>
  <si>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</si>
  <si>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</si>
  <si>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</si>
  <si>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</si>
  <si>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</si>
  <si>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</si>
  <si>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</si>
  <si>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</si>
  <si>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</si>
  <si>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</si>
  <si>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</si>
  <si>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</si>
  <si>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</si>
  <si>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</si>
  <si>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</si>
  <si>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</si>
  <si>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</si>
  <si>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</si>
  <si>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</si>
  <si>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</si>
  <si>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</si>
  <si>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</si>
  <si>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</si>
  <si>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</si>
  <si>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</si>
  <si>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</si>
  <si>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</si>
  <si>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</si>
  <si>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</si>
  <si>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</si>
  <si>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</si>
  <si>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</si>
  <si>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</si>
  <si>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</si>
  <si>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</si>
  <si>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</si>
  <si>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</si>
  <si>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</si>
  <si>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</si>
  <si>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</si>
  <si>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</si>
  <si>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</si>
  <si>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</si>
  <si>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</si>
  <si>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</si>
  <si>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</si>
  <si>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</si>
  <si>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</si>
  <si>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</si>
  <si>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</si>
  <si>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</si>
  <si>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</si>
  <si>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</si>
  <si>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</si>
  <si>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</si>
  <si>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</si>
  <si>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</si>
  <si>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</si>
  <si>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</si>
  <si>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</si>
  <si>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</si>
  <si>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</si>
  <si>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</si>
  <si>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</si>
  <si>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</si>
  <si>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</si>
  <si>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</si>
  <si>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</si>
  <si>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</si>
  <si>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</si>
  <si>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</si>
  <si>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</si>
  <si>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</si>
  <si>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</si>
  <si>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</si>
  <si>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</si>
  <si>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</si>
  <si>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</si>
  <si>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</si>
  <si>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</si>
  <si>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</si>
  <si>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</si>
  <si>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</si>
  <si>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</si>
  <si>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</si>
  <si>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</si>
  <si>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</si>
  <si>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</si>
  <si>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</si>
  <si>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</si>
  <si>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</si>
  <si>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</si>
  <si>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</si>
  <si>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</si>
  <si>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</si>
  <si>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</si>
  <si>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</si>
  <si>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</si>
  <si>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</si>
  <si>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</si>
  <si>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</si>
  <si>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</si>
  <si>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</si>
  <si>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</si>
  <si>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</si>
  <si>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</si>
  <si>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</si>
  <si>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</si>
  <si>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</si>
  <si>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</si>
  <si>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</si>
  <si>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</si>
  <si>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</si>
  <si>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</si>
  <si>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</si>
  <si>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</si>
  <si>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</si>
  <si>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</si>
  <si>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</si>
  <si>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</si>
  <si>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</si>
  <si>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</si>
  <si>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</si>
  <si>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</si>
  <si>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</si>
  <si>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</si>
  <si>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</si>
  <si>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</si>
  <si>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</si>
  <si>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</si>
  <si>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</si>
  <si>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</si>
  <si>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</si>
  <si>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</si>
  <si>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</si>
  <si>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</si>
  <si>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</si>
  <si>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</si>
  <si>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</si>
  <si>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</si>
  <si>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</si>
  <si>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</si>
  <si>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</si>
  <si>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</si>
  <si>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</si>
  <si>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</si>
  <si>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</si>
  <si>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</si>
  <si>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</si>
  <si>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</si>
  <si>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</si>
  <si>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</si>
  <si>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</si>
  <si>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</si>
  <si>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</si>
  <si>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</si>
  <si>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</si>
  <si>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</si>
  <si>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</si>
  <si>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</si>
  <si>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</si>
  <si>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</si>
  <si>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</si>
  <si>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</si>
  <si>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</si>
  <si>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</si>
  <si>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</si>
  <si>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</si>
  <si>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</si>
  <si>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</si>
  <si>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</si>
  <si>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</si>
  <si>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</si>
  <si>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</si>
  <si>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</si>
  <si>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</si>
  <si>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</si>
  <si>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</si>
  <si>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</si>
  <si>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</si>
  <si>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</si>
  <si>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</si>
  <si>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</si>
  <si>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</si>
  <si>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</si>
  <si>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</si>
  <si>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</si>
  <si>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</si>
  <si>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</si>
  <si>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</si>
  <si>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</si>
  <si>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</si>
  <si>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</si>
  <si>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</si>
  <si>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</si>
  <si>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</si>
  <si>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</si>
  <si>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</si>
  <si>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</si>
  <si>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</si>
  <si>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</si>
  <si>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</si>
  <si>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</si>
  <si>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</si>
  <si>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</si>
  <si>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</si>
  <si>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</si>
  <si>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</si>
  <si>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</si>
  <si>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</si>
  <si>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</si>
  <si>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</si>
  <si>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</si>
  <si>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</si>
  <si>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</si>
  <si>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</si>
  <si>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</si>
  <si>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</si>
  <si>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</si>
  <si>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</si>
  <si>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</si>
  <si>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</si>
  <si>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</si>
  <si>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</si>
  <si>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</si>
  <si>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</si>
  <si>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</si>
  <si>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</si>
  <si>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</si>
  <si>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</si>
  <si>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</si>
  <si>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</si>
  <si>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</si>
  <si>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</si>
  <si>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</si>
  <si>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</si>
  <si>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</si>
  <si>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</si>
  <si>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</si>
  <si>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</si>
  <si>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</si>
  <si>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</si>
  <si>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</si>
  <si>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</si>
  <si>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</si>
  <si>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</si>
  <si>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</si>
  <si>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</si>
  <si>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</si>
  <si>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</si>
  <si>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</si>
  <si>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</si>
  <si>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</si>
  <si>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</si>
  <si>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</si>
  <si>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</si>
  <si>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</si>
  <si>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</si>
  <si>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</si>
  <si>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</si>
  <si>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</si>
  <si>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</si>
  <si>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</si>
  <si>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</si>
  <si>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</si>
  <si>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</si>
  <si>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</si>
  <si>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</si>
  <si>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</si>
  <si>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</si>
  <si>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</si>
  <si>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</si>
  <si>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</si>
  <si>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</si>
  <si>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</si>
  <si>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</si>
  <si>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</si>
  <si>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</si>
  <si>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</si>
  <si>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</si>
  <si>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</si>
  <si>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</si>
  <si>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</si>
  <si>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</si>
  <si>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</si>
  <si>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</si>
  <si>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</si>
  <si>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</si>
  <si>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</si>
  <si>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</si>
  <si>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</si>
  <si>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</si>
  <si>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</si>
  <si>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</si>
  <si>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</si>
  <si>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</si>
  <si>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</si>
  <si>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</si>
  <si>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</si>
  <si>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</si>
  <si>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</si>
  <si>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</si>
  <si>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</si>
  <si>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</si>
  <si>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</si>
  <si>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</si>
  <si>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</si>
  <si>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</si>
  <si>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</si>
  <si>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</si>
  <si>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</si>
  <si>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</si>
  <si>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</si>
  <si>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</si>
  <si>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</si>
  <si>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</si>
  <si>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</si>
  <si>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</si>
  <si>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</si>
  <si>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</si>
  <si>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</si>
  <si>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</si>
  <si>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</si>
  <si>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</si>
  <si>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</si>
  <si>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</si>
  <si>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</si>
  <si>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</si>
  <si>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</si>
  <si>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</si>
  <si>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</si>
  <si>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</si>
  <si>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</si>
  <si>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</si>
  <si>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</si>
  <si>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</si>
  <si>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</si>
  <si>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</si>
  <si>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</si>
  <si>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</si>
  <si>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</si>
  <si>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</si>
  <si>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</si>
  <si>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</si>
  <si>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</si>
  <si>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</si>
  <si>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</si>
  <si>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</si>
  <si>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</si>
  <si>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</si>
  <si>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</si>
  <si>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</si>
  <si>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</si>
  <si>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</si>
  <si>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</si>
  <si>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</si>
  <si>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</si>
  <si>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</si>
  <si>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</si>
  <si>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</si>
  <si>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</si>
  <si>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</si>
  <si>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</si>
  <si>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</si>
  <si>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</si>
  <si>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</si>
  <si>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</si>
  <si>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</si>
  <si>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</si>
  <si>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</si>
  <si>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</si>
  <si>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</si>
  <si>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</si>
  <si>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</si>
  <si>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</si>
  <si>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</si>
  <si>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</si>
  <si>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SEE MONTHLY CONTINUITY SCHEDULE</t>
  </si>
  <si>
    <t>Rate</t>
  </si>
  <si>
    <t xml:space="preserve">Rate </t>
  </si>
  <si>
    <t xml:space="preserve">Income Tax Rate </t>
  </si>
  <si>
    <t>No tax rate changes - no true-up</t>
  </si>
  <si>
    <t>No tax rate or exemption changes - no true-up</t>
  </si>
  <si>
    <t>Other items expensed</t>
  </si>
  <si>
    <t>Employee Future Benefits</t>
  </si>
  <si>
    <t xml:space="preserve">Employee Future Benefits </t>
  </si>
  <si>
    <t>Utility Name: Lakefront Utilities Inc.</t>
  </si>
  <si>
    <t xml:space="preserve">Provincial Capital Tax </t>
  </si>
  <si>
    <t xml:space="preserve">Interest deducted on MoF filing  (Cell K36+K41) Adjusted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</si>
</sst>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0.0000%"/>
    <numFmt numFmtId="166" formatCode="&quot;$&quot;#,##0.00"/>
    <numFmt numFmtId="167" formatCode="0.000%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7030A0"/>
      <name val="Arial"/>
      <family val="2"/>
    </font>
    <font>
      <b/>
      <sz val="10"/>
      <color theme="5" tint="-0.2499700039625167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1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2" fillId="0" borderId="0" applyNumberFormat="0" applyFill="0" applyBorder="0" applyAlignment="0" applyProtection="0"/>
  </cellStyleXfs>
  <cellXfs count="502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6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5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5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5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67" fontId="0" fillId="36" borderId="44" xfId="0" applyNumberFormat="1" applyFill="1" applyBorder="1" applyAlignment="1" applyProtection="1">
      <alignment horizontal="center" vertical="top"/>
      <protection locked="0"/>
    </xf>
    <xf numFmtId="167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0" fontId="10" fillId="41" borderId="54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9" fillId="40" borderId="14" xfId="0" applyNumberFormat="1" applyFont="1" applyFill="1" applyBorder="1" applyAlignment="1">
      <alignment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2" applyFont="1" applyFill="1" applyBorder="1" applyAlignment="1" applyProtection="1">
      <alignment vertical="top"/>
      <protection locked="0"/>
    </xf>
    <xf numFmtId="37" fontId="63" fillId="0" borderId="0" xfId="0" applyNumberFormat="1" applyFont="1" applyFill="1" applyBorder="1" applyAlignment="1">
      <alignment vertical="top"/>
    </xf>
    <xf numFmtId="0" fontId="63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4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66" fillId="0" borderId="24" xfId="0" applyFont="1" applyFill="1" applyBorder="1" applyAlignment="1" applyProtection="1">
      <alignment vertical="top"/>
      <protection/>
    </xf>
    <xf numFmtId="0" fontId="67" fillId="0" borderId="2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68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69" fillId="0" borderId="24" xfId="0" applyFont="1" applyFill="1" applyBorder="1" applyAlignment="1" applyProtection="1">
      <alignment vertical="top"/>
      <protection/>
    </xf>
    <xf numFmtId="3" fontId="0" fillId="19" borderId="14" xfId="0" applyNumberFormat="1" applyFill="1" applyBorder="1" applyAlignment="1" applyProtection="1">
      <alignment/>
      <protection/>
    </xf>
    <xf numFmtId="0" fontId="69" fillId="0" borderId="24" xfId="0" applyFont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1">
      <selection activeCell="G32" sqref="G3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455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483" t="s">
        <v>491</v>
      </c>
      <c r="C3" s="8"/>
      <c r="D3" s="437" t="s">
        <v>441</v>
      </c>
      <c r="E3" s="8"/>
      <c r="F3" s="8"/>
      <c r="G3" s="8"/>
      <c r="H3" s="8"/>
    </row>
    <row r="4" spans="1:8" ht="12.75">
      <c r="A4" s="2" t="s">
        <v>467</v>
      </c>
      <c r="C4" s="8"/>
      <c r="D4" s="436" t="s">
        <v>436</v>
      </c>
      <c r="E4" s="410"/>
      <c r="H4" s="8"/>
    </row>
    <row r="5" spans="1:8" ht="12.75">
      <c r="A5" s="52"/>
      <c r="C5" s="8"/>
      <c r="D5" s="435" t="s">
        <v>437</v>
      </c>
      <c r="E5" s="381"/>
      <c r="H5" s="8"/>
    </row>
    <row r="6" spans="1:8" ht="12.75">
      <c r="A6" s="2" t="s">
        <v>126</v>
      </c>
      <c r="B6" s="371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6"/>
    </row>
    <row r="18" spans="1:4" ht="15" customHeight="1">
      <c r="A18" s="372" t="s">
        <v>313</v>
      </c>
      <c r="C18" s="8"/>
      <c r="D18" s="8"/>
    </row>
    <row r="19" spans="1:4" ht="15" customHeight="1">
      <c r="A19" s="488" t="s">
        <v>314</v>
      </c>
      <c r="B19" s="8" t="s">
        <v>311</v>
      </c>
      <c r="C19" s="8" t="s">
        <v>64</v>
      </c>
      <c r="D19" s="371"/>
    </row>
    <row r="20" spans="1:4" ht="13.5" thickBot="1">
      <c r="A20" s="489"/>
      <c r="B20" s="8" t="s">
        <v>312</v>
      </c>
      <c r="C20" s="8" t="s">
        <v>64</v>
      </c>
      <c r="D20" s="256"/>
    </row>
    <row r="21" spans="1:4" ht="12.75">
      <c r="A21" s="488" t="s">
        <v>310</v>
      </c>
      <c r="B21" s="8" t="s">
        <v>311</v>
      </c>
      <c r="C21" s="8"/>
      <c r="D21" s="405">
        <v>1</v>
      </c>
    </row>
    <row r="22" spans="1:4" ht="12.75">
      <c r="A22" s="488"/>
      <c r="B22" s="8" t="s">
        <v>312</v>
      </c>
      <c r="C22" s="8"/>
      <c r="D22" s="405">
        <v>1</v>
      </c>
    </row>
    <row r="23" spans="1:4" ht="7.5" customHeight="1">
      <c r="A23" s="45"/>
      <c r="C23" s="8"/>
      <c r="D23" s="371"/>
    </row>
    <row r="24" spans="1:4" ht="12.75">
      <c r="A24" s="45" t="s">
        <v>212</v>
      </c>
      <c r="C24" s="8" t="s">
        <v>213</v>
      </c>
      <c r="D24" s="406" t="s">
        <v>468</v>
      </c>
    </row>
    <row r="25" ht="6.75" customHeight="1" thickBot="1">
      <c r="A25" s="12"/>
    </row>
    <row r="26" spans="1:5" ht="12.75">
      <c r="A26" s="253" t="s">
        <v>67</v>
      </c>
      <c r="C26" s="8"/>
      <c r="E26" s="425" t="s">
        <v>296</v>
      </c>
    </row>
    <row r="27" spans="1:5" ht="12.75">
      <c r="A27" s="254" t="s">
        <v>68</v>
      </c>
      <c r="C27" s="8"/>
      <c r="E27" s="426" t="s">
        <v>297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286</v>
      </c>
      <c r="D31" s="403">
        <v>13988892</v>
      </c>
      <c r="H31" s="5"/>
    </row>
    <row r="32" ht="6" customHeight="1"/>
    <row r="33" spans="1:8" ht="12.75">
      <c r="A33" t="s">
        <v>71</v>
      </c>
      <c r="D33" s="40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4">
        <v>0.0988</v>
      </c>
      <c r="H37" s="41"/>
    </row>
    <row r="38" ht="4.5" customHeight="1">
      <c r="H38" s="34"/>
    </row>
    <row r="39" spans="1:8" ht="12.75">
      <c r="A39" t="s">
        <v>74</v>
      </c>
      <c r="D39" s="404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1198148.5998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7">
        <v>683673</v>
      </c>
      <c r="E43" s="370">
        <f>D43</f>
        <v>683673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514475.59979999997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08">
        <v>177858</v>
      </c>
      <c r="E47" s="370">
        <f aca="true" t="shared" si="0" ref="E47:E53">D47</f>
        <v>177858</v>
      </c>
      <c r="H47" s="40"/>
      <c r="J47" s="5"/>
      <c r="K47" s="5"/>
    </row>
    <row r="48" spans="1:11" ht="12.75">
      <c r="A48" t="s">
        <v>289</v>
      </c>
      <c r="D48" s="408">
        <v>165126</v>
      </c>
      <c r="E48" s="370">
        <f>D48</f>
        <v>165126</v>
      </c>
      <c r="F48" s="22"/>
      <c r="H48" s="40"/>
      <c r="J48" s="5"/>
      <c r="K48" s="5"/>
    </row>
    <row r="49" spans="1:11" ht="12.75">
      <c r="A49" t="s">
        <v>290</v>
      </c>
      <c r="D49" s="409"/>
      <c r="E49" s="370">
        <v>0</v>
      </c>
      <c r="F49" s="22"/>
      <c r="H49" s="40"/>
      <c r="J49" s="5"/>
      <c r="K49" s="5"/>
    </row>
    <row r="50" spans="1:11" ht="12.75">
      <c r="A50" t="s">
        <v>291</v>
      </c>
      <c r="D50" s="410"/>
      <c r="E50" s="370">
        <f t="shared" si="0"/>
        <v>0</v>
      </c>
      <c r="H50" s="40"/>
      <c r="J50" s="5"/>
      <c r="K50" s="5"/>
    </row>
    <row r="51" spans="1:11" ht="12.75">
      <c r="A51" t="s">
        <v>433</v>
      </c>
      <c r="D51" s="410"/>
      <c r="E51" s="370">
        <f t="shared" si="0"/>
        <v>0</v>
      </c>
      <c r="H51" s="40"/>
      <c r="J51" s="5"/>
      <c r="K51" s="5"/>
    </row>
    <row r="52" spans="1:11" ht="12.75">
      <c r="A52" t="s">
        <v>456</v>
      </c>
      <c r="D52" s="410"/>
      <c r="E52" s="370">
        <f t="shared" si="0"/>
        <v>0</v>
      </c>
      <c r="H52" s="40"/>
      <c r="J52" s="5"/>
      <c r="K52" s="5"/>
    </row>
    <row r="53" spans="4:11" ht="12.75">
      <c r="D53" s="410"/>
      <c r="E53" s="370">
        <f t="shared" si="0"/>
        <v>0</v>
      </c>
      <c r="H53" s="40"/>
      <c r="J53" s="5"/>
      <c r="K53" s="5"/>
    </row>
    <row r="54" spans="1:11" ht="12.75">
      <c r="A54" s="2" t="s">
        <v>292</v>
      </c>
      <c r="E54" s="252">
        <f>SUM(E43:E53)</f>
        <v>1026657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6994446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691051.2648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6994446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0">
        <f>D60*D39</f>
        <v>507097.33499999996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1">
        <f>IF(D41&gt;0,(((D43+D47)/D41)*D62),0)</f>
        <v>364629.29071803857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1">
        <f>IF(D41&gt;0,(((D43+D47+D48)/D41)*D62),0)</f>
        <v>434516.2434325744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1">
        <f>IF(D41&gt;0,(((D43+D47+D48)/D41)*D62),0)</f>
        <v>434516.2434325744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442</v>
      </c>
      <c r="B70" s="5"/>
      <c r="C70" s="5"/>
      <c r="D70" s="251">
        <f>D62</f>
        <v>507097.33499999996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67">
      <selection activeCell="G32" sqref="G3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0.1406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458</v>
      </c>
      <c r="H1" s="208"/>
    </row>
    <row r="2" spans="1:8" ht="12.75">
      <c r="A2" s="209" t="s">
        <v>457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459</v>
      </c>
      <c r="H2" s="215"/>
    </row>
    <row r="3" spans="1:8" ht="12.75">
      <c r="A3" s="209" t="s">
        <v>49</v>
      </c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250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Lakefront Utilities Inc.</v>
      </c>
      <c r="B6" s="114"/>
      <c r="D6" s="136"/>
      <c r="E6" s="114"/>
      <c r="G6" s="114"/>
      <c r="H6" s="447"/>
    </row>
    <row r="7" spans="1:8" ht="12.75">
      <c r="A7" s="209" t="str">
        <f>REGINFO!A4</f>
        <v>Reporting period:  2002</v>
      </c>
      <c r="B7" s="114"/>
      <c r="D7" s="136"/>
      <c r="E7" s="114"/>
      <c r="G7" s="114"/>
      <c r="H7" s="447"/>
    </row>
    <row r="8" spans="2:12" ht="12.75">
      <c r="B8" s="220"/>
      <c r="C8" s="228"/>
      <c r="D8" s="212"/>
      <c r="E8" s="136"/>
      <c r="F8" s="218"/>
      <c r="G8" s="181" t="s">
        <v>87</v>
      </c>
      <c r="H8" s="215"/>
      <c r="J8" s="47" t="s">
        <v>129</v>
      </c>
      <c r="K8" s="47"/>
      <c r="L8" s="47"/>
    </row>
    <row r="9" spans="1:8" ht="12.75">
      <c r="A9" s="209" t="s">
        <v>126</v>
      </c>
      <c r="B9" s="411">
        <f>REGINFO!B6</f>
        <v>365</v>
      </c>
      <c r="C9" s="229" t="s">
        <v>127</v>
      </c>
      <c r="D9" s="212"/>
      <c r="E9" s="136"/>
      <c r="F9" s="218"/>
      <c r="G9" s="181" t="s">
        <v>90</v>
      </c>
      <c r="H9" s="215"/>
    </row>
    <row r="10" spans="1:8" ht="12.75">
      <c r="A10" s="209" t="s">
        <v>255</v>
      </c>
      <c r="B10" s="411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340</v>
      </c>
      <c r="B16" s="124">
        <v>1</v>
      </c>
      <c r="C16" s="258">
        <f>REGINFO!E54</f>
        <v>1026657</v>
      </c>
      <c r="D16" s="17"/>
      <c r="E16" s="266">
        <f>G16-C16</f>
        <v>-133400</v>
      </c>
      <c r="F16" s="3"/>
      <c r="G16" s="266">
        <f>TAXREC!E50</f>
        <v>893257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0">
        <v>734456</v>
      </c>
      <c r="D20" s="18"/>
      <c r="E20" s="266">
        <f>G20-C20</f>
        <v>-72290</v>
      </c>
      <c r="F20" s="6"/>
      <c r="G20" s="266">
        <f>TAXREC!E61</f>
        <v>662166</v>
      </c>
      <c r="H20" s="150"/>
    </row>
    <row r="21" spans="1:8" ht="12.75">
      <c r="A21" s="157" t="s">
        <v>56</v>
      </c>
      <c r="B21" s="126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0"/>
    </row>
    <row r="22" spans="1:8" ht="12.75">
      <c r="A22" s="157" t="s">
        <v>263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</row>
    <row r="23" spans="1:8" ht="12.75">
      <c r="A23" s="157" t="s">
        <v>262</v>
      </c>
      <c r="B23" s="126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0"/>
    </row>
    <row r="24" spans="1:8" ht="12.75">
      <c r="A24" s="157" t="s">
        <v>264</v>
      </c>
      <c r="B24" s="126">
        <v>5</v>
      </c>
      <c r="C24" s="260">
        <v>63055</v>
      </c>
      <c r="D24" s="18"/>
      <c r="E24" s="266">
        <f>G24-C24</f>
        <v>-63055</v>
      </c>
      <c r="F24" s="6"/>
      <c r="G24" s="266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4"/>
      <c r="F25" s="33"/>
      <c r="G25" s="184"/>
      <c r="H25" s="150"/>
    </row>
    <row r="26" spans="1:8" ht="12.75">
      <c r="A26" s="157" t="s">
        <v>156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</row>
    <row r="27" spans="1:8" ht="12.75">
      <c r="A27" s="157" t="s">
        <v>159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</row>
    <row r="28" spans="1:8" ht="12.75">
      <c r="A28" s="157" t="s">
        <v>158</v>
      </c>
      <c r="B28" s="126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0"/>
    </row>
    <row r="29" spans="1:8" ht="12.75">
      <c r="A29" s="157" t="s">
        <v>157</v>
      </c>
      <c r="B29" s="126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0"/>
    </row>
    <row r="30" spans="1:8" ht="15.75">
      <c r="A30" s="464" t="s">
        <v>389</v>
      </c>
      <c r="B30" s="126"/>
      <c r="C30" s="258"/>
      <c r="D30" s="18"/>
      <c r="E30" s="266">
        <f>G30-C30</f>
        <v>0</v>
      </c>
      <c r="F30" s="6"/>
      <c r="G30" s="266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341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0">
        <v>466068</v>
      </c>
      <c r="D33" s="131"/>
      <c r="E33" s="266">
        <f aca="true" t="shared" si="0" ref="E33:E42">G33-C33</f>
        <v>101731</v>
      </c>
      <c r="F33" s="6"/>
      <c r="G33" s="266">
        <f>TAXREC!E97+TAXREC!E98</f>
        <v>567799</v>
      </c>
      <c r="H33" s="150"/>
    </row>
    <row r="34" spans="1:8" ht="12.75">
      <c r="A34" s="157" t="s">
        <v>57</v>
      </c>
      <c r="B34" s="126">
        <v>8</v>
      </c>
      <c r="C34" s="260"/>
      <c r="D34" s="131"/>
      <c r="E34" s="266">
        <f t="shared" si="0"/>
        <v>0</v>
      </c>
      <c r="F34" s="6"/>
      <c r="G34" s="266">
        <f>TAXREC!E99</f>
        <v>0</v>
      </c>
      <c r="H34" s="150"/>
    </row>
    <row r="35" spans="1:8" ht="12.75">
      <c r="A35" s="157" t="s">
        <v>45</v>
      </c>
      <c r="B35" s="126">
        <v>9</v>
      </c>
      <c r="C35" s="260"/>
      <c r="D35" s="131"/>
      <c r="E35" s="266">
        <f t="shared" si="0"/>
        <v>0</v>
      </c>
      <c r="F35" s="6"/>
      <c r="G35" s="266">
        <f>TAXREC!E100</f>
        <v>0</v>
      </c>
      <c r="H35" s="150"/>
    </row>
    <row r="36" spans="1:8" ht="12.75">
      <c r="A36" s="157" t="s">
        <v>265</v>
      </c>
      <c r="B36" s="126">
        <v>10</v>
      </c>
      <c r="C36" s="260"/>
      <c r="D36" s="131"/>
      <c r="E36" s="266">
        <f t="shared" si="0"/>
        <v>0</v>
      </c>
      <c r="F36" s="6"/>
      <c r="G36" s="266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9">
        <f>REGINFO!D66</f>
        <v>434516.2434325744</v>
      </c>
      <c r="D37" s="131"/>
      <c r="E37" s="266">
        <f t="shared" si="0"/>
        <v>133941.75656742562</v>
      </c>
      <c r="F37" s="6"/>
      <c r="G37" s="266">
        <f>TAXREC!E51</f>
        <v>568458</v>
      </c>
      <c r="H37" s="150"/>
    </row>
    <row r="38" spans="1:8" ht="12.75">
      <c r="A38" s="154" t="s">
        <v>261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</row>
    <row r="39" spans="1:8" ht="12.75">
      <c r="A39" s="154" t="s">
        <v>260</v>
      </c>
      <c r="B39" s="124">
        <v>4</v>
      </c>
      <c r="C39" s="260"/>
      <c r="D39" s="131"/>
      <c r="E39" s="266">
        <f t="shared" si="0"/>
        <v>0</v>
      </c>
      <c r="F39" s="6"/>
      <c r="G39" s="266">
        <f>TAXREC!E105</f>
        <v>0</v>
      </c>
      <c r="H39" s="150"/>
    </row>
    <row r="40" spans="1:8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</row>
    <row r="41" spans="1:8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</row>
    <row r="42" spans="1:8" ht="12.75">
      <c r="A42" s="154" t="s">
        <v>184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156</v>
      </c>
      <c r="B44" s="126">
        <v>12</v>
      </c>
      <c r="C44" s="260"/>
      <c r="D44" s="131"/>
      <c r="E44" s="266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153</v>
      </c>
      <c r="B45" s="126">
        <v>12</v>
      </c>
      <c r="C45" s="260"/>
      <c r="D45" s="131"/>
      <c r="E45" s="266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155</v>
      </c>
      <c r="B46" s="126">
        <v>12</v>
      </c>
      <c r="C46" s="260"/>
      <c r="D46" s="131"/>
      <c r="E46" s="266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154</v>
      </c>
      <c r="B47" s="126">
        <v>12</v>
      </c>
      <c r="C47" s="260"/>
      <c r="D47" s="131"/>
      <c r="E47" s="266">
        <f>G47-C47</f>
        <v>0</v>
      </c>
      <c r="F47" s="6"/>
      <c r="G47" s="249">
        <f>TAXREC!E111</f>
        <v>0</v>
      </c>
      <c r="H47" s="150"/>
    </row>
    <row r="48" spans="1:8" ht="15.75">
      <c r="A48" s="464" t="s">
        <v>389</v>
      </c>
      <c r="B48" s="126"/>
      <c r="C48" s="258"/>
      <c r="D48" s="131"/>
      <c r="E48" s="266">
        <f>G48-C48</f>
        <v>23924</v>
      </c>
      <c r="F48" s="6"/>
      <c r="G48" s="249">
        <f>TAXREC!E108</f>
        <v>23924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328</v>
      </c>
      <c r="B50" s="124"/>
      <c r="C50" s="262">
        <f>C16+SUM(C20:C30)-SUM(C33:C48)</f>
        <v>923583.7565674256</v>
      </c>
      <c r="D50" s="101"/>
      <c r="E50" s="262">
        <f>E16+SUM(E20:E30)-SUM(E33:E48)</f>
        <v>-528341.7565674256</v>
      </c>
      <c r="F50" s="413" t="s">
        <v>364</v>
      </c>
      <c r="G50" s="262">
        <f>G16+SUM(G20:G30)-SUM(G33:G48)</f>
        <v>395242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336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339</v>
      </c>
      <c r="B53" s="126">
        <v>13</v>
      </c>
      <c r="C53" s="261">
        <f>'Tax Rates'!F16</f>
        <v>0.3862</v>
      </c>
      <c r="D53" s="101"/>
      <c r="E53" s="267">
        <f>+G53-C53</f>
        <v>0</v>
      </c>
      <c r="F53" s="113"/>
      <c r="G53" s="454">
        <f>C53</f>
        <v>0.3862</v>
      </c>
      <c r="H53" s="150"/>
      <c r="I53" s="451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3">
        <f>IF(C50&gt;0,C50*C53,0)</f>
        <v>356688.0467863397</v>
      </c>
      <c r="D55" s="101"/>
      <c r="E55" s="266">
        <f>G55-C55</f>
        <v>-336184.0467863397</v>
      </c>
      <c r="F55" s="413" t="s">
        <v>365</v>
      </c>
      <c r="G55" s="263">
        <f>TAXREC!E144</f>
        <v>20504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13" t="s">
        <v>365</v>
      </c>
      <c r="G58" s="269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5">
        <f>+C55-C58</f>
        <v>356688.0467863397</v>
      </c>
      <c r="D60" s="132"/>
      <c r="E60" s="268">
        <f>+E55-E58</f>
        <v>-336184.0467863397</v>
      </c>
      <c r="F60" s="413" t="s">
        <v>365</v>
      </c>
      <c r="G60" s="268">
        <f>+G55-G58</f>
        <v>20504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3">
        <f>Ratebase</f>
        <v>13988892</v>
      </c>
      <c r="D66" s="101"/>
      <c r="E66" s="266">
        <f>G66-C66</f>
        <v>-1014311</v>
      </c>
      <c r="F66" s="6"/>
      <c r="G66" s="456">
        <v>12974581</v>
      </c>
      <c r="H66" s="150"/>
      <c r="I66" s="457" t="s">
        <v>466</v>
      </c>
    </row>
    <row r="67" spans="1:10" ht="12.75">
      <c r="A67" s="151" t="s">
        <v>357</v>
      </c>
      <c r="B67" s="124">
        <v>16</v>
      </c>
      <c r="C67" s="259">
        <f>IF(C66&gt;0,'Tax Rates'!C21,0)</f>
        <v>5000000</v>
      </c>
      <c r="D67" s="101"/>
      <c r="E67" s="266">
        <f>G67-C67</f>
        <v>0</v>
      </c>
      <c r="F67" s="6"/>
      <c r="G67" s="456">
        <v>5000000</v>
      </c>
      <c r="H67" s="150"/>
      <c r="I67" s="457" t="s">
        <v>466</v>
      </c>
      <c r="J67" s="470"/>
    </row>
    <row r="68" spans="1:8" ht="12.75">
      <c r="A68" s="151" t="s">
        <v>42</v>
      </c>
      <c r="B68" s="124"/>
      <c r="C68" s="263">
        <f>IF((C66-C67)&gt;0,C66-C67,0)</f>
        <v>8988892</v>
      </c>
      <c r="D68" s="101"/>
      <c r="E68" s="266">
        <f>SUM(E66:E67)</f>
        <v>-1014311</v>
      </c>
      <c r="F68" s="113"/>
      <c r="G68" s="263">
        <f>G66-G67</f>
        <v>7974581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358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315</v>
      </c>
      <c r="B72" s="124"/>
      <c r="C72" s="263">
        <f>IF(C68&gt;0,C68*C70,0)*REGINFO!$B$6/REGINFO!$B$7</f>
        <v>26966.676</v>
      </c>
      <c r="D72" s="100"/>
      <c r="E72" s="266">
        <f>+G72-C72</f>
        <v>-3042.9329999999973</v>
      </c>
      <c r="F72" s="458"/>
      <c r="G72" s="263">
        <f>IF(G68&gt;0,G68*G70,0)*REGINFO!$B$6/REGINFO!$B$7</f>
        <v>23923.743000000002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218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3">
        <f>Ratebase</f>
        <v>13988892</v>
      </c>
      <c r="D75" s="101"/>
      <c r="E75" s="266">
        <f>+G75-C75</f>
        <v>-1125115</v>
      </c>
      <c r="F75" s="6"/>
      <c r="G75" s="456">
        <v>12863777</v>
      </c>
      <c r="H75" s="150"/>
      <c r="I75" s="457" t="s">
        <v>466</v>
      </c>
    </row>
    <row r="76" spans="1:9" ht="12.75">
      <c r="A76" s="151" t="s">
        <v>357</v>
      </c>
      <c r="B76" s="124">
        <v>19</v>
      </c>
      <c r="C76" s="259">
        <f>IF(C75&gt;0,'Tax Rates'!C22,0)</f>
        <v>10000000</v>
      </c>
      <c r="D76" s="18"/>
      <c r="E76" s="266">
        <f>+G76-C76</f>
        <v>0</v>
      </c>
      <c r="F76" s="6"/>
      <c r="G76" s="456">
        <v>10000000</v>
      </c>
      <c r="H76" s="150"/>
      <c r="I76" s="457" t="s">
        <v>466</v>
      </c>
    </row>
    <row r="77" spans="1:8" ht="12.75">
      <c r="A77" s="151" t="s">
        <v>42</v>
      </c>
      <c r="B77" s="124"/>
      <c r="C77" s="263">
        <f>IF((C75-C76)&gt;0,C75-C76,0)</f>
        <v>3988892</v>
      </c>
      <c r="D77" s="19"/>
      <c r="E77" s="266">
        <f>SUM(E75:E76)</f>
        <v>-1125115</v>
      </c>
      <c r="F77" s="113"/>
      <c r="G77" s="263">
        <f>G75-G76</f>
        <v>2863777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358</v>
      </c>
      <c r="B79" s="124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C79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316</v>
      </c>
      <c r="B81" s="124"/>
      <c r="C81" s="263">
        <f>IF(C77&gt;0,C77*C79,0)*REGINFO!$B$6/REGINFO!$B$7</f>
        <v>8975.007</v>
      </c>
      <c r="D81" s="101"/>
      <c r="E81" s="266">
        <f>+G81-C81</f>
        <v>-2531.508749999999</v>
      </c>
      <c r="F81" s="6"/>
      <c r="G81" s="263">
        <f>G77*G79*B9/B10</f>
        <v>6443.498250000001</v>
      </c>
      <c r="H81" s="150"/>
    </row>
    <row r="82" spans="1:8" ht="12.75">
      <c r="A82" s="151" t="s">
        <v>317</v>
      </c>
      <c r="B82" s="124">
        <v>21</v>
      </c>
      <c r="C82" s="299">
        <f>IF(C77&gt;0,IF(C60&gt;0,C50*'Tax Rates'!C20,0),0)</f>
        <v>10344.138073555167</v>
      </c>
      <c r="D82" s="101"/>
      <c r="E82" s="266">
        <f>+G82-C82</f>
        <v>-9143.027673555167</v>
      </c>
      <c r="F82" s="6"/>
      <c r="G82" s="299">
        <f>0.0112*TAXREC!C139</f>
        <v>1201.1104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3">
        <v>0</v>
      </c>
      <c r="D84" s="16"/>
      <c r="E84" s="266">
        <f>E81-E82</f>
        <v>6611.518923555168</v>
      </c>
      <c r="F84" s="102"/>
      <c r="G84" s="263">
        <f>G81-G82</f>
        <v>5242.387850000001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227</v>
      </c>
      <c r="B88" s="124"/>
      <c r="C88" s="261">
        <f>'Tax Rates'!F16</f>
        <v>0.3862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366</v>
      </c>
      <c r="B90" s="126">
        <v>22</v>
      </c>
      <c r="C90" s="263">
        <f>C60/(1-C88)</f>
        <v>581114.4457255453</v>
      </c>
      <c r="D90" s="20"/>
      <c r="E90" s="138"/>
      <c r="F90" s="412" t="s">
        <v>475</v>
      </c>
      <c r="G90" s="269">
        <f>TAXREC!E156</f>
        <v>20504</v>
      </c>
      <c r="H90" s="150"/>
    </row>
    <row r="91" spans="1:8" ht="12.75">
      <c r="A91" s="157" t="s">
        <v>367</v>
      </c>
      <c r="B91" s="126">
        <v>23</v>
      </c>
      <c r="C91" s="263">
        <f>C84</f>
        <v>0</v>
      </c>
      <c r="D91" s="20"/>
      <c r="E91" s="138"/>
      <c r="F91" s="412" t="s">
        <v>475</v>
      </c>
      <c r="G91" s="269">
        <f>TAXREC!E158</f>
        <v>5242.387850000001</v>
      </c>
      <c r="H91" s="150"/>
    </row>
    <row r="92" spans="1:8" ht="12.75">
      <c r="A92" s="157" t="s">
        <v>349</v>
      </c>
      <c r="B92" s="126">
        <v>24</v>
      </c>
      <c r="C92" s="263">
        <f>C72</f>
        <v>26966.676</v>
      </c>
      <c r="D92" s="20"/>
      <c r="E92" s="138"/>
      <c r="F92" s="412" t="s">
        <v>475</v>
      </c>
      <c r="G92" s="269">
        <f>TAXREC!E157</f>
        <v>23923.743000000002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476</v>
      </c>
      <c r="B95" s="124">
        <v>25</v>
      </c>
      <c r="C95" s="268">
        <f>SUM(C90:C93)</f>
        <v>608081.1217255453</v>
      </c>
      <c r="D95" s="6"/>
      <c r="E95" s="138"/>
      <c r="F95" s="412" t="s">
        <v>475</v>
      </c>
      <c r="G95" s="395">
        <f>SUM(G90:G94)</f>
        <v>49670.13085</v>
      </c>
      <c r="H95" s="163"/>
    </row>
    <row r="96" spans="1:8" ht="12.75">
      <c r="A96" s="386" t="s">
        <v>307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304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247</v>
      </c>
      <c r="B100" s="122"/>
      <c r="C100" s="111"/>
      <c r="D100" s="3"/>
      <c r="E100" s="142" t="s">
        <v>249</v>
      </c>
      <c r="F100" s="37"/>
      <c r="G100" s="198"/>
      <c r="H100" s="163"/>
    </row>
    <row r="101" spans="1:8" ht="12.75">
      <c r="A101" s="155" t="s">
        <v>347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56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100</v>
      </c>
      <c r="B104" s="126">
        <v>4</v>
      </c>
      <c r="C104" s="111"/>
      <c r="D104" s="3"/>
      <c r="E104" s="249">
        <f>E23</f>
        <v>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v>0</v>
      </c>
      <c r="F105" s="37"/>
      <c r="G105" s="199"/>
      <c r="H105" s="163"/>
    </row>
    <row r="106" spans="1:8" ht="12.75">
      <c r="A106" s="157" t="s">
        <v>360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361</v>
      </c>
      <c r="B107" s="126">
        <v>6</v>
      </c>
      <c r="C107" s="111"/>
      <c r="D107" s="3"/>
      <c r="E107" s="249">
        <f>E28</f>
        <v>0</v>
      </c>
      <c r="F107" s="37"/>
      <c r="G107" s="199"/>
      <c r="H107" s="163"/>
    </row>
    <row r="108" spans="1:8" ht="12.75">
      <c r="A108" s="155" t="s">
        <v>359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57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486" t="s">
        <v>44</v>
      </c>
      <c r="B111" s="126">
        <v>10</v>
      </c>
      <c r="C111" s="111"/>
      <c r="D111" s="3"/>
      <c r="E111" s="487">
        <f>E36</f>
        <v>0</v>
      </c>
      <c r="F111" s="37"/>
      <c r="G111" s="199"/>
      <c r="H111" s="163"/>
    </row>
    <row r="112" spans="1:8" ht="12.75">
      <c r="A112" s="154" t="s">
        <v>320</v>
      </c>
      <c r="B112" s="126">
        <v>11</v>
      </c>
      <c r="C112" s="111"/>
      <c r="D112" s="3"/>
      <c r="E112" s="453">
        <f>E206</f>
        <v>60162.66500000004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101</v>
      </c>
      <c r="B114" s="124">
        <v>4</v>
      </c>
      <c r="C114" s="111"/>
      <c r="D114" s="3"/>
      <c r="E114" s="249">
        <f>E39</f>
        <v>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362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10" ht="12.75">
      <c r="A118" s="157" t="s">
        <v>363</v>
      </c>
      <c r="B118" s="126">
        <v>12</v>
      </c>
      <c r="C118" s="111"/>
      <c r="D118" s="3"/>
      <c r="E118" s="249">
        <f>E46</f>
        <v>0</v>
      </c>
      <c r="F118" s="37"/>
      <c r="G118" s="199"/>
      <c r="H118" s="163"/>
      <c r="J118" s="471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8" ht="12.75">
      <c r="A120" s="151" t="s">
        <v>220</v>
      </c>
      <c r="B120" s="126">
        <v>26</v>
      </c>
      <c r="C120" s="111"/>
      <c r="D120" s="116" t="s">
        <v>189</v>
      </c>
      <c r="E120" s="263">
        <f>SUM(E102:E107)-SUM(E109:E118)</f>
        <v>-60162.66500000004</v>
      </c>
      <c r="F120" s="37"/>
      <c r="G120" s="199"/>
      <c r="H120" s="163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10" ht="12.75">
      <c r="A122" s="477" t="s">
        <v>485</v>
      </c>
      <c r="B122" s="126"/>
      <c r="C122" s="111"/>
      <c r="D122" s="3" t="s">
        <v>231</v>
      </c>
      <c r="E122" s="450">
        <f>'Tax Rates'!F34</f>
        <v>0.3862</v>
      </c>
      <c r="F122" s="451"/>
      <c r="G122" s="199" t="s">
        <v>102</v>
      </c>
      <c r="H122" s="163"/>
      <c r="J122" s="471"/>
    </row>
    <row r="123" spans="1:8" ht="12.75">
      <c r="A123" s="157"/>
      <c r="B123" s="126"/>
      <c r="C123" s="111"/>
      <c r="D123" s="3"/>
      <c r="E123" s="109"/>
      <c r="F123" s="37"/>
      <c r="G123" s="199" t="s">
        <v>102</v>
      </c>
      <c r="H123" s="163"/>
    </row>
    <row r="124" spans="1:9" ht="12.75">
      <c r="A124" s="157" t="s">
        <v>246</v>
      </c>
      <c r="B124" s="126"/>
      <c r="C124" s="111"/>
      <c r="D124" s="3" t="s">
        <v>189</v>
      </c>
      <c r="E124" s="263">
        <f>E120*E122</f>
        <v>-23234.821223000014</v>
      </c>
      <c r="F124" s="37"/>
      <c r="G124" s="199"/>
      <c r="H124" s="163"/>
      <c r="I124" s="478"/>
    </row>
    <row r="125" spans="1:9" ht="12.75">
      <c r="A125" s="157"/>
      <c r="B125" s="126"/>
      <c r="C125" s="111"/>
      <c r="D125" s="3"/>
      <c r="E125" s="109"/>
      <c r="F125" s="37"/>
      <c r="G125" s="199"/>
      <c r="H125" s="163"/>
      <c r="I125" s="478"/>
    </row>
    <row r="126" spans="1:8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117</v>
      </c>
      <c r="B128" s="126"/>
      <c r="C128" s="111"/>
      <c r="D128" s="3"/>
      <c r="E128" s="263">
        <f>E124-E126</f>
        <v>-23234.821223000014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151" t="s">
        <v>196</v>
      </c>
      <c r="B130" s="126"/>
      <c r="C130" s="111"/>
      <c r="D130" s="3"/>
      <c r="E130" s="450">
        <f>'Tax Rates'!F34-'Tax Rates'!C38</f>
        <v>0.375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350</v>
      </c>
      <c r="B132" s="129"/>
      <c r="C132" s="111"/>
      <c r="D132" s="3"/>
      <c r="E132" s="262">
        <f>E128/(1-E130)</f>
        <v>-37175.71395680002</v>
      </c>
      <c r="F132" s="37"/>
      <c r="G132" s="199"/>
      <c r="H132" s="163"/>
      <c r="I132" s="478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30">
      <c r="A134" s="168" t="s">
        <v>353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5.5">
      <c r="A136" s="170" t="s">
        <v>235</v>
      </c>
      <c r="B136" s="129"/>
      <c r="C136" s="111"/>
      <c r="D136" s="117" t="s">
        <v>189</v>
      </c>
      <c r="E136" s="301">
        <f>C50</f>
        <v>923583.7565674256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10" ht="12.75">
      <c r="A138" s="170" t="s">
        <v>237</v>
      </c>
      <c r="B138" s="129"/>
      <c r="C138" s="111"/>
      <c r="D138" s="118" t="s">
        <v>231</v>
      </c>
      <c r="E138" s="450">
        <f>'Tax Rates'!F16</f>
        <v>0.3862</v>
      </c>
      <c r="F138" s="195" t="s">
        <v>102</v>
      </c>
      <c r="G138" s="199"/>
      <c r="H138" s="163"/>
      <c r="J138" s="471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229</v>
      </c>
      <c r="B140" s="129"/>
      <c r="C140" s="111"/>
      <c r="D140" s="117" t="s">
        <v>189</v>
      </c>
      <c r="E140" s="302">
        <f>IF(E136&gt;0,E136*E138,0)</f>
        <v>356688.0467863397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238</v>
      </c>
      <c r="B142" s="129"/>
      <c r="C142" s="111"/>
      <c r="D142" s="117" t="s">
        <v>188</v>
      </c>
      <c r="E142" s="303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230</v>
      </c>
      <c r="B144" s="129"/>
      <c r="C144" s="111"/>
      <c r="D144" s="118" t="s">
        <v>189</v>
      </c>
      <c r="E144" s="301">
        <f>E140-E142</f>
        <v>356688.0467863397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5.5">
      <c r="A146" s="170" t="s">
        <v>239</v>
      </c>
      <c r="B146" s="129"/>
      <c r="C146" s="111"/>
      <c r="D146" s="117" t="s">
        <v>188</v>
      </c>
      <c r="E146" s="301">
        <f>C60</f>
        <v>356688.0467863397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232</v>
      </c>
      <c r="B148" s="129"/>
      <c r="C148" s="111"/>
      <c r="D148" s="117" t="s">
        <v>189</v>
      </c>
      <c r="E148" s="301">
        <f>E144-E146</f>
        <v>0</v>
      </c>
      <c r="F148" s="37"/>
      <c r="G148" s="199"/>
      <c r="H148" s="163"/>
      <c r="I148" s="478" t="s">
        <v>486</v>
      </c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9" t="s">
        <v>20</v>
      </c>
      <c r="B150" s="129"/>
      <c r="C150" s="111"/>
      <c r="D150" s="118"/>
      <c r="E150" s="463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189</v>
      </c>
      <c r="E151" s="301">
        <f>C66</f>
        <v>13988892</v>
      </c>
      <c r="F151" s="37"/>
      <c r="G151" s="199"/>
      <c r="H151" s="163"/>
    </row>
    <row r="152" spans="1:8" ht="12.75">
      <c r="A152" s="170" t="s">
        <v>356</v>
      </c>
      <c r="B152" s="129"/>
      <c r="C152" s="111"/>
      <c r="D152" s="117" t="s">
        <v>188</v>
      </c>
      <c r="E152" s="304">
        <f>IF(E151&gt;0,'Tax Rates'!C39,0)</f>
        <v>5000000</v>
      </c>
      <c r="F152" s="37"/>
      <c r="G152" s="199"/>
      <c r="H152" s="163"/>
    </row>
    <row r="153" spans="1:8" ht="12.75">
      <c r="A153" s="170" t="s">
        <v>233</v>
      </c>
      <c r="B153" s="129"/>
      <c r="C153" s="111"/>
      <c r="D153" s="117" t="s">
        <v>189</v>
      </c>
      <c r="E153" s="301">
        <f>E151-E152</f>
        <v>8988892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473" t="s">
        <v>483</v>
      </c>
      <c r="B155" s="129"/>
      <c r="C155" s="111"/>
      <c r="D155" s="118" t="s">
        <v>231</v>
      </c>
      <c r="E155" s="305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234</v>
      </c>
      <c r="B157" s="129"/>
      <c r="C157" s="111"/>
      <c r="D157" s="118" t="s">
        <v>189</v>
      </c>
      <c r="E157" s="301">
        <f>IF(E153&gt;0,E153*E155*B9/B10,0)</f>
        <v>26966.676</v>
      </c>
      <c r="F157" s="37"/>
      <c r="G157" s="199"/>
      <c r="H157" s="163"/>
    </row>
    <row r="158" spans="1:8" ht="25.5">
      <c r="A158" s="170" t="s">
        <v>308</v>
      </c>
      <c r="B158" s="129"/>
      <c r="C158" s="111"/>
      <c r="D158" s="117" t="s">
        <v>188</v>
      </c>
      <c r="E158" s="304">
        <f>C72</f>
        <v>26966.676</v>
      </c>
      <c r="F158" s="37"/>
      <c r="G158" s="199"/>
      <c r="H158" s="163"/>
    </row>
    <row r="159" spans="1:9" ht="12.75" customHeight="1">
      <c r="A159" s="171" t="s">
        <v>244</v>
      </c>
      <c r="B159" s="129"/>
      <c r="C159" s="111"/>
      <c r="D159" s="117" t="s">
        <v>189</v>
      </c>
      <c r="E159" s="455">
        <f>E157-E158</f>
        <v>0</v>
      </c>
      <c r="F159" s="37"/>
      <c r="G159" s="199"/>
      <c r="H159" s="163"/>
      <c r="I159" s="478" t="s">
        <v>487</v>
      </c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9" t="s">
        <v>236</v>
      </c>
      <c r="B161" s="129"/>
      <c r="C161" s="111"/>
      <c r="D161" s="118"/>
      <c r="E161" s="303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13988892</v>
      </c>
      <c r="F162" s="37"/>
      <c r="G162" s="199"/>
      <c r="H162" s="163"/>
    </row>
    <row r="163" spans="1:8" ht="12.75">
      <c r="A163" s="170" t="s">
        <v>355</v>
      </c>
      <c r="B163" s="129"/>
      <c r="C163" s="111"/>
      <c r="D163" s="117" t="s">
        <v>188</v>
      </c>
      <c r="E163" s="304">
        <f>IF(E162&gt;0,'Tax Rates'!C40,0)</f>
        <v>10000000</v>
      </c>
      <c r="F163" s="37"/>
      <c r="G163" s="199"/>
      <c r="H163" s="163"/>
    </row>
    <row r="164" spans="1:8" ht="12.75">
      <c r="A164" s="170" t="s">
        <v>240</v>
      </c>
      <c r="B164" s="129"/>
      <c r="C164" s="111"/>
      <c r="D164" s="118" t="s">
        <v>189</v>
      </c>
      <c r="E164" s="301">
        <f>E162-E163</f>
        <v>3988892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473" t="s">
        <v>484</v>
      </c>
      <c r="B166" s="129"/>
      <c r="C166" s="111"/>
      <c r="D166" s="118"/>
      <c r="E166" s="305">
        <f>'Tax Rates'!C37</f>
        <v>0.00225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241</v>
      </c>
      <c r="B168" s="129"/>
      <c r="C168" s="111"/>
      <c r="D168" s="118"/>
      <c r="E168" s="301">
        <f>IF(E164&gt;0,E164*E166*B9/B10,0)</f>
        <v>8975.007</v>
      </c>
      <c r="F168" s="37"/>
      <c r="G168" s="199"/>
      <c r="H168" s="163"/>
    </row>
    <row r="169" spans="1:8" ht="12.75">
      <c r="A169" s="170" t="s">
        <v>318</v>
      </c>
      <c r="B169" s="129"/>
      <c r="C169" s="111"/>
      <c r="D169" s="117" t="s">
        <v>188</v>
      </c>
      <c r="E169" s="306">
        <f>'Tax Rates'!C38*TAXCALC!C50</f>
        <v>10344.138073555167</v>
      </c>
      <c r="F169" s="37"/>
      <c r="G169" s="199"/>
      <c r="H169" s="163"/>
    </row>
    <row r="170" spans="1:8" ht="12.75">
      <c r="A170" s="170" t="s">
        <v>242</v>
      </c>
      <c r="B170" s="129"/>
      <c r="C170" s="111"/>
      <c r="D170" s="118" t="s">
        <v>189</v>
      </c>
      <c r="E170" s="301"/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6" t="s">
        <v>348</v>
      </c>
      <c r="B172" s="129"/>
      <c r="C172" s="111"/>
      <c r="D172" s="117" t="s">
        <v>188</v>
      </c>
      <c r="E172" s="304">
        <f>C84</f>
        <v>0</v>
      </c>
      <c r="F172" s="37"/>
      <c r="G172" s="199"/>
      <c r="H172" s="163"/>
    </row>
    <row r="173" spans="1:9" ht="12.75">
      <c r="A173" s="154" t="s">
        <v>245</v>
      </c>
      <c r="B173" s="129"/>
      <c r="C173" s="111"/>
      <c r="D173" s="118" t="s">
        <v>189</v>
      </c>
      <c r="E173" s="455">
        <f>E170-E172</f>
        <v>0</v>
      </c>
      <c r="F173" s="37"/>
      <c r="G173" s="199"/>
      <c r="H173" s="163"/>
      <c r="I173" s="478" t="s">
        <v>487</v>
      </c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345</v>
      </c>
      <c r="B175" s="129"/>
      <c r="C175" s="111"/>
      <c r="D175" s="118"/>
      <c r="E175" s="450">
        <v>0</v>
      </c>
      <c r="F175" s="451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243</v>
      </c>
      <c r="B177" s="129"/>
      <c r="C177" s="111"/>
      <c r="D177" s="118" t="s">
        <v>187</v>
      </c>
      <c r="E177" s="301">
        <f>E148/(1-E175)</f>
        <v>0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187</v>
      </c>
      <c r="E178" s="301">
        <f>E173/(1-E175)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187</v>
      </c>
      <c r="E179" s="301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351</v>
      </c>
      <c r="B181" s="129"/>
      <c r="C181" s="111"/>
      <c r="D181" s="118" t="s">
        <v>189</v>
      </c>
      <c r="E181" s="301">
        <f>SUM(E177:E179)</f>
        <v>0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346</v>
      </c>
      <c r="B183" s="129"/>
      <c r="C183" s="111"/>
      <c r="D183" s="118" t="s">
        <v>187</v>
      </c>
      <c r="E183" s="301">
        <f>E132</f>
        <v>-37175.71395680002</v>
      </c>
      <c r="F183" s="37" t="s">
        <v>102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5">
      <c r="A185" s="474" t="s">
        <v>352</v>
      </c>
      <c r="B185" s="129"/>
      <c r="C185" s="111"/>
      <c r="D185" s="118" t="s">
        <v>189</v>
      </c>
      <c r="E185" s="479">
        <f>E181+E183</f>
        <v>-37175.71395680002</v>
      </c>
      <c r="F185" s="37"/>
      <c r="G185" s="199"/>
      <c r="H185" s="163"/>
    </row>
    <row r="186" spans="1:8" ht="12.75">
      <c r="A186" s="475" t="s">
        <v>248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224</v>
      </c>
      <c r="B193" s="126"/>
      <c r="C193" s="111"/>
      <c r="D193" s="119"/>
      <c r="E193" s="307">
        <f>REGINFO!D62</f>
        <v>507097.33499999996</v>
      </c>
      <c r="F193" s="3"/>
      <c r="G193" s="122"/>
      <c r="H193" s="163"/>
    </row>
    <row r="194" spans="1:8" ht="12.75">
      <c r="A194" s="154" t="s">
        <v>251</v>
      </c>
      <c r="B194" s="126"/>
      <c r="C194" s="111"/>
      <c r="D194" s="119"/>
      <c r="E194" s="307">
        <f>REGINFO!D66</f>
        <v>434516.2434325744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342</v>
      </c>
      <c r="B196" s="126"/>
      <c r="C196" s="111"/>
      <c r="D196" s="119"/>
      <c r="E196" s="307">
        <f>E193-E194</f>
        <v>72581.09156742558</v>
      </c>
      <c r="F196" s="3"/>
      <c r="G196" s="122"/>
      <c r="H196" s="163"/>
    </row>
    <row r="197" spans="1:8" ht="12.75">
      <c r="A197" s="154" t="s">
        <v>343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256</v>
      </c>
      <c r="B199" s="126"/>
      <c r="C199" s="111"/>
      <c r="D199" s="119"/>
      <c r="E199" s="146"/>
      <c r="F199" s="3"/>
      <c r="G199" s="466"/>
      <c r="H199" s="163"/>
    </row>
    <row r="200" spans="1:8" ht="12.75">
      <c r="A200" s="174" t="s">
        <v>85</v>
      </c>
      <c r="B200" s="126"/>
      <c r="C200" s="111"/>
      <c r="D200" s="119"/>
      <c r="E200" s="146"/>
      <c r="F200" s="3"/>
      <c r="G200" s="466"/>
      <c r="H200" s="163"/>
    </row>
    <row r="201" spans="1:8" ht="12.75">
      <c r="A201" s="484" t="s">
        <v>493</v>
      </c>
      <c r="B201" s="126"/>
      <c r="C201" s="111"/>
      <c r="D201" s="119"/>
      <c r="E201" s="485">
        <v>567260</v>
      </c>
      <c r="F201" s="3"/>
      <c r="G201" s="466"/>
      <c r="H201" s="163"/>
    </row>
    <row r="202" spans="1:8" ht="12.75">
      <c r="A202" s="154" t="s">
        <v>344</v>
      </c>
      <c r="B202" s="126"/>
      <c r="C202" s="111"/>
      <c r="D202" s="119"/>
      <c r="E202" s="307">
        <f>REGINFO!D62</f>
        <v>507097.33499999996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60162.66500000004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319</v>
      </c>
      <c r="B206" s="126"/>
      <c r="C206" s="111"/>
      <c r="D206" s="119"/>
      <c r="E206" s="452">
        <f>IF((E201-E202)&gt;0,E201-E202,0)</f>
        <v>60162.66500000004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225</v>
      </c>
      <c r="B208" s="176"/>
      <c r="C208" s="177"/>
      <c r="D208" s="178"/>
      <c r="E208" s="308">
        <f>+E196-E204</f>
        <v>12418.426567425544</v>
      </c>
      <c r="F208" s="74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2"/>
    </row>
    <row r="220" spans="4:5" ht="12.75">
      <c r="D220" s="84"/>
      <c r="E220" s="72"/>
    </row>
    <row r="221" spans="3:5" ht="12.75">
      <c r="C221" t="s">
        <v>102</v>
      </c>
      <c r="D221" s="84"/>
      <c r="E221" s="72"/>
    </row>
    <row r="222" spans="3:5" ht="12.75">
      <c r="C222" t="s">
        <v>102</v>
      </c>
      <c r="D222" s="84"/>
      <c r="E222" s="72"/>
    </row>
    <row r="223" spans="3:5" ht="12.75">
      <c r="C223" t="s">
        <v>102</v>
      </c>
      <c r="D223" s="84"/>
      <c r="E223" s="72"/>
    </row>
    <row r="224" spans="4:5" ht="12.75">
      <c r="D224" s="84"/>
      <c r="E224" s="72"/>
    </row>
    <row r="225" spans="4:5" ht="12.75">
      <c r="D225" s="84"/>
      <c r="E225" s="72"/>
    </row>
    <row r="226" spans="4:5" ht="12.75">
      <c r="D226" s="84"/>
      <c r="E226" s="72"/>
    </row>
    <row r="227" spans="4:5" ht="12.75">
      <c r="D227" s="84"/>
      <c r="E227" s="72"/>
    </row>
    <row r="228" spans="4:5" ht="12.75">
      <c r="D228" s="84"/>
      <c r="E228" s="72"/>
    </row>
    <row r="229" spans="4:5" ht="12.75">
      <c r="D229" s="84"/>
      <c r="E229" s="72"/>
    </row>
    <row r="230" spans="4:5" ht="12.75">
      <c r="D230" s="84"/>
      <c r="E230" s="72"/>
    </row>
    <row r="231" spans="4:5" ht="12.75">
      <c r="D231" s="84"/>
      <c r="E231" s="72"/>
    </row>
    <row r="232" spans="4:5" ht="12.75">
      <c r="D232" s="84"/>
      <c r="E232" s="72"/>
    </row>
    <row r="233" spans="4:5" ht="12.75">
      <c r="D233" s="84"/>
      <c r="E233" s="72"/>
    </row>
    <row r="234" spans="4:5" ht="12.75">
      <c r="D234" s="84"/>
      <c r="E234" s="72"/>
    </row>
    <row r="235" spans="4:5" ht="12.75">
      <c r="D235" s="84"/>
      <c r="E235" s="72"/>
    </row>
    <row r="236" spans="4:5" ht="12.75">
      <c r="D236" s="84"/>
      <c r="E236" s="72"/>
    </row>
    <row r="237" spans="4:5" ht="12.75">
      <c r="D237" s="84"/>
      <c r="E237" s="72"/>
    </row>
    <row r="238" spans="4:5" ht="12.75">
      <c r="D238" s="84"/>
      <c r="E238" s="72"/>
    </row>
    <row r="239" spans="4:5" ht="12.75">
      <c r="D239" s="84"/>
      <c r="E239" s="72"/>
    </row>
    <row r="240" spans="4:5" ht="12.75">
      <c r="D240" s="84"/>
      <c r="E240" s="72"/>
    </row>
    <row r="241" spans="4:5" ht="12.75">
      <c r="D241" s="84"/>
      <c r="E241" s="72"/>
    </row>
    <row r="242" spans="4:5" ht="12.75">
      <c r="D242" s="84"/>
      <c r="E242" s="72"/>
    </row>
    <row r="243" spans="4:5" ht="12.75">
      <c r="D243" s="84"/>
      <c r="E243" s="72"/>
    </row>
    <row r="244" spans="4:5" ht="12.75">
      <c r="D244" s="84"/>
      <c r="E244" s="72"/>
    </row>
    <row r="245" spans="4:5" ht="12.75">
      <c r="D245" s="84"/>
      <c r="E245" s="72"/>
    </row>
    <row r="246" spans="4:5" ht="12.75">
      <c r="D246" s="84"/>
      <c r="E246" s="72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51" r:id="rId3"/>
  <rowBreaks count="3" manualBreakCount="3">
    <brk id="97" max="7" man="1"/>
    <brk id="188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PageLayoutView="0" workbookViewId="0" topLeftCell="A103">
      <selection activeCell="G32" sqref="G3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Lakefront Utilities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2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7">
        <f>Ratebase*REGINFO!D33*0.0025</f>
        <v>17486.115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2" t="s">
        <v>326</v>
      </c>
      <c r="B23" s="383"/>
      <c r="C23" s="384"/>
      <c r="D23" s="385"/>
      <c r="E23" s="28"/>
      <c r="F23" s="11"/>
      <c r="G23" s="11"/>
      <c r="H23" s="6"/>
      <c r="I23" s="6"/>
    </row>
    <row r="24" spans="1:9" ht="12.75">
      <c r="A24" s="382" t="s">
        <v>258</v>
      </c>
      <c r="B24" s="383"/>
      <c r="C24" s="384"/>
      <c r="D24" s="385"/>
      <c r="E24" s="28"/>
      <c r="F24" s="11"/>
      <c r="G24" s="11"/>
      <c r="H24" s="6"/>
      <c r="I24" s="6"/>
    </row>
    <row r="25" spans="1:9" ht="12.75">
      <c r="A25" s="382" t="s">
        <v>223</v>
      </c>
      <c r="B25" s="383"/>
      <c r="C25" s="384"/>
      <c r="D25" s="385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2" t="s">
        <v>324</v>
      </c>
      <c r="B27" s="383"/>
      <c r="C27" s="384"/>
      <c r="D27" s="385"/>
      <c r="E27" s="28"/>
      <c r="F27" s="11"/>
      <c r="G27" s="11"/>
      <c r="H27" s="6"/>
      <c r="I27" s="6"/>
    </row>
    <row r="28" spans="1:9" ht="12.75">
      <c r="A28" s="382" t="s">
        <v>325</v>
      </c>
      <c r="B28" s="383"/>
      <c r="C28" s="384"/>
      <c r="D28" s="38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273</v>
      </c>
      <c r="B31" s="23" t="s">
        <v>187</v>
      </c>
      <c r="C31" s="284">
        <v>20480636</v>
      </c>
      <c r="D31" s="285"/>
      <c r="E31" s="283">
        <f>C31-D31</f>
        <v>20480636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2667307</v>
      </c>
      <c r="D32" s="285"/>
      <c r="E32" s="283">
        <f>C32-D32</f>
        <v>2667307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230030</v>
      </c>
      <c r="D33" s="285"/>
      <c r="E33" s="283">
        <f>C33-D33</f>
        <v>230030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20480636</v>
      </c>
      <c r="D39" s="285"/>
      <c r="E39" s="283">
        <f>C39-D39</f>
        <v>20480636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544293</v>
      </c>
      <c r="D40" s="285"/>
      <c r="E40" s="283">
        <f aca="true" t="shared" si="0" ref="E40:E48">C40-D40</f>
        <v>544293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4">
        <v>315189</v>
      </c>
      <c r="D41" s="285"/>
      <c r="E41" s="283">
        <f t="shared" si="0"/>
        <v>315189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4">
        <v>482432</v>
      </c>
      <c r="D42" s="285"/>
      <c r="E42" s="283">
        <f t="shared" si="0"/>
        <v>482432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4">
        <v>662166</v>
      </c>
      <c r="D43" s="285"/>
      <c r="E43" s="283">
        <f t="shared" si="0"/>
        <v>662166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481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69"/>
      <c r="B46" s="23" t="s">
        <v>188</v>
      </c>
      <c r="C46" s="284"/>
      <c r="D46" s="285"/>
      <c r="E46" s="283">
        <f t="shared" si="0"/>
        <v>0</v>
      </c>
      <c r="F46" s="11"/>
      <c r="G46" s="468"/>
      <c r="H46" s="33"/>
      <c r="I46" s="33"/>
      <c r="J46" s="32"/>
      <c r="K46" s="32"/>
    </row>
    <row r="47" spans="1:11" ht="12.75">
      <c r="A47" s="476" t="s">
        <v>488</v>
      </c>
      <c r="B47" s="23" t="s">
        <v>188</v>
      </c>
      <c r="C47" s="284"/>
      <c r="D47" s="285"/>
      <c r="E47" s="283">
        <f t="shared" si="0"/>
        <v>0</v>
      </c>
      <c r="F47" s="11"/>
      <c r="G47" s="468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893257</v>
      </c>
      <c r="D50" s="280">
        <f>SUM(D31:D36)-SUM(D39:D49)</f>
        <v>0</v>
      </c>
      <c r="E50" s="280">
        <f>SUM(E31:E35)-SUM(E39:E48)</f>
        <v>893257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f>507500+60958</f>
        <v>568458</v>
      </c>
      <c r="D51" s="284"/>
      <c r="E51" s="281">
        <f>+C51-D51</f>
        <v>568458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4">
        <v>62703</v>
      </c>
      <c r="D52" s="284"/>
      <c r="E52" s="282">
        <f>+C52-D52</f>
        <v>62703</v>
      </c>
      <c r="F52" s="8"/>
    </row>
    <row r="53" spans="1:6" ht="12.75">
      <c r="A53" s="2" t="s">
        <v>131</v>
      </c>
      <c r="B53" s="8" t="s">
        <v>189</v>
      </c>
      <c r="C53" s="280">
        <f>C50-C51-C52</f>
        <v>262096</v>
      </c>
      <c r="D53" s="280">
        <f>D50-D51-D52</f>
        <v>0</v>
      </c>
      <c r="E53" s="280">
        <f>E50-E51-E52</f>
        <v>262096</v>
      </c>
      <c r="F53" s="8"/>
    </row>
    <row r="54" spans="1:6" ht="24">
      <c r="A54" s="86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6">
        <f>C52</f>
        <v>62703</v>
      </c>
      <c r="D59" s="286">
        <f>D52</f>
        <v>0</v>
      </c>
      <c r="E59" s="271">
        <f>+C59-D59</f>
        <v>62703</v>
      </c>
      <c r="F59" s="8"/>
    </row>
    <row r="60" spans="1:6" ht="12.75">
      <c r="A60" s="4" t="s">
        <v>327</v>
      </c>
      <c r="B60" s="8" t="s">
        <v>187</v>
      </c>
      <c r="C60" s="316"/>
      <c r="D60" s="316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459">
        <f>C43</f>
        <v>662166</v>
      </c>
      <c r="D61" s="286">
        <f>D43</f>
        <v>0</v>
      </c>
      <c r="E61" s="271">
        <f>+C61-D61</f>
        <v>662166</v>
      </c>
      <c r="F61" s="8"/>
      <c r="G61" s="397"/>
    </row>
    <row r="62" spans="1:6" ht="12.75">
      <c r="A62" t="s">
        <v>6</v>
      </c>
      <c r="B62" s="8" t="s">
        <v>187</v>
      </c>
      <c r="C62" s="316"/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187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438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49" t="s">
        <v>389</v>
      </c>
      <c r="B66" s="8"/>
      <c r="C66" s="428">
        <f>'TAXREC 3 No True-up'!C47</f>
        <v>0</v>
      </c>
      <c r="D66" s="428">
        <f>'TAXREC 3 No True-up'!D47</f>
        <v>0</v>
      </c>
      <c r="E66" s="271">
        <f>+C66-D66</f>
        <v>0</v>
      </c>
      <c r="F66" s="8"/>
    </row>
    <row r="67" spans="1:6" ht="12.75">
      <c r="A67" t="s">
        <v>160</v>
      </c>
      <c r="B67" s="8" t="s">
        <v>187</v>
      </c>
      <c r="C67" s="249">
        <f>'TAXREC 2'!C77</f>
        <v>0</v>
      </c>
      <c r="D67" s="249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49">
        <f>'TAXREC 2'!C78</f>
        <v>0</v>
      </c>
      <c r="D68" s="249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724869</v>
      </c>
      <c r="D70" s="271">
        <f>SUM(D59:D68)</f>
        <v>0</v>
      </c>
      <c r="E70" s="271">
        <f>SUM(E59:E68)</f>
        <v>724869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470</v>
      </c>
      <c r="B76" s="8" t="s">
        <v>187</v>
      </c>
      <c r="C76" s="460"/>
      <c r="D76" s="293"/>
      <c r="E76" s="46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49">
        <f>C70+C80</f>
        <v>724869</v>
      </c>
      <c r="D82" s="249">
        <f>D70+D80</f>
        <v>0</v>
      </c>
      <c r="E82" s="249">
        <f>E70+E80</f>
        <v>724869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426</v>
      </c>
      <c r="B93" s="272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567799</v>
      </c>
      <c r="D97" s="293"/>
      <c r="E97" s="271">
        <f>+C97-D97</f>
        <v>567799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9" t="s">
        <v>389</v>
      </c>
      <c r="B108" s="8"/>
      <c r="C108" s="252">
        <f>'TAXREC 3 No True-up'!C73</f>
        <v>23924</v>
      </c>
      <c r="D108" s="252">
        <f>'TAXREC 3 No True-up'!D73</f>
        <v>0</v>
      </c>
      <c r="E108" s="271">
        <f t="shared" si="5"/>
        <v>23924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49">
        <f>SUM(C97:C111)</f>
        <v>591723</v>
      </c>
      <c r="D113" s="249">
        <f>SUM(D97:D111)</f>
        <v>0</v>
      </c>
      <c r="E113" s="249">
        <f>SUM(E97:E111)</f>
        <v>591723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49">
        <f>C113+C120</f>
        <v>591723</v>
      </c>
      <c r="D122" s="249">
        <f>D113+D120</f>
        <v>0</v>
      </c>
      <c r="E122" s="249">
        <f>+E113+E120</f>
        <v>591723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K133" s="45"/>
    </row>
    <row r="134" spans="1:11" ht="12.75">
      <c r="A134" s="13" t="s">
        <v>81</v>
      </c>
      <c r="B134" s="8" t="s">
        <v>189</v>
      </c>
      <c r="C134" s="249">
        <f>+C53+C82-C122</f>
        <v>395242</v>
      </c>
      <c r="D134" s="249">
        <f>D53+D82-D122</f>
        <v>0</v>
      </c>
      <c r="E134" s="249">
        <f>E53+E82-E122</f>
        <v>395242</v>
      </c>
      <c r="F134" s="8"/>
      <c r="G134" s="45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K135" s="45"/>
    </row>
    <row r="136" spans="1:11" ht="12.75">
      <c r="A136" s="12" t="s">
        <v>372</v>
      </c>
      <c r="B136" s="8" t="s">
        <v>188</v>
      </c>
      <c r="C136" s="293">
        <v>288000</v>
      </c>
      <c r="D136" s="293"/>
      <c r="E136" s="263">
        <f>C136-D136</f>
        <v>288000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09"/>
      <c r="D137" s="309"/>
      <c r="E137" s="37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0">
        <f>C134-C136-C137-C138</f>
        <v>107242</v>
      </c>
      <c r="D139" s="250">
        <f>D134-D136-D137-D138</f>
        <v>0</v>
      </c>
      <c r="E139" s="250">
        <f>E134-E136-E137-E138</f>
        <v>107242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14070</v>
      </c>
      <c r="D142" s="297"/>
      <c r="E142" s="250">
        <f>C142-D142</f>
        <v>14070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6434</v>
      </c>
      <c r="D143" s="297"/>
      <c r="E143" s="291">
        <f>C143-D143</f>
        <v>6434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0">
        <f>C142+C143</f>
        <v>20504</v>
      </c>
      <c r="D144" s="250">
        <f>D142+D143</f>
        <v>0</v>
      </c>
      <c r="E144" s="250">
        <f>E142+E143</f>
        <v>20504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189</v>
      </c>
      <c r="C146" s="250">
        <f>C144-C145</f>
        <v>20504</v>
      </c>
      <c r="D146" s="250">
        <f>D144-D145</f>
        <v>0</v>
      </c>
      <c r="E146" s="250">
        <f>E144-E145</f>
        <v>20504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387">
        <v>0</v>
      </c>
      <c r="D149" s="5"/>
      <c r="E149" s="388">
        <f>C149</f>
        <v>0</v>
      </c>
      <c r="F149" s="8"/>
      <c r="G149" s="45"/>
      <c r="H149" s="45"/>
      <c r="I149" s="45"/>
      <c r="J149" s="45"/>
      <c r="K149" s="45"/>
    </row>
    <row r="150" spans="1:11" ht="12.75">
      <c r="A150" s="46" t="s">
        <v>330</v>
      </c>
      <c r="B150" s="8"/>
      <c r="C150" s="387">
        <v>0</v>
      </c>
      <c r="D150" s="5"/>
      <c r="E150" s="388">
        <f>C150</f>
        <v>0</v>
      </c>
      <c r="F150" s="8"/>
      <c r="G150" s="45"/>
      <c r="H150" s="45"/>
      <c r="I150" s="45"/>
      <c r="J150" s="45"/>
      <c r="K150" s="45"/>
    </row>
    <row r="151" spans="1:11" ht="12.75">
      <c r="A151" t="s">
        <v>331</v>
      </c>
      <c r="B151" s="8"/>
      <c r="C151" s="388">
        <f>SUM(C149:C150)</f>
        <v>0</v>
      </c>
      <c r="D151" s="465" t="s">
        <v>477</v>
      </c>
      <c r="E151" s="388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474</v>
      </c>
      <c r="B155" s="8"/>
    </row>
    <row r="156" spans="1:5" ht="12.75">
      <c r="A156" t="s">
        <v>219</v>
      </c>
      <c r="B156" s="85" t="s">
        <v>187</v>
      </c>
      <c r="C156" s="249">
        <f>C146</f>
        <v>20504</v>
      </c>
      <c r="D156" s="249">
        <f>D146</f>
        <v>0</v>
      </c>
      <c r="E156" s="249">
        <f>E146</f>
        <v>20504</v>
      </c>
    </row>
    <row r="157" spans="1:5" ht="12.75">
      <c r="A157" t="s">
        <v>20</v>
      </c>
      <c r="B157" s="85" t="s">
        <v>187</v>
      </c>
      <c r="C157" s="462">
        <f>TAXCALC!G72</f>
        <v>23923.743000000002</v>
      </c>
      <c r="D157" s="249"/>
      <c r="E157" s="249">
        <f>C157+D157</f>
        <v>23923.743000000002</v>
      </c>
    </row>
    <row r="158" spans="1:5" ht="12.75">
      <c r="A158" t="s">
        <v>218</v>
      </c>
      <c r="B158" s="85" t="s">
        <v>187</v>
      </c>
      <c r="C158" s="462">
        <f>TAXCALC!G84</f>
        <v>5242.387850000001</v>
      </c>
      <c r="D158" s="249"/>
      <c r="E158" s="249">
        <f>C158+D158</f>
        <v>5242.387850000001</v>
      </c>
    </row>
    <row r="159" ht="12.75">
      <c r="B159" s="8"/>
    </row>
    <row r="160" spans="1:5" ht="12.75">
      <c r="A160" s="2" t="s">
        <v>302</v>
      </c>
      <c r="B160" s="66" t="s">
        <v>189</v>
      </c>
      <c r="C160" s="249">
        <f>C156+C157+C158</f>
        <v>49670.13085</v>
      </c>
      <c r="D160" s="249">
        <f>D156+D157+D158</f>
        <v>0</v>
      </c>
      <c r="E160" s="249">
        <f>E156+E157+E158</f>
        <v>49670.13085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9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tabSelected="1" zoomScale="75" zoomScaleNormal="75" zoomScalePageLayoutView="0" workbookViewId="0" topLeftCell="A1">
      <selection activeCell="G32" sqref="G3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Lakefront Utilities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5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49">
        <f>C13-D13</f>
        <v>0</v>
      </c>
    </row>
    <row r="14" spans="1:5" ht="12.75">
      <c r="A14" s="61" t="s">
        <v>280</v>
      </c>
      <c r="B14" s="61"/>
      <c r="C14" s="293"/>
      <c r="D14" s="293"/>
      <c r="E14" s="249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49">
        <f t="shared" si="0"/>
        <v>0</v>
      </c>
    </row>
    <row r="16" spans="1:5" ht="12.75">
      <c r="A16" s="61" t="s">
        <v>282</v>
      </c>
      <c r="B16" s="61"/>
      <c r="C16" s="293"/>
      <c r="D16" s="293"/>
      <c r="E16" s="249">
        <f t="shared" si="0"/>
        <v>0</v>
      </c>
    </row>
    <row r="17" spans="1:5" ht="12.75">
      <c r="A17" s="61" t="s">
        <v>283</v>
      </c>
      <c r="B17" s="61"/>
      <c r="C17" s="293"/>
      <c r="D17" s="293"/>
      <c r="E17" s="249">
        <f t="shared" si="0"/>
        <v>0</v>
      </c>
    </row>
    <row r="18" spans="1:5" ht="12.75">
      <c r="A18" s="61" t="s">
        <v>443</v>
      </c>
      <c r="B18" s="61"/>
      <c r="C18" s="293"/>
      <c r="D18" s="293"/>
      <c r="E18" s="249">
        <f t="shared" si="0"/>
        <v>0</v>
      </c>
    </row>
    <row r="19" spans="1:5" ht="12.75">
      <c r="A19" s="61" t="s">
        <v>443</v>
      </c>
      <c r="B19" s="61"/>
      <c r="C19" s="293"/>
      <c r="D19" s="293"/>
      <c r="E19" s="249">
        <f t="shared" si="0"/>
        <v>0</v>
      </c>
    </row>
    <row r="20" spans="1:5" ht="12.75">
      <c r="A20" s="61"/>
      <c r="B20" s="61"/>
      <c r="C20" s="293"/>
      <c r="D20" s="293"/>
      <c r="E20" s="249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271</v>
      </c>
      <c r="B24" s="61"/>
      <c r="C24" s="90"/>
      <c r="D24" s="90"/>
      <c r="E24" s="90"/>
    </row>
    <row r="25" spans="1:5" ht="12.75">
      <c r="A25" s="61"/>
      <c r="B25" s="61"/>
      <c r="C25" s="293"/>
      <c r="D25" s="293"/>
      <c r="E25" s="249">
        <f>C25-D25</f>
        <v>0</v>
      </c>
    </row>
    <row r="26" spans="1:5" ht="12.75">
      <c r="A26" s="61" t="s">
        <v>280</v>
      </c>
      <c r="B26" s="61"/>
      <c r="C26" s="293"/>
      <c r="D26" s="293"/>
      <c r="E26" s="249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49">
        <f t="shared" si="1"/>
        <v>0</v>
      </c>
    </row>
    <row r="28" spans="1:5" ht="12.75">
      <c r="A28" s="61" t="s">
        <v>282</v>
      </c>
      <c r="B28" s="61"/>
      <c r="C28" s="293"/>
      <c r="D28" s="293"/>
      <c r="E28" s="249">
        <f t="shared" si="1"/>
        <v>0</v>
      </c>
    </row>
    <row r="29" spans="1:5" ht="12.75">
      <c r="A29" s="61" t="s">
        <v>283</v>
      </c>
      <c r="B29" s="61"/>
      <c r="C29" s="293"/>
      <c r="D29" s="293"/>
      <c r="E29" s="249">
        <f t="shared" si="1"/>
        <v>0</v>
      </c>
    </row>
    <row r="30" spans="1:5" ht="12.75">
      <c r="A30" s="61" t="s">
        <v>443</v>
      </c>
      <c r="B30" s="61"/>
      <c r="C30" s="293"/>
      <c r="D30" s="293"/>
      <c r="E30" s="249">
        <f t="shared" si="1"/>
        <v>0</v>
      </c>
    </row>
    <row r="31" spans="1:5" ht="12.75">
      <c r="A31" s="61" t="s">
        <v>443</v>
      </c>
      <c r="B31" s="61"/>
      <c r="C31" s="293"/>
      <c r="D31" s="293"/>
      <c r="E31" s="249">
        <f t="shared" si="1"/>
        <v>0</v>
      </c>
    </row>
    <row r="32" spans="1:5" ht="12.75">
      <c r="A32" s="61"/>
      <c r="B32" s="61"/>
      <c r="C32" s="293"/>
      <c r="D32" s="293"/>
      <c r="E32" s="249">
        <f t="shared" si="1"/>
        <v>0</v>
      </c>
    </row>
    <row r="33" spans="1:5" ht="13.5" thickBot="1">
      <c r="A33" s="62"/>
      <c r="B33" s="61"/>
      <c r="C33" s="293"/>
      <c r="D33" s="293"/>
      <c r="E33" s="249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272</v>
      </c>
      <c r="B40" s="61"/>
      <c r="C40" s="90"/>
      <c r="D40" s="90"/>
      <c r="E40" s="90"/>
    </row>
    <row r="41" spans="1:5" ht="12.75">
      <c r="A41" s="61"/>
      <c r="B41" s="61"/>
      <c r="C41" s="293"/>
      <c r="D41" s="293"/>
      <c r="E41" s="249">
        <f>C41-D41</f>
        <v>0</v>
      </c>
    </row>
    <row r="42" spans="1:5" ht="12.75">
      <c r="A42" s="61"/>
      <c r="B42" s="61"/>
      <c r="C42" s="293"/>
      <c r="D42" s="293"/>
      <c r="E42" s="249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49">
        <f t="shared" si="2"/>
        <v>0</v>
      </c>
    </row>
    <row r="44" spans="1:5" ht="12.75">
      <c r="A44" s="61" t="s">
        <v>267</v>
      </c>
      <c r="B44" s="61"/>
      <c r="C44" s="293"/>
      <c r="D44" s="293"/>
      <c r="E44" s="249">
        <f t="shared" si="2"/>
        <v>0</v>
      </c>
    </row>
    <row r="45" spans="1:5" ht="12.75">
      <c r="A45" s="61" t="s">
        <v>268</v>
      </c>
      <c r="B45" s="61"/>
      <c r="C45" s="293"/>
      <c r="D45" s="293"/>
      <c r="E45" s="249">
        <f t="shared" si="2"/>
        <v>0</v>
      </c>
    </row>
    <row r="46" spans="1:5" ht="12.75">
      <c r="A46" s="61" t="s">
        <v>269</v>
      </c>
      <c r="B46" s="61"/>
      <c r="C46" s="293"/>
      <c r="D46" s="293"/>
      <c r="E46" s="249">
        <f t="shared" si="2"/>
        <v>0</v>
      </c>
    </row>
    <row r="47" spans="1:5" ht="12.75">
      <c r="A47" s="61" t="s">
        <v>489</v>
      </c>
      <c r="B47" s="61"/>
      <c r="C47" s="293"/>
      <c r="D47" s="293"/>
      <c r="E47" s="249">
        <f t="shared" si="2"/>
        <v>0</v>
      </c>
    </row>
    <row r="48" spans="1:5" ht="12.75">
      <c r="A48" s="61" t="s">
        <v>443</v>
      </c>
      <c r="B48" s="61"/>
      <c r="C48" s="293"/>
      <c r="D48" s="293"/>
      <c r="E48" s="249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271</v>
      </c>
      <c r="B52" s="61"/>
      <c r="C52" s="90"/>
      <c r="D52" s="90"/>
      <c r="E52" s="90"/>
    </row>
    <row r="53" spans="1:5" ht="12.75">
      <c r="A53" s="61"/>
      <c r="B53" s="61"/>
      <c r="C53" s="293"/>
      <c r="D53" s="293"/>
      <c r="E53" s="249">
        <f>C53-D53</f>
        <v>0</v>
      </c>
    </row>
    <row r="54" spans="1:5" ht="12.75">
      <c r="A54" s="244"/>
      <c r="B54" s="61"/>
      <c r="C54" s="293"/>
      <c r="D54" s="293"/>
      <c r="E54" s="249">
        <f aca="true" t="shared" si="3" ref="E54:E61">C54-D54</f>
        <v>0</v>
      </c>
    </row>
    <row r="55" spans="1:5" ht="12.75">
      <c r="A55" s="244" t="s">
        <v>266</v>
      </c>
      <c r="B55" s="61"/>
      <c r="C55" s="293"/>
      <c r="D55" s="293"/>
      <c r="E55" s="249">
        <f t="shared" si="3"/>
        <v>0</v>
      </c>
    </row>
    <row r="56" spans="1:5" ht="12.75">
      <c r="A56" s="244" t="s">
        <v>267</v>
      </c>
      <c r="B56" s="61"/>
      <c r="C56" s="293"/>
      <c r="D56" s="293"/>
      <c r="E56" s="249">
        <f t="shared" si="3"/>
        <v>0</v>
      </c>
    </row>
    <row r="57" spans="1:5" ht="12.75">
      <c r="A57" s="244" t="s">
        <v>268</v>
      </c>
      <c r="B57" s="61"/>
      <c r="C57" s="293"/>
      <c r="D57" s="293"/>
      <c r="E57" s="249">
        <f t="shared" si="3"/>
        <v>0</v>
      </c>
    </row>
    <row r="58" spans="1:5" ht="12.75">
      <c r="A58" s="244" t="s">
        <v>269</v>
      </c>
      <c r="B58" s="61"/>
      <c r="C58" s="293"/>
      <c r="D58" s="293"/>
      <c r="E58" s="249">
        <f t="shared" si="3"/>
        <v>0</v>
      </c>
    </row>
    <row r="59" spans="1:5" ht="12.75">
      <c r="A59" s="61" t="s">
        <v>490</v>
      </c>
      <c r="B59" s="61"/>
      <c r="C59" s="293"/>
      <c r="D59" s="293"/>
      <c r="E59" s="249">
        <f t="shared" si="3"/>
        <v>0</v>
      </c>
    </row>
    <row r="60" spans="1:5" ht="12.75">
      <c r="A60" s="61" t="s">
        <v>443</v>
      </c>
      <c r="B60" s="61"/>
      <c r="C60" s="293"/>
      <c r="D60" s="293"/>
      <c r="E60" s="249">
        <f t="shared" si="3"/>
        <v>0</v>
      </c>
    </row>
    <row r="61" spans="1:5" ht="13.5" thickBot="1">
      <c r="A61" s="62"/>
      <c r="B61" s="61"/>
      <c r="C61" s="293"/>
      <c r="D61" s="293"/>
      <c r="E61" s="249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71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G32" sqref="G3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461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7" t="s">
        <v>460</v>
      </c>
      <c r="B5" s="8"/>
      <c r="C5" s="8" t="s">
        <v>2</v>
      </c>
      <c r="D5" s="8"/>
      <c r="E5" s="8"/>
      <c r="F5" s="8"/>
    </row>
    <row r="6" spans="1:6" ht="12.75">
      <c r="A6" s="397" t="s">
        <v>440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Lakefront Utilities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17486.115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1">
        <f>C17-D17</f>
        <v>0</v>
      </c>
    </row>
    <row r="18" spans="1:5" ht="12.75">
      <c r="A18" s="67" t="s">
        <v>252</v>
      </c>
      <c r="B18" t="s">
        <v>187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1">
        <f t="shared" si="0"/>
        <v>0</v>
      </c>
    </row>
    <row r="20" spans="1:5" ht="12.75">
      <c r="A20" s="67" t="s">
        <v>444</v>
      </c>
      <c r="B20" t="s">
        <v>187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/>
      <c r="B22" t="s">
        <v>187</v>
      </c>
      <c r="C22" s="294"/>
      <c r="D22" s="294"/>
      <c r="E22" s="311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253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1">
        <f t="shared" si="0"/>
        <v>0</v>
      </c>
    </row>
    <row r="36" spans="1:5" ht="12.75">
      <c r="A36" s="67" t="s">
        <v>469</v>
      </c>
      <c r="B36" t="s">
        <v>187</v>
      </c>
      <c r="C36" s="294"/>
      <c r="D36" s="294"/>
      <c r="E36" s="311">
        <f t="shared" si="0"/>
        <v>0</v>
      </c>
    </row>
    <row r="37" spans="1:5" ht="12.75">
      <c r="A37" s="67"/>
      <c r="B37" t="s">
        <v>187</v>
      </c>
      <c r="C37" s="294"/>
      <c r="D37" s="294"/>
      <c r="E37" s="311">
        <f t="shared" si="0"/>
        <v>0</v>
      </c>
    </row>
    <row r="38" spans="2:5" ht="12.75">
      <c r="B38" t="s">
        <v>187</v>
      </c>
      <c r="C38" s="294"/>
      <c r="D38" s="294"/>
      <c r="E38" s="249">
        <f t="shared" si="0"/>
        <v>0</v>
      </c>
    </row>
    <row r="39" spans="2:5" ht="12.75">
      <c r="B39" t="s">
        <v>187</v>
      </c>
      <c r="C39" s="293"/>
      <c r="D39" s="294"/>
      <c r="E39" s="249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49">
        <f t="shared" si="0"/>
        <v>0</v>
      </c>
    </row>
    <row r="41" spans="1:5" ht="12.75">
      <c r="A41" s="67"/>
      <c r="B41" t="s">
        <v>187</v>
      </c>
      <c r="C41" s="293"/>
      <c r="D41" s="293"/>
      <c r="E41" s="249">
        <f t="shared" si="0"/>
        <v>0</v>
      </c>
    </row>
    <row r="42" spans="1:5" ht="12.75">
      <c r="A42" s="481"/>
      <c r="B42" t="s">
        <v>187</v>
      </c>
      <c r="C42" s="293"/>
      <c r="D42" s="293"/>
      <c r="E42" s="249">
        <f t="shared" si="0"/>
        <v>0</v>
      </c>
    </row>
    <row r="43" spans="1:5" ht="12.75">
      <c r="A43" s="67"/>
      <c r="B43" t="s">
        <v>187</v>
      </c>
      <c r="C43" s="293"/>
      <c r="D43" s="293"/>
      <c r="E43" s="249">
        <f t="shared" si="0"/>
        <v>0</v>
      </c>
    </row>
    <row r="44" spans="1:5" ht="12.75">
      <c r="A44" s="67"/>
      <c r="B44" t="s">
        <v>187</v>
      </c>
      <c r="C44" s="293"/>
      <c r="D44" s="293"/>
      <c r="E44" s="249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4" t="str">
        <f>IF($E18&gt;$C$11,A18," ")</f>
        <v> </v>
      </c>
      <c r="B50" s="272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4" t="str">
        <f>IF($E19&gt;$C$11,#REF!," ")</f>
        <v> </v>
      </c>
      <c r="B51" s="272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4" t="str">
        <f>IF($E20&gt;$C$11,#REF!," ")</f>
        <v> </v>
      </c>
      <c r="B52" s="272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4" t="str">
        <f t="shared" si="2"/>
        <v> </v>
      </c>
      <c r="B54" s="272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4" t="str">
        <f t="shared" si="2"/>
        <v> </v>
      </c>
      <c r="B55" s="272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4" t="str">
        <f t="shared" si="2"/>
        <v> </v>
      </c>
      <c r="B56" s="272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4" t="str">
        <f t="shared" si="2"/>
        <v> </v>
      </c>
      <c r="B57" s="272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4" t="str">
        <f t="shared" si="2"/>
        <v> </v>
      </c>
      <c r="B58" s="272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4" t="str">
        <f t="shared" si="2"/>
        <v> </v>
      </c>
      <c r="B59" s="272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4" t="str">
        <f>IF($E28&gt;$C$11,A28," ")</f>
        <v> </v>
      </c>
      <c r="B60" s="272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4" t="str">
        <f>IF($E29&gt;$C$11,#REF!," ")</f>
        <v> </v>
      </c>
      <c r="B61" s="272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4" t="str">
        <f>IF($E30&gt;$C$11,#REF!," ")</f>
        <v> </v>
      </c>
      <c r="B62" s="272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4" t="str">
        <f>IF($E31&gt;$C$11,A26," ")</f>
        <v> </v>
      </c>
      <c r="B63" s="272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4" t="str">
        <f>IF($E33&gt;$C$11,#REF!," ")</f>
        <v> </v>
      </c>
      <c r="B64" s="272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4" t="str">
        <f>IF($E34&gt;$C$11,#REF!," ")</f>
        <v> </v>
      </c>
      <c r="B65" s="272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4" t="str">
        <f>IF($E35&gt;$C$11,#REF!," ")</f>
        <v> </v>
      </c>
      <c r="B66" s="272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4" t="str">
        <f>IF($E36&gt;$C$11,A36," ")</f>
        <v> </v>
      </c>
      <c r="B67" s="272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4" t="str">
        <f>IF($E37&gt;$C$11,A37," ")</f>
        <v> </v>
      </c>
      <c r="B68" s="272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4" t="str">
        <f>IF($E38&gt;$C$11,A29," ")</f>
        <v> </v>
      </c>
      <c r="B69" s="272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4" t="str">
        <f>IF($E39&gt;$C$11,A35," ")</f>
        <v> </v>
      </c>
      <c r="B70" s="272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4" t="str">
        <f t="shared" si="4"/>
        <v> </v>
      </c>
      <c r="B72" s="272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4" t="str">
        <f t="shared" si="4"/>
        <v> </v>
      </c>
      <c r="B73" s="272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4" t="str">
        <f t="shared" si="4"/>
        <v> </v>
      </c>
      <c r="B74" s="272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4" t="str">
        <f t="shared" si="4"/>
        <v> </v>
      </c>
      <c r="B75" s="272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4" t="str">
        <f t="shared" si="4"/>
        <v> </v>
      </c>
      <c r="B76" s="273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5" t="s">
        <v>144</v>
      </c>
      <c r="B77" s="272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5" t="s">
        <v>203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170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49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49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49">
        <f t="shared" si="5"/>
        <v>0</v>
      </c>
    </row>
    <row r="85" spans="1:5" ht="12.75">
      <c r="A85" s="71" t="s">
        <v>254</v>
      </c>
      <c r="B85" s="8" t="s">
        <v>188</v>
      </c>
      <c r="C85" s="293"/>
      <c r="D85" s="293"/>
      <c r="E85" s="249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49">
        <f t="shared" si="5"/>
        <v>0</v>
      </c>
    </row>
    <row r="87" spans="1:5" ht="12.75">
      <c r="A87" s="67" t="s">
        <v>374</v>
      </c>
      <c r="B87" s="8" t="s">
        <v>188</v>
      </c>
      <c r="C87" s="293"/>
      <c r="D87" s="293"/>
      <c r="E87" s="249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49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49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49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49">
        <f t="shared" si="5"/>
        <v>0</v>
      </c>
    </row>
    <row r="92" spans="2:5" ht="12.75">
      <c r="B92" s="8" t="s">
        <v>188</v>
      </c>
      <c r="C92" s="293"/>
      <c r="D92" s="293"/>
      <c r="E92" s="249"/>
    </row>
    <row r="93" spans="1:5" ht="12.75">
      <c r="A93" s="67"/>
      <c r="B93" s="8" t="s">
        <v>188</v>
      </c>
      <c r="C93" s="293"/>
      <c r="D93" s="293"/>
      <c r="E93" s="249">
        <f t="shared" si="5"/>
        <v>0</v>
      </c>
    </row>
    <row r="94" spans="1:5" ht="12.75">
      <c r="A94" s="67"/>
      <c r="B94" s="8" t="s">
        <v>188</v>
      </c>
      <c r="C94" s="293"/>
      <c r="D94" s="293"/>
      <c r="E94" s="249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49">
        <f t="shared" si="5"/>
        <v>0</v>
      </c>
    </row>
    <row r="96" spans="1:5" ht="12.75">
      <c r="A96" s="481"/>
      <c r="B96" s="8" t="s">
        <v>188</v>
      </c>
      <c r="C96" s="293"/>
      <c r="D96" s="293"/>
      <c r="E96" s="249">
        <f t="shared" si="5"/>
        <v>0</v>
      </c>
    </row>
    <row r="97" spans="1:5" ht="12.75">
      <c r="A97" s="67"/>
      <c r="B97" s="8" t="s">
        <v>188</v>
      </c>
      <c r="C97" s="293"/>
      <c r="D97" s="293"/>
      <c r="E97" s="249">
        <f t="shared" si="5"/>
        <v>0</v>
      </c>
    </row>
    <row r="98" spans="1:5" ht="12.75">
      <c r="A98" s="67"/>
      <c r="B98" s="8" t="s">
        <v>188</v>
      </c>
      <c r="C98" s="293"/>
      <c r="D98" s="293"/>
      <c r="E98" s="249">
        <f t="shared" si="5"/>
        <v>0</v>
      </c>
    </row>
    <row r="99" spans="1:5" ht="12.75">
      <c r="A99" s="67" t="s">
        <v>171</v>
      </c>
      <c r="B99" s="8" t="s">
        <v>189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4" t="str">
        <f t="shared" si="6"/>
        <v> </v>
      </c>
      <c r="B103" s="272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4" t="str">
        <f t="shared" si="6"/>
        <v> </v>
      </c>
      <c r="B104" s="272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4" t="str">
        <f t="shared" si="6"/>
        <v> </v>
      </c>
      <c r="B105" s="272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4" t="str">
        <f t="shared" si="6"/>
        <v> </v>
      </c>
      <c r="B106" s="272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4" t="str">
        <f t="shared" si="6"/>
        <v> </v>
      </c>
      <c r="B107" s="272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4" t="str">
        <f t="shared" si="6"/>
        <v> </v>
      </c>
      <c r="B108" s="272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4" t="str">
        <f t="shared" si="6"/>
        <v> </v>
      </c>
      <c r="B109" s="272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4" t="str">
        <f t="shared" si="6"/>
        <v> </v>
      </c>
      <c r="B110" s="272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4" t="str">
        <f t="shared" si="6"/>
        <v> </v>
      </c>
      <c r="B111" s="272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4" t="str">
        <f>IF($E92&gt;$C$11,A95," ")</f>
        <v> </v>
      </c>
      <c r="B112" s="272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4" t="str">
        <f>IF($E93&gt;$C$11,#REF!," ")</f>
        <v> </v>
      </c>
      <c r="B113" s="272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4" t="str">
        <f>IF($E94&gt;$C$11,A94," ")</f>
        <v> </v>
      </c>
      <c r="B114" s="272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4" t="str">
        <f>IF($E95&gt;$C$11,A93," ")</f>
        <v> </v>
      </c>
      <c r="B115" s="272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4" t="str">
        <f>IF($E96&gt;$C$11,A96," ")</f>
        <v> </v>
      </c>
      <c r="B116" s="272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4" t="str">
        <f>IF($E97&gt;$C$11,A97," ")</f>
        <v> </v>
      </c>
      <c r="B117" s="272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4" t="str">
        <f>IF($E98&gt;$C$11,A98," ")</f>
        <v> </v>
      </c>
      <c r="B118" s="272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7" t="s">
        <v>202</v>
      </c>
      <c r="B119" s="272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7" t="s">
        <v>201</v>
      </c>
      <c r="B120" s="272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7" t="s">
        <v>171</v>
      </c>
      <c r="B121" s="272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49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G32" sqref="G3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 t="s">
        <v>382</v>
      </c>
      <c r="E3" s="91"/>
    </row>
    <row r="4" spans="1:6" ht="15.75">
      <c r="A4" s="446" t="s">
        <v>440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8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Lakefront Utilities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1">
        <f aca="true" t="shared" si="0" ref="E19:E45">C19-D19</f>
        <v>0</v>
      </c>
    </row>
    <row r="20" spans="1:5" ht="12.75">
      <c r="A20" t="s">
        <v>384</v>
      </c>
      <c r="B20" t="s">
        <v>187</v>
      </c>
      <c r="C20" s="294"/>
      <c r="D20" s="294"/>
      <c r="E20" s="311">
        <f t="shared" si="0"/>
        <v>0</v>
      </c>
    </row>
    <row r="21" spans="1:5" ht="12.75">
      <c r="A21" t="s">
        <v>448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 t="s">
        <v>387</v>
      </c>
      <c r="B22" t="s">
        <v>187</v>
      </c>
      <c r="C22" s="294"/>
      <c r="D22" s="312"/>
      <c r="E22" s="311">
        <f t="shared" si="0"/>
        <v>0</v>
      </c>
    </row>
    <row r="23" spans="1:5" ht="12.75">
      <c r="A23" s="67" t="s">
        <v>388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449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432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386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385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427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428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445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81" t="s">
        <v>446</v>
      </c>
      <c r="C35" s="294"/>
      <c r="D35" s="294"/>
      <c r="E35" s="311">
        <f t="shared" si="0"/>
        <v>0</v>
      </c>
    </row>
    <row r="36" spans="1:5" ht="12.75">
      <c r="A36" s="67" t="s">
        <v>429</v>
      </c>
      <c r="C36" s="294"/>
      <c r="D36" s="294"/>
      <c r="E36" s="311">
        <f t="shared" si="0"/>
        <v>0</v>
      </c>
    </row>
    <row r="37" spans="1:5" ht="12.75">
      <c r="A37" s="67" t="s">
        <v>430</v>
      </c>
      <c r="C37" s="294"/>
      <c r="D37" s="294"/>
      <c r="E37" s="311">
        <f t="shared" si="0"/>
        <v>0</v>
      </c>
    </row>
    <row r="38" spans="1:5" ht="12.75">
      <c r="A38" s="67" t="s">
        <v>452</v>
      </c>
      <c r="C38" s="294"/>
      <c r="D38" s="294"/>
      <c r="E38" s="311">
        <f t="shared" si="0"/>
        <v>0</v>
      </c>
    </row>
    <row r="39" spans="2:5" ht="12.75">
      <c r="B39" t="s">
        <v>187</v>
      </c>
      <c r="C39" s="294"/>
      <c r="D39" s="294"/>
      <c r="E39" s="311">
        <f t="shared" si="0"/>
        <v>0</v>
      </c>
    </row>
    <row r="40" spans="1:5" ht="12.75">
      <c r="A40" s="481"/>
      <c r="B40" t="s">
        <v>187</v>
      </c>
      <c r="C40" s="294"/>
      <c r="D40" s="294"/>
      <c r="E40" s="311">
        <f t="shared" si="0"/>
        <v>0</v>
      </c>
    </row>
    <row r="41" spans="1:5" ht="12.75">
      <c r="A41" s="481"/>
      <c r="B41" t="s">
        <v>187</v>
      </c>
      <c r="C41" s="294"/>
      <c r="D41" s="294"/>
      <c r="E41" s="311">
        <f t="shared" si="0"/>
        <v>0</v>
      </c>
    </row>
    <row r="42" spans="2:5" ht="12.75">
      <c r="B42" t="s">
        <v>187</v>
      </c>
      <c r="C42" s="294"/>
      <c r="D42" s="294"/>
      <c r="E42" s="311">
        <f t="shared" si="0"/>
        <v>0</v>
      </c>
    </row>
    <row r="43" spans="1:5" ht="12.75">
      <c r="A43" s="68"/>
      <c r="B43" t="s">
        <v>187</v>
      </c>
      <c r="C43" s="294"/>
      <c r="D43" s="294"/>
      <c r="E43" s="311">
        <f t="shared" si="0"/>
        <v>0</v>
      </c>
    </row>
    <row r="44" spans="2:5" ht="12.75">
      <c r="B44" t="s">
        <v>187</v>
      </c>
      <c r="C44" s="293"/>
      <c r="D44" s="293"/>
      <c r="E44" s="249">
        <f t="shared" si="0"/>
        <v>0</v>
      </c>
    </row>
    <row r="45" spans="2:5" ht="12.75">
      <c r="B45" t="s">
        <v>187</v>
      </c>
      <c r="C45" s="293"/>
      <c r="D45" s="293"/>
      <c r="E45" s="249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31" t="s">
        <v>391</v>
      </c>
      <c r="B47" t="s">
        <v>189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384</v>
      </c>
      <c r="B51" s="8" t="s">
        <v>188</v>
      </c>
      <c r="C51" s="293"/>
      <c r="D51" s="293"/>
      <c r="E51" s="249">
        <f aca="true" t="shared" si="1" ref="E51:E61">C51-D51</f>
        <v>0</v>
      </c>
    </row>
    <row r="52" spans="1:5" ht="12.75">
      <c r="A52" s="67" t="s">
        <v>448</v>
      </c>
      <c r="B52" s="8" t="s">
        <v>188</v>
      </c>
      <c r="C52" s="293"/>
      <c r="D52" s="293"/>
      <c r="E52" s="249">
        <f t="shared" si="1"/>
        <v>0</v>
      </c>
    </row>
    <row r="53" spans="1:5" ht="12.75">
      <c r="A53" t="s">
        <v>385</v>
      </c>
      <c r="B53" s="8" t="s">
        <v>188</v>
      </c>
      <c r="C53" s="293"/>
      <c r="D53" s="293"/>
      <c r="E53" s="249">
        <f t="shared" si="1"/>
        <v>0</v>
      </c>
    </row>
    <row r="54" spans="1:5" ht="12.75">
      <c r="A54" t="s">
        <v>431</v>
      </c>
      <c r="B54" s="8" t="s">
        <v>188</v>
      </c>
      <c r="C54" s="293"/>
      <c r="D54" s="293"/>
      <c r="E54" s="249">
        <f t="shared" si="1"/>
        <v>0</v>
      </c>
    </row>
    <row r="55" spans="1:5" ht="12.75">
      <c r="A55" s="67" t="s">
        <v>439</v>
      </c>
      <c r="B55" s="8" t="s">
        <v>188</v>
      </c>
      <c r="C55" s="293"/>
      <c r="D55" s="293"/>
      <c r="E55" s="249">
        <f t="shared" si="1"/>
        <v>0</v>
      </c>
    </row>
    <row r="56" spans="1:5" ht="12.75">
      <c r="A56" s="67" t="s">
        <v>451</v>
      </c>
      <c r="B56" s="8" t="s">
        <v>188</v>
      </c>
      <c r="C56" s="293"/>
      <c r="D56" s="293"/>
      <c r="E56" s="249">
        <f t="shared" si="1"/>
        <v>0</v>
      </c>
    </row>
    <row r="57" spans="1:5" ht="12.75">
      <c r="A57" s="476" t="s">
        <v>447</v>
      </c>
      <c r="B57" s="8" t="s">
        <v>188</v>
      </c>
      <c r="C57" s="293"/>
      <c r="D57" s="293"/>
      <c r="E57" s="249">
        <f t="shared" si="1"/>
        <v>0</v>
      </c>
    </row>
    <row r="58" spans="1:5" ht="12.75">
      <c r="A58" s="67" t="s">
        <v>450</v>
      </c>
      <c r="B58" s="8" t="s">
        <v>188</v>
      </c>
      <c r="C58" s="293"/>
      <c r="D58" s="293"/>
      <c r="E58" s="249">
        <f t="shared" si="1"/>
        <v>0</v>
      </c>
    </row>
    <row r="59" spans="1:5" ht="12.75">
      <c r="A59" s="67"/>
      <c r="B59" s="8" t="s">
        <v>188</v>
      </c>
      <c r="C59" s="293"/>
      <c r="D59" s="293"/>
      <c r="E59" s="249">
        <f t="shared" si="1"/>
        <v>0</v>
      </c>
    </row>
    <row r="60" spans="1:5" ht="12.75">
      <c r="A60" s="480"/>
      <c r="B60" s="8" t="s">
        <v>188</v>
      </c>
      <c r="C60" s="293"/>
      <c r="D60" s="293"/>
      <c r="E60" s="249">
        <f t="shared" si="1"/>
        <v>0</v>
      </c>
    </row>
    <row r="61" spans="2:5" ht="12.75">
      <c r="B61" s="8" t="s">
        <v>188</v>
      </c>
      <c r="C61" s="293"/>
      <c r="D61" s="293"/>
      <c r="E61" s="249">
        <f t="shared" si="1"/>
        <v>0</v>
      </c>
    </row>
    <row r="62" spans="2:5" ht="12.75">
      <c r="B62" s="8" t="s">
        <v>188</v>
      </c>
      <c r="C62" s="293"/>
      <c r="D62" s="293"/>
      <c r="E62" s="249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49">
        <f t="shared" si="2"/>
        <v>0</v>
      </c>
    </row>
    <row r="64" spans="1:5" ht="12.75">
      <c r="A64" s="68" t="s">
        <v>205</v>
      </c>
      <c r="B64" s="8" t="s">
        <v>188</v>
      </c>
      <c r="C64" s="293"/>
      <c r="D64" s="293"/>
      <c r="E64" s="249">
        <f t="shared" si="2"/>
        <v>0</v>
      </c>
    </row>
    <row r="65" spans="2:5" ht="12.75">
      <c r="B65" s="8" t="s">
        <v>188</v>
      </c>
      <c r="C65" s="293"/>
      <c r="D65" s="293"/>
      <c r="E65" s="249">
        <f t="shared" si="2"/>
        <v>0</v>
      </c>
    </row>
    <row r="66" spans="1:5" ht="12.75">
      <c r="A66" s="482" t="s">
        <v>492</v>
      </c>
      <c r="B66" s="8" t="s">
        <v>188</v>
      </c>
      <c r="C66" s="293">
        <v>23924</v>
      </c>
      <c r="D66" s="293"/>
      <c r="E66" s="249">
        <f t="shared" si="2"/>
        <v>23924</v>
      </c>
    </row>
    <row r="67" spans="1:5" ht="12.75">
      <c r="A67" s="482"/>
      <c r="B67" s="8" t="s">
        <v>188</v>
      </c>
      <c r="C67" s="293"/>
      <c r="D67" s="293"/>
      <c r="E67" s="249">
        <f t="shared" si="2"/>
        <v>0</v>
      </c>
    </row>
    <row r="68" spans="1:5" ht="12.75">
      <c r="A68" s="482"/>
      <c r="B68" s="8" t="s">
        <v>188</v>
      </c>
      <c r="C68" s="293"/>
      <c r="D68" s="293"/>
      <c r="E68" s="249">
        <f t="shared" si="2"/>
        <v>0</v>
      </c>
    </row>
    <row r="69" spans="1:5" ht="12.75">
      <c r="A69" s="67"/>
      <c r="B69" s="8" t="s">
        <v>188</v>
      </c>
      <c r="C69" s="293"/>
      <c r="D69" s="293"/>
      <c r="E69" s="249">
        <f t="shared" si="2"/>
        <v>0</v>
      </c>
    </row>
    <row r="70" spans="1:5" ht="12.75">
      <c r="A70" s="67"/>
      <c r="B70" s="8" t="s">
        <v>188</v>
      </c>
      <c r="C70" s="293"/>
      <c r="D70" s="293"/>
      <c r="E70" s="249">
        <f t="shared" si="2"/>
        <v>0</v>
      </c>
    </row>
    <row r="71" spans="1:5" ht="12.75">
      <c r="A71" s="67"/>
      <c r="B71" s="8" t="s">
        <v>188</v>
      </c>
      <c r="C71" s="293"/>
      <c r="D71" s="293"/>
      <c r="E71" s="249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30" t="s">
        <v>390</v>
      </c>
      <c r="B73" s="8" t="s">
        <v>189</v>
      </c>
      <c r="C73" s="249">
        <f>SUM(C51:C72)</f>
        <v>23924</v>
      </c>
      <c r="D73" s="249">
        <f>SUM(D51:D72)</f>
        <v>0</v>
      </c>
      <c r="E73" s="249">
        <f>SUM(E51:E72)</f>
        <v>23924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1">
      <selection activeCell="G32" sqref="G3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67">
        <f>REGINFO!A1</f>
        <v>0</v>
      </c>
      <c r="B1" s="368"/>
      <c r="C1" s="340"/>
      <c r="D1" s="340"/>
      <c r="E1" s="340"/>
      <c r="F1" s="340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1" t="s">
        <v>107</v>
      </c>
      <c r="B2" s="340"/>
      <c r="C2" s="340"/>
      <c r="D2" s="340"/>
      <c r="E2" s="340"/>
      <c r="F2" s="342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1" t="s">
        <v>306</v>
      </c>
      <c r="B3" s="340"/>
      <c r="C3" s="340"/>
      <c r="D3" s="340"/>
      <c r="E3" s="340"/>
      <c r="F3" s="342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Lakefront Utilities Inc.</v>
      </c>
      <c r="B4" s="340"/>
      <c r="C4" s="340"/>
      <c r="D4" s="340"/>
      <c r="E4" s="340"/>
      <c r="F4" s="340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2002</v>
      </c>
      <c r="B5" s="340"/>
      <c r="C5" s="340"/>
      <c r="D5" s="340"/>
      <c r="E5" s="340"/>
      <c r="F5" s="340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1"/>
      <c r="B7" s="340"/>
      <c r="C7" s="340"/>
      <c r="D7" s="340"/>
      <c r="E7" s="340"/>
      <c r="F7" s="392" t="s">
        <v>337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494" t="s">
        <v>478</v>
      </c>
      <c r="B8" s="495"/>
      <c r="C8" s="495"/>
      <c r="D8" s="495"/>
      <c r="E8" s="340"/>
      <c r="F8" s="365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9" t="s">
        <v>112</v>
      </c>
      <c r="B9" s="324"/>
      <c r="C9" s="357">
        <v>0</v>
      </c>
      <c r="D9" s="357"/>
      <c r="E9" s="357">
        <v>200001</v>
      </c>
      <c r="F9" s="358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20" t="s">
        <v>462</v>
      </c>
      <c r="B10" s="325"/>
      <c r="C10" s="359" t="s">
        <v>111</v>
      </c>
      <c r="D10" s="359"/>
      <c r="E10" s="359" t="s">
        <v>111</v>
      </c>
      <c r="F10" s="360" t="s">
        <v>479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20"/>
      <c r="B11" s="325" t="s">
        <v>116</v>
      </c>
      <c r="C11" s="361">
        <v>200000</v>
      </c>
      <c r="D11" s="361"/>
      <c r="E11" s="361">
        <v>700000</v>
      </c>
      <c r="F11" s="362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1" t="s">
        <v>108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2" t="s">
        <v>299</v>
      </c>
      <c r="B13" s="391">
        <v>2002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2" t="s">
        <v>298</v>
      </c>
      <c r="B14" s="243"/>
      <c r="C14" s="326">
        <v>0.1312</v>
      </c>
      <c r="D14" s="326"/>
      <c r="E14" s="327">
        <v>0.2612</v>
      </c>
      <c r="F14" s="327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2" t="s">
        <v>303</v>
      </c>
      <c r="B15" s="243"/>
      <c r="C15" s="328">
        <v>0.06</v>
      </c>
      <c r="D15" s="328"/>
      <c r="E15" s="329">
        <v>0.06</v>
      </c>
      <c r="F15" s="329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2" t="s">
        <v>259</v>
      </c>
      <c r="B16" s="243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2"/>
      <c r="B17" s="243"/>
      <c r="C17" s="326"/>
      <c r="D17" s="326"/>
      <c r="E17" s="327"/>
      <c r="F17" s="327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1" t="s">
        <v>109</v>
      </c>
      <c r="B18" s="242"/>
      <c r="C18" s="332">
        <v>0.003</v>
      </c>
      <c r="D18" s="326"/>
      <c r="E18" s="327"/>
      <c r="F18" s="327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1" t="s">
        <v>110</v>
      </c>
      <c r="B19" s="236"/>
      <c r="C19" s="333">
        <v>0.00225</v>
      </c>
      <c r="D19" s="334"/>
      <c r="E19" s="335"/>
      <c r="F19" s="335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1" t="s">
        <v>113</v>
      </c>
      <c r="B20" s="236"/>
      <c r="C20" s="334">
        <v>0.0112</v>
      </c>
      <c r="D20" s="336"/>
      <c r="E20" s="337"/>
      <c r="F20" s="337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3" t="s">
        <v>332</v>
      </c>
      <c r="B21" s="389" t="s">
        <v>464</v>
      </c>
      <c r="C21" s="349">
        <v>5000000</v>
      </c>
      <c r="D21" s="336"/>
      <c r="E21" s="337"/>
      <c r="F21" s="337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3" t="s">
        <v>333</v>
      </c>
      <c r="B22" s="390" t="s">
        <v>465</v>
      </c>
      <c r="C22" s="350">
        <v>10000000</v>
      </c>
      <c r="D22" s="338"/>
      <c r="E22" s="339"/>
      <c r="F22" s="339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0" t="s">
        <v>480</v>
      </c>
      <c r="B23" s="491"/>
      <c r="C23" s="491"/>
      <c r="D23" s="491"/>
      <c r="E23" s="491"/>
      <c r="F23" s="491"/>
      <c r="G23" s="420"/>
      <c r="H23" s="402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3"/>
      <c r="B24" s="394"/>
      <c r="C24" s="394"/>
      <c r="D24" s="394"/>
      <c r="E24" s="394"/>
      <c r="F24" s="394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3"/>
      <c r="B25" s="364"/>
      <c r="C25" s="366"/>
      <c r="D25" s="340"/>
      <c r="E25" s="340"/>
      <c r="F25" s="392" t="s">
        <v>338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6" t="s">
        <v>473</v>
      </c>
      <c r="B26" s="497"/>
      <c r="C26" s="497"/>
      <c r="D26" s="497"/>
      <c r="E26" s="497"/>
      <c r="F26" s="497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9" t="s">
        <v>112</v>
      </c>
      <c r="B27" s="324"/>
      <c r="C27" s="351">
        <v>0</v>
      </c>
      <c r="D27" s="351"/>
      <c r="E27" s="351">
        <v>200001</v>
      </c>
      <c r="F27" s="352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20" t="s">
        <v>435</v>
      </c>
      <c r="B28" s="325"/>
      <c r="C28" s="353" t="s">
        <v>111</v>
      </c>
      <c r="D28" s="353"/>
      <c r="E28" s="353" t="s">
        <v>111</v>
      </c>
      <c r="F28" s="354" t="s">
        <v>479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20"/>
      <c r="B29" s="325" t="s">
        <v>116</v>
      </c>
      <c r="C29" s="355">
        <v>200000</v>
      </c>
      <c r="D29" s="355"/>
      <c r="E29" s="355">
        <v>700000</v>
      </c>
      <c r="F29" s="356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1" t="s">
        <v>108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2" t="s">
        <v>115</v>
      </c>
      <c r="B31" s="391">
        <v>2002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2" t="s">
        <v>298</v>
      </c>
      <c r="B32" s="391">
        <v>2002</v>
      </c>
      <c r="C32" s="326"/>
      <c r="D32" s="326"/>
      <c r="E32" s="327"/>
      <c r="F32" s="327">
        <v>0.2612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2" t="s">
        <v>29</v>
      </c>
      <c r="B33" s="391">
        <v>2002</v>
      </c>
      <c r="C33" s="328"/>
      <c r="D33" s="328"/>
      <c r="E33" s="329"/>
      <c r="F33" s="329">
        <v>0.125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2" t="s">
        <v>259</v>
      </c>
      <c r="B34" s="391">
        <v>2002</v>
      </c>
      <c r="C34" s="330"/>
      <c r="D34" s="330"/>
      <c r="E34" s="331"/>
      <c r="F34" s="331">
        <f>SUM(F32:F33)</f>
        <v>0.3862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2"/>
      <c r="B35" s="243"/>
      <c r="C35" s="326"/>
      <c r="D35" s="326"/>
      <c r="E35" s="327"/>
      <c r="F35" s="327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1" t="s">
        <v>109</v>
      </c>
      <c r="B36" s="391">
        <v>2002</v>
      </c>
      <c r="C36" s="332">
        <v>0.003</v>
      </c>
      <c r="D36" s="326"/>
      <c r="E36" s="327"/>
      <c r="F36" s="327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1" t="s">
        <v>110</v>
      </c>
      <c r="B37" s="391">
        <v>2002</v>
      </c>
      <c r="C37" s="333">
        <v>0.00225</v>
      </c>
      <c r="D37" s="334"/>
      <c r="E37" s="335"/>
      <c r="F37" s="335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1" t="s">
        <v>113</v>
      </c>
      <c r="B38" s="391">
        <v>2002</v>
      </c>
      <c r="C38" s="334">
        <v>0.0112</v>
      </c>
      <c r="D38" s="336"/>
      <c r="E38" s="337"/>
      <c r="F38" s="337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3" t="s">
        <v>471</v>
      </c>
      <c r="B39" s="389" t="s">
        <v>464</v>
      </c>
      <c r="C39" s="349">
        <v>5000000</v>
      </c>
      <c r="D39" s="336"/>
      <c r="E39" s="337"/>
      <c r="F39" s="337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3" t="s">
        <v>472</v>
      </c>
      <c r="B40" s="390" t="s">
        <v>465</v>
      </c>
      <c r="C40" s="350">
        <v>10000000</v>
      </c>
      <c r="D40" s="338"/>
      <c r="E40" s="339"/>
      <c r="F40" s="339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2" t="s">
        <v>335</v>
      </c>
      <c r="B41" s="491"/>
      <c r="C41" s="491"/>
      <c r="D41" s="491"/>
      <c r="E41" s="491"/>
      <c r="F41" s="491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93"/>
      <c r="B42" s="493"/>
      <c r="C42" s="493"/>
      <c r="D42" s="493"/>
      <c r="E42" s="493"/>
      <c r="F42" s="493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2:16" ht="12.75">
      <c r="B43"/>
      <c r="C43"/>
      <c r="D43"/>
      <c r="E43"/>
      <c r="F43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G50" s="192"/>
      <c r="H50" s="467"/>
      <c r="I50" s="467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G51" s="192"/>
      <c r="H51" s="467"/>
      <c r="I51" s="467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G52" s="192"/>
      <c r="H52" s="467"/>
      <c r="I52" s="467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1"/>
      <c r="B61" s="342"/>
      <c r="C61" s="342"/>
      <c r="D61" s="342"/>
      <c r="E61" s="342"/>
      <c r="F61" s="344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1"/>
      <c r="B62" s="342"/>
      <c r="C62" s="343"/>
      <c r="D62" s="343"/>
      <c r="E62" s="343"/>
      <c r="F62" s="345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1"/>
      <c r="B63" s="340"/>
      <c r="C63" s="340"/>
      <c r="D63" s="340"/>
      <c r="E63" s="340"/>
      <c r="F63" s="340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6"/>
      <c r="B64" s="347"/>
      <c r="C64" s="348"/>
      <c r="D64" s="348"/>
      <c r="E64" s="348"/>
      <c r="F64" s="348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S112"/>
  <sheetViews>
    <sheetView zoomScale="75" zoomScaleNormal="75" zoomScalePageLayoutView="0" workbookViewId="0" topLeftCell="A1">
      <selection activeCell="G32" sqref="G3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2" ht="12.75">
      <c r="A2" s="472" t="s">
        <v>482</v>
      </c>
    </row>
    <row r="5" ht="12.75">
      <c r="A5" s="1">
        <f>REGINFO!A1</f>
        <v>0</v>
      </c>
    </row>
    <row r="6" spans="1:2" ht="12.75">
      <c r="A6" s="2" t="s">
        <v>453</v>
      </c>
      <c r="B6" s="2"/>
    </row>
    <row r="7" spans="1:15" ht="12.75">
      <c r="A7" s="2" t="str">
        <f>REGINFO!A3</f>
        <v>Utility Name: Lakefront Utilities Inc.</v>
      </c>
      <c r="O7" s="398" t="str">
        <f>REGINFO!E1</f>
        <v>Version 2009.1</v>
      </c>
    </row>
    <row r="8" spans="1:15" ht="12.75">
      <c r="A8" s="2" t="str">
        <f>REGINFO!A4</f>
        <v>Reporting period:  2002</v>
      </c>
      <c r="E8" s="399" t="s">
        <v>321</v>
      </c>
      <c r="F8" s="381"/>
      <c r="G8" s="381"/>
      <c r="H8" s="381"/>
      <c r="I8" s="381"/>
      <c r="O8" s="398">
        <f>REGINFO!E2</f>
        <v>0</v>
      </c>
    </row>
    <row r="9" spans="4:7" ht="12.75">
      <c r="D9" s="34"/>
      <c r="E9" s="34"/>
      <c r="F9" s="34"/>
      <c r="G9" s="34"/>
    </row>
    <row r="10" spans="1:15" ht="13.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ht="13.5" thickTop="1"/>
    <row r="12" spans="1:13" ht="12.75">
      <c r="A12" s="2" t="s">
        <v>95</v>
      </c>
      <c r="C12" s="50">
        <v>37165</v>
      </c>
      <c r="E12" s="50">
        <v>37257</v>
      </c>
      <c r="G12" s="50">
        <v>37622</v>
      </c>
      <c r="I12" s="50">
        <v>37987</v>
      </c>
      <c r="K12" s="50">
        <v>38353</v>
      </c>
      <c r="M12" s="50">
        <v>38718</v>
      </c>
    </row>
    <row r="13" spans="1:15" ht="12.75">
      <c r="A13" s="2" t="s">
        <v>96</v>
      </c>
      <c r="C13" s="51">
        <v>37256</v>
      </c>
      <c r="E13" s="51">
        <v>37621</v>
      </c>
      <c r="G13" s="51">
        <v>37986</v>
      </c>
      <c r="I13" s="51">
        <v>38352</v>
      </c>
      <c r="K13" s="51">
        <v>38717</v>
      </c>
      <c r="M13" s="51">
        <v>38837</v>
      </c>
      <c r="O13" s="375" t="s">
        <v>104</v>
      </c>
    </row>
    <row r="14" spans="1:8" ht="12.75">
      <c r="A14" s="2"/>
      <c r="F14" s="34"/>
      <c r="H14" s="34"/>
    </row>
    <row r="15" spans="1:15" ht="20.25" customHeight="1">
      <c r="A15" s="81" t="s">
        <v>105</v>
      </c>
      <c r="B15" s="8" t="s">
        <v>189</v>
      </c>
      <c r="C15" s="377">
        <v>0</v>
      </c>
      <c r="D15" s="373"/>
      <c r="E15" s="379">
        <f>C26</f>
        <v>0</v>
      </c>
      <c r="F15" s="401"/>
      <c r="G15" s="379">
        <f>E26</f>
        <v>0</v>
      </c>
      <c r="H15" s="401"/>
      <c r="I15" s="379">
        <f>G26</f>
        <v>0</v>
      </c>
      <c r="J15" s="373"/>
      <c r="K15" s="379">
        <f>I26</f>
        <v>0</v>
      </c>
      <c r="L15" s="373"/>
      <c r="M15" s="379">
        <f>K26</f>
        <v>0</v>
      </c>
      <c r="N15" s="373"/>
      <c r="O15" s="379">
        <f>C15</f>
        <v>0</v>
      </c>
    </row>
    <row r="16" spans="1:15" ht="27" customHeight="1">
      <c r="A16" s="81" t="s">
        <v>392</v>
      </c>
      <c r="B16" s="66" t="s">
        <v>190</v>
      </c>
      <c r="C16" s="378"/>
      <c r="D16" s="374"/>
      <c r="E16" s="378"/>
      <c r="F16" s="94"/>
      <c r="G16" s="400">
        <f>C16+E16</f>
        <v>0</v>
      </c>
      <c r="H16" s="94"/>
      <c r="I16" s="400">
        <f>(E16/12*9)+(G16/12*3)</f>
        <v>0</v>
      </c>
      <c r="J16" s="374"/>
      <c r="K16" s="400">
        <f>E16/12*3</f>
        <v>0</v>
      </c>
      <c r="L16" s="374"/>
      <c r="M16" s="400">
        <f>K17/9*12/4</f>
        <v>0</v>
      </c>
      <c r="N16" s="374"/>
      <c r="O16" s="379">
        <f aca="true" t="shared" si="0" ref="O16:O24">SUM(C16:N16)</f>
        <v>0</v>
      </c>
    </row>
    <row r="17" spans="1:15" ht="27" customHeight="1">
      <c r="A17" s="81" t="s">
        <v>434</v>
      </c>
      <c r="B17" s="66"/>
      <c r="C17" s="400"/>
      <c r="D17" s="374"/>
      <c r="E17" s="400"/>
      <c r="F17" s="94"/>
      <c r="G17" s="400"/>
      <c r="H17" s="94"/>
      <c r="I17" s="400"/>
      <c r="J17" s="374"/>
      <c r="K17" s="378"/>
      <c r="L17" s="374"/>
      <c r="M17" s="400"/>
      <c r="N17" s="374"/>
      <c r="O17" s="379">
        <f t="shared" si="0"/>
        <v>0</v>
      </c>
    </row>
    <row r="18" spans="1:15" ht="25.5">
      <c r="A18" s="81" t="s">
        <v>393</v>
      </c>
      <c r="B18" s="66" t="s">
        <v>190</v>
      </c>
      <c r="C18" s="378"/>
      <c r="D18" s="374"/>
      <c r="E18" s="378"/>
      <c r="F18" s="94"/>
      <c r="G18" s="378"/>
      <c r="H18" s="94"/>
      <c r="I18" s="378"/>
      <c r="J18" s="374"/>
      <c r="K18" s="378"/>
      <c r="L18" s="374"/>
      <c r="M18" s="378"/>
      <c r="N18" s="374"/>
      <c r="O18" s="379">
        <f t="shared" si="0"/>
        <v>0</v>
      </c>
    </row>
    <row r="19" spans="1:15" ht="27" customHeight="1">
      <c r="A19" s="81" t="s">
        <v>394</v>
      </c>
      <c r="B19" s="66" t="s">
        <v>190</v>
      </c>
      <c r="C19" s="378"/>
      <c r="D19" s="374"/>
      <c r="E19" s="378"/>
      <c r="F19" s="94"/>
      <c r="G19" s="378"/>
      <c r="H19" s="94"/>
      <c r="I19" s="378"/>
      <c r="J19" s="374"/>
      <c r="K19" s="378"/>
      <c r="L19" s="374"/>
      <c r="M19" s="400"/>
      <c r="N19" s="374"/>
      <c r="O19" s="379">
        <f t="shared" si="0"/>
        <v>0</v>
      </c>
    </row>
    <row r="20" spans="1:15" ht="27" customHeight="1">
      <c r="A20" s="81" t="s">
        <v>395</v>
      </c>
      <c r="B20" s="66"/>
      <c r="C20" s="378"/>
      <c r="D20" s="374"/>
      <c r="E20" s="378"/>
      <c r="F20" s="94"/>
      <c r="G20" s="378"/>
      <c r="H20" s="94"/>
      <c r="I20" s="378"/>
      <c r="J20" s="374"/>
      <c r="K20" s="378"/>
      <c r="L20" s="374"/>
      <c r="M20" s="378"/>
      <c r="N20" s="374"/>
      <c r="O20" s="379">
        <f t="shared" si="0"/>
        <v>0</v>
      </c>
    </row>
    <row r="21" spans="1:15" ht="27.75" customHeight="1">
      <c r="A21" s="81" t="s">
        <v>396</v>
      </c>
      <c r="B21" s="66" t="s">
        <v>190</v>
      </c>
      <c r="C21" s="378"/>
      <c r="D21" s="374"/>
      <c r="E21" s="378"/>
      <c r="F21" s="94"/>
      <c r="G21" s="378"/>
      <c r="H21" s="94"/>
      <c r="I21" s="378"/>
      <c r="J21" s="374"/>
      <c r="K21" s="378"/>
      <c r="L21" s="374"/>
      <c r="M21" s="400">
        <f>TAXCALC!E181</f>
        <v>0</v>
      </c>
      <c r="N21" s="374"/>
      <c r="O21" s="379">
        <f t="shared" si="0"/>
        <v>0</v>
      </c>
    </row>
    <row r="22" spans="1:15" ht="25.5">
      <c r="A22" s="81" t="s">
        <v>397</v>
      </c>
      <c r="B22" s="66" t="s">
        <v>190</v>
      </c>
      <c r="C22" s="378"/>
      <c r="D22" s="374"/>
      <c r="E22" s="378"/>
      <c r="F22" s="94"/>
      <c r="G22" s="378"/>
      <c r="H22" s="94"/>
      <c r="I22" s="378"/>
      <c r="J22" s="374"/>
      <c r="K22" s="378"/>
      <c r="L22" s="374"/>
      <c r="M22" s="378"/>
      <c r="N22" s="374"/>
      <c r="O22" s="379">
        <f t="shared" si="0"/>
        <v>0</v>
      </c>
    </row>
    <row r="23" spans="1:15" ht="24" customHeight="1">
      <c r="A23" s="414" t="s">
        <v>398</v>
      </c>
      <c r="B23" s="66" t="s">
        <v>190</v>
      </c>
      <c r="C23" s="378"/>
      <c r="D23" s="374"/>
      <c r="E23" s="378"/>
      <c r="F23" s="94"/>
      <c r="G23" s="378"/>
      <c r="H23" s="94"/>
      <c r="I23" s="378"/>
      <c r="J23" s="374"/>
      <c r="K23" s="378"/>
      <c r="L23" s="374"/>
      <c r="M23" s="378"/>
      <c r="N23" s="374"/>
      <c r="O23" s="379">
        <f t="shared" si="0"/>
        <v>0</v>
      </c>
    </row>
    <row r="24" spans="1:15" ht="24.75" customHeight="1">
      <c r="A24" s="81" t="s">
        <v>463</v>
      </c>
      <c r="B24" s="66" t="s">
        <v>188</v>
      </c>
      <c r="C24" s="400">
        <v>0</v>
      </c>
      <c r="D24" s="374"/>
      <c r="E24" s="378"/>
      <c r="F24" s="94"/>
      <c r="G24" s="378"/>
      <c r="H24" s="94"/>
      <c r="I24" s="378"/>
      <c r="J24" s="374"/>
      <c r="K24" s="378"/>
      <c r="L24" s="374"/>
      <c r="M24" s="378"/>
      <c r="N24" s="374"/>
      <c r="O24" s="379">
        <f t="shared" si="0"/>
        <v>0</v>
      </c>
    </row>
    <row r="25" spans="1:15" ht="12.75">
      <c r="A25" s="65"/>
      <c r="C25" s="374"/>
      <c r="D25" s="94"/>
      <c r="E25" s="374"/>
      <c r="F25" s="94"/>
      <c r="G25" s="374"/>
      <c r="H25" s="94"/>
      <c r="I25" s="374"/>
      <c r="J25" s="374"/>
      <c r="K25" s="374"/>
      <c r="L25" s="374"/>
      <c r="M25" s="374"/>
      <c r="N25" s="374"/>
      <c r="O25" s="401"/>
    </row>
    <row r="26" spans="1:15" ht="13.5" thickBot="1">
      <c r="A26" s="81" t="s">
        <v>371</v>
      </c>
      <c r="B26" s="34"/>
      <c r="C26" s="380">
        <f>SUM(C15:C24)</f>
        <v>0</v>
      </c>
      <c r="D26" s="401"/>
      <c r="E26" s="380">
        <f>SUM(E15:E24)</f>
        <v>0</v>
      </c>
      <c r="F26" s="401"/>
      <c r="G26" s="380">
        <f>SUM(G15:G24)</f>
        <v>0</v>
      </c>
      <c r="H26" s="401"/>
      <c r="I26" s="380">
        <f>SUM(I15:I24)</f>
        <v>0</v>
      </c>
      <c r="J26" s="373"/>
      <c r="K26" s="380">
        <f>SUM(K15:K24)</f>
        <v>0</v>
      </c>
      <c r="L26" s="373"/>
      <c r="M26" s="380">
        <f>SUM(M15:M25)</f>
        <v>0</v>
      </c>
      <c r="N26" s="373"/>
      <c r="O26" s="432">
        <f>SUM(O15:O24)</f>
        <v>0</v>
      </c>
    </row>
    <row r="27" spans="1:15" ht="13.5" thickTop="1">
      <c r="A27" s="415"/>
      <c r="B27" s="416"/>
      <c r="C27" s="422"/>
      <c r="D27" s="423"/>
      <c r="E27" s="422"/>
      <c r="F27" s="423"/>
      <c r="G27" s="422"/>
      <c r="H27" s="423"/>
      <c r="I27" s="422"/>
      <c r="J27" s="416"/>
      <c r="K27" s="422"/>
      <c r="L27" s="186"/>
      <c r="M27" s="424"/>
      <c r="N27" s="186"/>
      <c r="O27" s="424"/>
    </row>
    <row r="28" spans="1:15" ht="12.75">
      <c r="A28" s="438"/>
      <c r="B28" s="439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1"/>
    </row>
    <row r="29" spans="1:15" ht="12.75">
      <c r="A29" s="415"/>
      <c r="B29" s="416"/>
      <c r="C29" s="442"/>
      <c r="D29" s="442"/>
      <c r="E29" s="442"/>
      <c r="F29" s="442"/>
      <c r="G29" s="442"/>
      <c r="H29" s="442"/>
      <c r="I29" s="442"/>
      <c r="J29" s="443"/>
      <c r="K29" s="442"/>
      <c r="L29" s="444"/>
      <c r="M29" s="445"/>
      <c r="N29" s="444"/>
      <c r="O29" s="445"/>
    </row>
    <row r="30" spans="1:15" ht="12.75">
      <c r="A30" s="415" t="s">
        <v>399</v>
      </c>
      <c r="B30" s="416"/>
      <c r="C30" s="442"/>
      <c r="D30" s="442"/>
      <c r="E30" s="442"/>
      <c r="F30" s="442"/>
      <c r="G30" s="442"/>
      <c r="H30" s="442"/>
      <c r="I30" s="442"/>
      <c r="J30" s="443"/>
      <c r="K30" s="442"/>
      <c r="L30" s="444"/>
      <c r="M30" s="445"/>
      <c r="N30" s="444"/>
      <c r="O30" s="445"/>
    </row>
    <row r="31" spans="1:15" ht="9" customHeight="1">
      <c r="A31" s="415"/>
      <c r="B31" s="416"/>
      <c r="C31" s="416"/>
      <c r="D31" s="416"/>
      <c r="E31" s="416"/>
      <c r="F31" s="416"/>
      <c r="G31" s="416"/>
      <c r="H31" s="416"/>
      <c r="I31" s="416"/>
      <c r="J31" s="416"/>
      <c r="K31" s="417"/>
      <c r="L31" s="186"/>
      <c r="M31" s="186"/>
      <c r="N31" s="186"/>
      <c r="O31" s="186"/>
    </row>
    <row r="32" spans="1:15" ht="12.75">
      <c r="A32" s="415" t="s">
        <v>400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186"/>
      <c r="M32" s="186"/>
      <c r="N32" s="186"/>
      <c r="O32" s="186"/>
    </row>
    <row r="33" spans="1:15" ht="12.75">
      <c r="A33" s="418" t="s">
        <v>401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186"/>
      <c r="M33" s="186"/>
      <c r="N33" s="186"/>
      <c r="O33" s="186"/>
    </row>
    <row r="34" spans="1:15" ht="9" customHeight="1">
      <c r="A34" s="18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186"/>
      <c r="M34" s="186"/>
      <c r="N34" s="186"/>
      <c r="O34" s="186"/>
    </row>
    <row r="35" spans="1:15" ht="12.75">
      <c r="A35" s="433" t="s">
        <v>402</v>
      </c>
      <c r="B35" s="80"/>
      <c r="C35" s="80"/>
      <c r="D35" s="80"/>
      <c r="E35" s="80"/>
      <c r="F35" s="80"/>
      <c r="G35" s="80"/>
      <c r="H35" s="80"/>
      <c r="I35" s="429"/>
      <c r="J35" s="429"/>
      <c r="K35" s="429"/>
      <c r="L35" s="429"/>
      <c r="M35" s="429"/>
      <c r="N35" s="429"/>
      <c r="O35" s="429"/>
    </row>
    <row r="36" spans="1:15" ht="9" customHeight="1">
      <c r="A36" s="434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</row>
    <row r="37" spans="1:19" ht="12.75">
      <c r="A37" s="499" t="s">
        <v>403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402"/>
      <c r="Q37" s="402"/>
      <c r="R37" s="402"/>
      <c r="S37" s="402"/>
    </row>
    <row r="38" spans="1:19" ht="12.75">
      <c r="A38" s="498" t="s">
        <v>404</v>
      </c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402"/>
      <c r="Q38" s="402"/>
      <c r="R38" s="402"/>
      <c r="S38" s="402"/>
    </row>
    <row r="39" spans="1:19" ht="12.75">
      <c r="A39" s="498" t="s">
        <v>425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402"/>
      <c r="Q39" s="402"/>
      <c r="R39" s="402"/>
      <c r="S39" s="402"/>
    </row>
    <row r="40" spans="1:19" ht="12.75">
      <c r="A40" s="498" t="s">
        <v>405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402"/>
      <c r="Q40" s="402"/>
      <c r="R40" s="402"/>
      <c r="S40" s="402"/>
    </row>
    <row r="41" spans="1:19" ht="12.75">
      <c r="A41" s="419" t="s">
        <v>368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02"/>
      <c r="Q41" s="402"/>
      <c r="R41" s="402"/>
      <c r="S41" s="402"/>
    </row>
    <row r="42" spans="1:19" ht="12.75">
      <c r="A42" s="419" t="s">
        <v>369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02"/>
      <c r="Q42" s="402"/>
      <c r="R42" s="402"/>
      <c r="S42" s="402"/>
    </row>
    <row r="43" spans="1:19" ht="12.75">
      <c r="A43" s="419" t="s">
        <v>406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02"/>
      <c r="Q43" s="402"/>
      <c r="R43" s="402"/>
      <c r="S43" s="402"/>
    </row>
    <row r="44" spans="1:19" ht="12.75">
      <c r="A44" s="419" t="s">
        <v>407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02"/>
      <c r="Q44" s="402"/>
      <c r="R44" s="402"/>
      <c r="S44" s="402"/>
    </row>
    <row r="45" spans="2:19" ht="9" customHeight="1"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02"/>
      <c r="Q45" s="402"/>
      <c r="R45" s="402"/>
      <c r="S45" s="402"/>
    </row>
    <row r="46" spans="1:15" ht="12.75">
      <c r="A46" s="421" t="s">
        <v>408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186"/>
      <c r="M46" s="186"/>
      <c r="N46" s="186"/>
      <c r="O46" s="186"/>
    </row>
    <row r="47" spans="1:15" ht="12.75">
      <c r="A47" s="416" t="s">
        <v>409</v>
      </c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186"/>
      <c r="M47" s="186"/>
      <c r="N47" s="186"/>
      <c r="O47" s="186"/>
    </row>
    <row r="48" spans="1:15" ht="9" customHeight="1">
      <c r="A48" s="416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186"/>
      <c r="M48" s="186"/>
      <c r="N48" s="186"/>
      <c r="O48" s="186"/>
    </row>
    <row r="49" spans="1:15" ht="12.75">
      <c r="A49" s="421" t="s">
        <v>410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186"/>
      <c r="M49" s="186"/>
      <c r="N49" s="186"/>
      <c r="O49" s="186"/>
    </row>
    <row r="50" spans="1:15" ht="12.75">
      <c r="A50" s="416" t="s">
        <v>411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186"/>
      <c r="M50" s="186"/>
      <c r="N50" s="186"/>
      <c r="O50" s="186"/>
    </row>
    <row r="51" spans="1:15" ht="9" customHeight="1">
      <c r="A51" s="416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186"/>
      <c r="M51" s="186"/>
      <c r="N51" s="186"/>
      <c r="O51" s="186"/>
    </row>
    <row r="52" spans="1:15" ht="12.75">
      <c r="A52" s="421" t="s">
        <v>412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186"/>
      <c r="M52" s="186"/>
      <c r="N52" s="186"/>
      <c r="O52" s="186"/>
    </row>
    <row r="53" spans="1:15" ht="12.75">
      <c r="A53" s="416" t="s">
        <v>413</v>
      </c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186"/>
      <c r="M53" s="186"/>
      <c r="N53" s="186"/>
      <c r="O53" s="186"/>
    </row>
    <row r="54" spans="1:15" ht="9" customHeight="1">
      <c r="A54" s="416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186"/>
      <c r="M54" s="186"/>
      <c r="N54" s="186"/>
      <c r="O54" s="186"/>
    </row>
    <row r="55" spans="1:15" ht="12.75">
      <c r="A55" s="421" t="s">
        <v>414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186"/>
      <c r="M55" s="186"/>
      <c r="N55" s="186"/>
      <c r="O55" s="186"/>
    </row>
    <row r="56" spans="1:15" ht="12.75">
      <c r="A56" s="416" t="s">
        <v>411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186"/>
      <c r="M56" s="186"/>
      <c r="N56" s="186"/>
      <c r="O56" s="186"/>
    </row>
    <row r="57" spans="1:15" ht="9" customHeight="1">
      <c r="A57" s="421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186"/>
      <c r="M57" s="186"/>
      <c r="N57" s="186"/>
      <c r="O57" s="186"/>
    </row>
    <row r="58" spans="1:15" ht="12.75">
      <c r="A58" s="416" t="s">
        <v>415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186"/>
      <c r="M58" s="186"/>
      <c r="N58" s="186"/>
      <c r="O58" s="186"/>
    </row>
    <row r="59" spans="1:15" ht="9" customHeight="1">
      <c r="A59" s="416"/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186"/>
      <c r="M59" s="186"/>
      <c r="N59" s="186"/>
      <c r="O59" s="186"/>
    </row>
    <row r="60" spans="1:15" ht="12.75" customHeight="1">
      <c r="A60" s="421" t="s">
        <v>416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186"/>
      <c r="M60" s="186"/>
      <c r="N60" s="186"/>
      <c r="O60" s="186"/>
    </row>
    <row r="61" spans="1:15" ht="9" customHeight="1">
      <c r="A61" s="416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186"/>
      <c r="M61" s="186"/>
      <c r="N61" s="186"/>
      <c r="O61" s="186"/>
    </row>
    <row r="62" spans="1:15" ht="12.75">
      <c r="A62" s="416" t="s">
        <v>417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186"/>
      <c r="M62" s="186"/>
      <c r="N62" s="186"/>
      <c r="O62" s="186"/>
    </row>
    <row r="63" spans="1:15" ht="12.75">
      <c r="A63" s="416" t="s">
        <v>418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186"/>
      <c r="M63" s="186"/>
      <c r="N63" s="186"/>
      <c r="O63" s="186"/>
    </row>
    <row r="64" spans="1:15" ht="12.75">
      <c r="A64" s="416" t="s">
        <v>419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186"/>
      <c r="M64" s="186"/>
      <c r="N64" s="186"/>
      <c r="O64" s="186"/>
    </row>
    <row r="65" spans="1:15" ht="12.75">
      <c r="A65" s="416" t="s">
        <v>378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186"/>
      <c r="M65" s="186"/>
      <c r="N65" s="186"/>
      <c r="O65" s="186"/>
    </row>
    <row r="66" spans="1:15" ht="9" customHeight="1">
      <c r="A66" s="416"/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186"/>
      <c r="M66" s="186"/>
      <c r="N66" s="186"/>
      <c r="O66" s="186"/>
    </row>
    <row r="67" spans="1:15" ht="12.75">
      <c r="A67" s="416" t="s">
        <v>420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186"/>
      <c r="M67" s="186"/>
      <c r="N67" s="186"/>
      <c r="O67" s="186"/>
    </row>
    <row r="68" spans="1:15" ht="12.75">
      <c r="A68" s="416" t="s">
        <v>421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186"/>
      <c r="M68" s="186"/>
      <c r="N68" s="186"/>
      <c r="O68" s="186"/>
    </row>
    <row r="69" spans="1:15" ht="12.75">
      <c r="A69" s="416" t="s">
        <v>380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186"/>
      <c r="M69" s="186"/>
      <c r="N69" s="186"/>
      <c r="O69" s="186"/>
    </row>
    <row r="70" spans="1:15" ht="3.75" customHeight="1">
      <c r="A70" s="416"/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186"/>
      <c r="M70" s="186"/>
      <c r="N70" s="186"/>
      <c r="O70" s="186"/>
    </row>
    <row r="71" spans="1:15" ht="12.75">
      <c r="A71" s="416" t="s">
        <v>379</v>
      </c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186"/>
      <c r="M71" s="186"/>
      <c r="N71" s="186"/>
      <c r="O71" s="186"/>
    </row>
    <row r="72" spans="1:15" ht="12.75">
      <c r="A72" s="416" t="s">
        <v>381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186"/>
      <c r="M72" s="186"/>
      <c r="N72" s="186"/>
      <c r="O72" s="186"/>
    </row>
    <row r="73" spans="1:15" ht="3.75" customHeight="1">
      <c r="A73" s="416"/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186"/>
      <c r="M73" s="186"/>
      <c r="N73" s="186"/>
      <c r="O73" s="186"/>
    </row>
    <row r="74" spans="1:15" ht="12.75">
      <c r="A74" s="416" t="s">
        <v>422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186"/>
      <c r="M74" s="186"/>
      <c r="N74" s="186"/>
      <c r="O74" s="186"/>
    </row>
    <row r="75" spans="1:15" ht="12.75">
      <c r="A75" s="416" t="s">
        <v>423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186"/>
      <c r="M75" s="186"/>
      <c r="N75" s="186"/>
      <c r="O75" s="186"/>
    </row>
    <row r="76" spans="1:15" ht="12.75">
      <c r="A76" s="416" t="s">
        <v>424</v>
      </c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186"/>
      <c r="M76" s="186"/>
      <c r="N76" s="186"/>
      <c r="O76" s="186"/>
    </row>
    <row r="77" spans="1:15" ht="9" customHeight="1">
      <c r="A77" s="416"/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186"/>
      <c r="M77" s="186"/>
      <c r="N77" s="186"/>
      <c r="O77" s="186"/>
    </row>
    <row r="78" spans="1:15" ht="12.75" customHeight="1">
      <c r="A78" s="498" t="s">
        <v>454</v>
      </c>
      <c r="B78" s="498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</row>
    <row r="79" spans="1:15" ht="12.75">
      <c r="A79" s="416" t="s">
        <v>370</v>
      </c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186"/>
      <c r="M79" s="186"/>
      <c r="N79" s="186"/>
      <c r="O79" s="186"/>
    </row>
    <row r="80" spans="1:15" ht="12.75">
      <c r="A80" s="186"/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186"/>
      <c r="M80" s="186"/>
      <c r="N80" s="186"/>
      <c r="O80" s="186"/>
    </row>
    <row r="81" spans="1:15" ht="12.75">
      <c r="A81" s="186"/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186"/>
      <c r="M81" s="186"/>
      <c r="N81" s="186"/>
      <c r="O81" s="186"/>
    </row>
    <row r="82" spans="1:17" ht="12.75">
      <c r="A82" s="186"/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186"/>
      <c r="O82" s="186"/>
      <c r="P82" s="186"/>
      <c r="Q82" s="186"/>
    </row>
    <row r="83" spans="1:17" ht="12.75">
      <c r="A83" s="186"/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186"/>
      <c r="O83" s="186"/>
      <c r="P83" s="186"/>
      <c r="Q83" s="186"/>
    </row>
    <row r="84" spans="1:17" ht="12.75">
      <c r="A84" s="186"/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186"/>
      <c r="O84" s="186"/>
      <c r="P84" s="186"/>
      <c r="Q84" s="186"/>
    </row>
    <row r="85" spans="1:17" ht="12.75">
      <c r="A85" s="416"/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186"/>
      <c r="O85" s="186"/>
      <c r="P85" s="186"/>
      <c r="Q85" s="186"/>
    </row>
    <row r="86" spans="1:17" ht="12.75">
      <c r="A86" s="186"/>
      <c r="B86" s="18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186"/>
      <c r="O86" s="186"/>
      <c r="P86" s="186"/>
      <c r="Q86" s="186"/>
    </row>
    <row r="87" spans="1:17" ht="12.75">
      <c r="A87" s="186"/>
      <c r="B87" s="18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186"/>
      <c r="O87" s="186"/>
      <c r="P87" s="186"/>
      <c r="Q87" s="186"/>
    </row>
    <row r="88" spans="1:17" ht="12.75">
      <c r="A88" s="416"/>
      <c r="B88" s="41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186"/>
      <c r="O88" s="186"/>
      <c r="P88" s="186"/>
      <c r="Q88" s="186"/>
    </row>
    <row r="89" spans="1:17" ht="12.75">
      <c r="A89" s="186"/>
      <c r="B89" s="416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186"/>
      <c r="O89" s="186"/>
      <c r="P89" s="186"/>
      <c r="Q89" s="186"/>
    </row>
    <row r="90" spans="1:17" ht="12.75">
      <c r="A90" s="186"/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186"/>
      <c r="O90" s="186"/>
      <c r="P90" s="186"/>
      <c r="Q90" s="186"/>
    </row>
    <row r="91" spans="1:17" ht="12.75">
      <c r="A91" s="186"/>
      <c r="B91" s="18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186"/>
      <c r="O91" s="186"/>
      <c r="P91" s="186"/>
      <c r="Q91" s="186"/>
    </row>
    <row r="92" spans="1:17" ht="12.75">
      <c r="A92" s="186"/>
      <c r="B92" s="18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186"/>
      <c r="O92" s="186"/>
      <c r="P92" s="186"/>
      <c r="Q92" s="186"/>
    </row>
    <row r="93" spans="1:17" ht="12.75">
      <c r="A93" s="186"/>
      <c r="B93" s="186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186"/>
      <c r="O93" s="186"/>
      <c r="P93" s="186"/>
      <c r="Q93" s="186"/>
    </row>
    <row r="94" spans="1:17" ht="12.75">
      <c r="A94" s="186"/>
      <c r="B94" s="18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186"/>
      <c r="O94" s="186"/>
      <c r="P94" s="186"/>
      <c r="Q94" s="186"/>
    </row>
    <row r="95" spans="1:17" ht="12.75">
      <c r="A95" s="186"/>
      <c r="B95" s="18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186"/>
      <c r="O95" s="186"/>
      <c r="P95" s="186"/>
      <c r="Q95" s="186"/>
    </row>
    <row r="96" spans="1:17" ht="12.75">
      <c r="A96" s="186"/>
      <c r="B96" s="186"/>
      <c r="C96" s="498"/>
      <c r="D96" s="498"/>
      <c r="E96" s="498"/>
      <c r="F96" s="498"/>
      <c r="G96" s="498"/>
      <c r="H96" s="498"/>
      <c r="I96" s="498"/>
      <c r="J96" s="498"/>
      <c r="K96" s="498"/>
      <c r="L96" s="498"/>
      <c r="M96" s="498"/>
      <c r="N96" s="498"/>
      <c r="O96" s="498"/>
      <c r="P96" s="498"/>
      <c r="Q96" s="498"/>
    </row>
    <row r="97" spans="1:17" ht="12.75">
      <c r="A97" s="186"/>
      <c r="B97" s="18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186"/>
      <c r="O97" s="186"/>
      <c r="P97" s="186"/>
      <c r="Q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 t="s">
        <v>102</v>
      </c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 t="s">
        <v>102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 t="s">
        <v>102</v>
      </c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  <row r="109" spans="1:15" ht="12.7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</row>
    <row r="110" spans="1:15" ht="12.7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</row>
    <row r="111" spans="1:15" ht="12.7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</row>
    <row r="112" spans="1:15" ht="12.7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</row>
  </sheetData>
  <sheetProtection/>
  <mergeCells count="6">
    <mergeCell ref="C96:Q96"/>
    <mergeCell ref="A37:O37"/>
    <mergeCell ref="A40:O40"/>
    <mergeCell ref="A78:O78"/>
    <mergeCell ref="A38:O38"/>
    <mergeCell ref="A39:O39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2011-07-07T17:57:08Z</cp:lastPrinted>
  <dcterms:created xsi:type="dcterms:W3CDTF">2001-11-07T16:15:53Z</dcterms:created>
  <dcterms:modified xsi:type="dcterms:W3CDTF">2011-11-14T15:45:23Z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