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63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<sst xmlns="http://schemas.openxmlformats.org/spreadsheetml/2006/main" count="995" uniqueCount="604">
  <si>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</si>
  <si>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</si>
  <si>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</si>
  <si>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</si>
  <si>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</si>
  <si>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</si>
  <si>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</si>
  <si>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</si>
  <si>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</si>
  <si>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</si>
  <si>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</si>
  <si>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</si>
  <si>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</si>
  <si>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</si>
  <si>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</si>
  <si>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</si>
  <si>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</si>
  <si>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</si>
  <si>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</si>
  <si>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</si>
  <si>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</si>
  <si>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</si>
  <si>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</si>
  <si>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</si>
  <si>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</si>
  <si>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</si>
  <si>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</si>
  <si>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</si>
  <si>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</si>
  <si>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</si>
  <si>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</si>
  <si>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</si>
  <si>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</si>
  <si>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</si>
  <si>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</si>
  <si>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</si>
  <si>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</si>
  <si>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</si>
  <si>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</si>
  <si>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</si>
  <si>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</si>
  <si>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</si>
  <si>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</si>
  <si>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</si>
  <si>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</si>
  <si>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</si>
  <si>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</si>
  <si>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</si>
  <si>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</si>
  <si>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</si>
  <si>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</si>
  <si>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</si>
  <si>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</si>
  <si>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</si>
  <si>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</si>
  <si>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</si>
  <si>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</si>
  <si>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</si>
  <si>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</si>
  <si>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</si>
  <si>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</si>
  <si>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</si>
  <si>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</si>
  <si>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</si>
  <si>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</si>
  <si>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</si>
  <si>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</si>
  <si>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</si>
  <si>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</si>
  <si>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</si>
  <si>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</si>
  <si>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</si>
  <si>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</si>
  <si>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</si>
  <si>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</si>
  <si>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</si>
  <si>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</si>
  <si>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</si>
  <si>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</si>
  <si>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</si>
  <si>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</si>
  <si>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</si>
  <si>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</si>
  <si>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</si>
  <si>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</si>
  <si>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</si>
  <si>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</si>
  <si>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</si>
  <si>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</si>
  <si>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</si>
  <si>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</si>
  <si>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</si>
  <si>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</si>
  <si>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</si>
  <si>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</si>
  <si>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</si>
  <si>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</si>
  <si>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</si>
  <si>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</si>
  <si>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</si>
  <si>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</si>
  <si>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</si>
  <si>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</si>
  <si>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</si>
  <si>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</si>
  <si>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</si>
  <si>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</si>
  <si>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</si>
  <si>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</si>
  <si>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</si>
  <si>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</si>
  <si>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</si>
  <si>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</si>
  <si>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</si>
  <si>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</si>
  <si>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</si>
  <si>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</si>
  <si>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</si>
  <si>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</si>
  <si>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</si>
  <si>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</si>
  <si>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</si>
  <si>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</si>
  <si>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</si>
  <si>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</si>
  <si>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</si>
  <si>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</si>
  <si>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</si>
  <si>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</si>
  <si>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</si>
  <si>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</si>
  <si>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</si>
  <si>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</si>
  <si>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</si>
  <si>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</si>
  <si>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</si>
  <si>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</si>
  <si>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</si>
  <si>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</si>
  <si>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</si>
  <si>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</si>
  <si>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</si>
  <si>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</si>
  <si>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</si>
  <si>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</si>
  <si>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</si>
  <si>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</si>
  <si>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</si>
  <si>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</si>
  <si>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</si>
  <si>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</si>
  <si>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</si>
  <si>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</si>
  <si>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</si>
  <si>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</si>
  <si>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</si>
  <si>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</si>
  <si>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</si>
  <si>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</si>
  <si>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</si>
  <si>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</si>
  <si>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</si>
  <si>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</si>
  <si>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</si>
  <si>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</si>
  <si>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</si>
  <si>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</si>
  <si>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</si>
  <si>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</si>
  <si>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</si>
  <si>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</si>
  <si>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</si>
  <si>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</si>
  <si>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</si>
  <si>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</si>
  <si>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</si>
  <si>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</si>
  <si>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</si>
  <si>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</si>
  <si>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</si>
  <si>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</si>
  <si>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</si>
  <si>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</si>
  <si>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</si>
  <si>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</si>
  <si>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</si>
  <si>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</si>
  <si>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</si>
  <si>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</si>
  <si>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</si>
  <si>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</si>
  <si>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</si>
  <si>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</si>
  <si>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</si>
  <si>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</si>
  <si>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</si>
  <si>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</si>
  <si>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</si>
  <si>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</si>
  <si>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</si>
  <si>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</si>
  <si>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</si>
  <si>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</si>
  <si>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</si>
  <si>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</si>
  <si>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</si>
  <si>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</si>
  <si>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</si>
  <si>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</si>
  <si>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</si>
  <si>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</si>
  <si>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</si>
  <si>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</si>
  <si>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</si>
  <si>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</si>
  <si>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</si>
  <si>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</si>
  <si>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</si>
  <si>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</si>
  <si>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</si>
  <si>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</si>
  <si>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</si>
  <si>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</si>
  <si>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</si>
  <si>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</si>
  <si>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</si>
  <si>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</si>
  <si>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</si>
  <si>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</si>
  <si>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</si>
  <si>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</si>
  <si>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</si>
  <si>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</si>
  <si>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</si>
  <si>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</si>
  <si>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</si>
  <si>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</si>
  <si>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</si>
  <si>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</si>
  <si>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</si>
  <si>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</si>
  <si>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</si>
  <si>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</si>
  <si>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</si>
  <si>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</si>
  <si>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</si>
  <si>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</si>
  <si>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</si>
  <si>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</si>
  <si>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</si>
  <si>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</si>
  <si>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</si>
  <si>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</si>
  <si>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</si>
  <si>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</si>
  <si>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</si>
  <si>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</si>
  <si>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</si>
  <si>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</si>
  <si>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</si>
  <si>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</si>
  <si>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</si>
  <si>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</si>
  <si>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</si>
  <si>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</si>
  <si>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</si>
  <si>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</si>
  <si>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</si>
  <si>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</si>
  <si>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</si>
  <si>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</si>
  <si>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</si>
  <si>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</si>
  <si>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</si>
  <si>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</si>
  <si>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</si>
  <si>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</si>
  <si>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</si>
  <si>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</si>
  <si>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</si>
  <si>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</si>
  <si>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</si>
  <si>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</si>
  <si>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</si>
  <si>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</si>
  <si>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</si>
  <si>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</si>
  <si>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</si>
  <si>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</si>
  <si>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</si>
  <si>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</si>
  <si>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</si>
  <si>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</si>
  <si>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</si>
  <si>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</si>
  <si>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</si>
  <si>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</si>
  <si>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</si>
  <si>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</si>
  <si>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</si>
  <si>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</si>
  <si>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</si>
  <si>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</si>
  <si>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</si>
  <si>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</si>
  <si>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</si>
  <si>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</si>
  <si>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</si>
  <si>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</si>
  <si>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</si>
  <si>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</si>
  <si>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</si>
  <si>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</si>
  <si>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</si>
  <si>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</si>
  <si>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</si>
  <si>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</si>
  <si>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</si>
  <si>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</si>
  <si>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</si>
  <si>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</si>
  <si>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</si>
  <si>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</si>
  <si>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</si>
  <si>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</si>
  <si>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</si>
  <si>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</si>
  <si>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</si>
  <si>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</si>
  <si>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</si>
  <si>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</si>
  <si>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</si>
  <si>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</si>
  <si>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</si>
  <si>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</si>
  <si>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</si>
  <si>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</si>
  <si>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</si>
  <si>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</si>
  <si>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</si>
  <si>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</si>
  <si>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</si>
  <si>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</si>
  <si>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</si>
  <si>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</si>
  <si>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</si>
  <si>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</si>
  <si>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</si>
  <si>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</si>
  <si>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</si>
  <si>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</si>
  <si>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</si>
  <si>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</si>
  <si>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</si>
  <si>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</si>
  <si>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</si>
  <si>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</si>
  <si>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</si>
  <si>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</si>
  <si>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</si>
  <si>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</si>
  <si>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</si>
  <si>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</si>
  <si>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</si>
  <si>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</si>
  <si>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</si>
  <si>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</si>
  <si>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</si>
  <si>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</si>
  <si>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</si>
  <si>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</si>
  <si>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</si>
  <si>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</si>
  <si>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</si>
  <si>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</si>
  <si>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</si>
  <si>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</si>
  <si>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</si>
  <si>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</si>
  <si>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</si>
  <si>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</si>
  <si>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</si>
  <si>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</si>
  <si>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</si>
  <si>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</si>
  <si>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</si>
  <si>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</si>
  <si>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</si>
  <si>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</si>
  <si>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</si>
  <si>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</si>
  <si>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</si>
  <si>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</si>
  <si>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</si>
  <si>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</si>
  <si>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</si>
  <si>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</si>
  <si>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</si>
  <si>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</si>
  <si>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</si>
  <si>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</si>
  <si>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</si>
  <si>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</si>
  <si>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</si>
  <si>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</si>
  <si>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</si>
  <si>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</si>
  <si>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</si>
  <si>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</si>
  <si>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</si>
  <si>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</si>
  <si>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</si>
  <si>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</si>
  <si>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</si>
  <si>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</si>
  <si>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</si>
  <si>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</si>
  <si>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</si>
  <si>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</si>
  <si>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</si>
  <si>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</si>
  <si>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</si>
  <si>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</si>
  <si>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</si>
  <si>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</si>
  <si>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</si>
  <si>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</si>
  <si>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</si>
  <si>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</si>
  <si>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</si>
  <si>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</si>
  <si>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</si>
  <si>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</si>
  <si>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</si>
  <si>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</si>
  <si>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</si>
  <si>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</si>
  <si>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</si>
  <si>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</si>
  <si>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</si>
  <si>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</si>
  <si>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</si>
  <si>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</si>
  <si>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</si>
  <si>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</si>
  <si>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</si>
  <si>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</si>
  <si>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</si>
  <si>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</si>
  <si>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</si>
  <si>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</si>
  <si>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</si>
  <si>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</si>
  <si>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</si>
  <si>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</si>
  <si>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</si>
  <si>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</si>
  <si>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</si>
  <si>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</si>
  <si>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</si>
  <si>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</si>
  <si>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</si>
  <si>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</si>
  <si>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</si>
  <si>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</si>
  <si>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</si>
  <si>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</si>
  <si>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</si>
  <si>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</si>
  <si>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</si>
  <si>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</si>
  <si>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</si>
  <si>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</si>
  <si>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</si>
  <si>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</si>
  <si>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</si>
  <si>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</si>
  <si>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</si>
  <si>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</si>
  <si>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</si>
  <si>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</si>
  <si>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</si>
  <si>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</si>
  <si>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</si>
  <si>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</si>
  <si>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</si>
  <si>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</si>
  <si>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</si>
  <si>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</si>
  <si>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</si>
  <si>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</si>
  <si>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</si>
  <si>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</si>
  <si>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</si>
  <si>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</si>
  <si>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</si>
  <si>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</si>
  <si>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</si>
  <si>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</si>
  <si>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</si>
  <si>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</si>
  <si>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</si>
  <si>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</si>
  <si>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</si>
  <si>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</si>
  <si>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</si>
  <si>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</si>
  <si>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</si>
  <si>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</si>
  <si>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</si>
  <si>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</si>
  <si>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</si>
  <si>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</si>
  <si>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</si>
  <si>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</si>
  <si>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</si>
  <si>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</si>
  <si>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</si>
  <si>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</si>
  <si>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</si>
  <si>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</si>
  <si>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</si>
  <si>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</si>
  <si>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</si>
  <si>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</si>
  <si>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</si>
  <si>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</si>
  <si>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</si>
  <si>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</si>
  <si>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</si>
  <si>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</si>
  <si>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</si>
  <si>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</si>
  <si>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</si>
  <si>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</si>
  <si>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</si>
  <si>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</si>
  <si>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</si>
  <si>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</si>
  <si>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</si>
  <si>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</si>
  <si>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</si>
  <si>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</si>
  <si>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</si>
  <si>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</si>
  <si>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</si>
  <si>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</si>
  <si>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</si>
  <si>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</si>
  <si>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</si>
  <si>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</si>
  <si>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</si>
  <si>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</si>
  <si>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</si>
  <si>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</si>
  <si>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</si>
  <si>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</si>
  <si>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</si>
  <si>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</si>
  <si>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</si>
  <si>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</si>
  <si>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</si>
  <si>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</si>
  <si>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</si>
  <si>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</si>
  <si>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</si>
  <si>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</si>
  <si>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</si>
  <si>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</si>
  <si>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</si>
  <si>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</si>
  <si>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</si>
  <si>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</si>
  <si>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</si>
  <si>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</si>
  <si>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</si>
  <si>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</si>
  <si>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</si>
  <si>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</si>
  <si>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</si>
  <si>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</si>
  <si>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</si>
  <si>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</si>
  <si>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</si>
  <si>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</si>
  <si>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</si>
  <si>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</si>
  <si>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</si>
  <si>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</si>
  <si>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</si>
  <si>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>No tax rate changes - no true-up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</si>
  <si>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</si>
  <si>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</si>
  <si>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</si>
  <si>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</si>
  <si>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</si>
  <si>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</si>
  <si>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</si>
  <si>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No tax rate or exemption changes - no true-up</t>
  </si>
  <si>
    <t>Regulatory Net Income  REGINFO E53 (25% of  1999 return from RUD )</t>
  </si>
  <si>
    <t>Tab Tax Rates</t>
  </si>
  <si>
    <t>No true-ups</t>
  </si>
  <si>
    <t>Utility Name:  Lakefront Utilities Inc.</t>
  </si>
  <si>
    <t xml:space="preserve">Interest deducted on MoF filing  (Cell K36+K41) Adjusted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</si>
</sst>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#,##0.0000_);\(#,##0.0000\)"/>
    <numFmt numFmtId="167" formatCode="0.00000%"/>
    <numFmt numFmtId="168" formatCode="&quot;$&quot;#,##0.00"/>
    <numFmt numFmtId="169" formatCode="0.00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5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8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65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67" fontId="0" fillId="36" borderId="14" xfId="0" applyNumberFormat="1" applyFill="1" applyBorder="1" applyAlignment="1" applyProtection="1">
      <alignment vertical="top"/>
      <protection/>
    </xf>
    <xf numFmtId="167" fontId="0" fillId="36" borderId="14" xfId="0" applyNumberFormat="1" applyFill="1" applyBorder="1" applyAlignment="1" applyProtection="1">
      <alignment horizontal="right"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5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5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69" fontId="0" fillId="36" borderId="25" xfId="0" applyNumberFormat="1" applyFill="1" applyBorder="1" applyAlignment="1" applyProtection="1">
      <alignment horizontal="center" vertical="top"/>
      <protection locked="0"/>
    </xf>
    <xf numFmtId="169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3" fontId="0" fillId="19" borderId="14" xfId="0" applyNumberFormat="1" applyFill="1" applyBorder="1" applyAlignment="1" applyProtection="1">
      <alignment/>
      <protection/>
    </xf>
    <xf numFmtId="0" fontId="64" fillId="0" borderId="26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559</v>
      </c>
      <c r="H1" s="8"/>
    </row>
    <row r="2" spans="1:8" ht="12.75">
      <c r="A2" s="2" t="s">
        <v>131</v>
      </c>
      <c r="B2" s="8"/>
      <c r="C2" s="8"/>
      <c r="E2" s="27" t="s">
        <v>496</v>
      </c>
      <c r="H2" s="8"/>
    </row>
    <row r="3" spans="1:8" ht="12.75">
      <c r="A3" s="501" t="s">
        <v>602</v>
      </c>
      <c r="C3" s="8"/>
      <c r="E3" s="8"/>
      <c r="F3" s="8"/>
      <c r="G3" s="8"/>
      <c r="H3" s="8"/>
    </row>
    <row r="4" spans="1:8" ht="12.75">
      <c r="A4" s="2" t="s">
        <v>584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381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570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571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571</v>
      </c>
    </row>
    <row r="18" spans="1:4" ht="15" customHeight="1">
      <c r="A18" s="426" t="s">
        <v>455</v>
      </c>
      <c r="C18" s="8"/>
      <c r="D18" s="8"/>
    </row>
    <row r="19" spans="1:4" ht="15" customHeight="1">
      <c r="A19" s="505" t="s">
        <v>456</v>
      </c>
      <c r="B19" s="8" t="s">
        <v>453</v>
      </c>
      <c r="C19" s="8" t="s">
        <v>136</v>
      </c>
      <c r="D19" s="425" t="s">
        <v>570</v>
      </c>
    </row>
    <row r="20" spans="1:4" ht="13.5" thickBot="1">
      <c r="A20" s="506"/>
      <c r="B20" s="8" t="s">
        <v>454</v>
      </c>
      <c r="C20" s="8" t="s">
        <v>136</v>
      </c>
      <c r="D20" s="297" t="s">
        <v>571</v>
      </c>
    </row>
    <row r="21" spans="1:4" ht="12.75">
      <c r="A21" s="505" t="s">
        <v>452</v>
      </c>
      <c r="B21" s="8" t="s">
        <v>453</v>
      </c>
      <c r="C21" s="8"/>
      <c r="D21" s="464">
        <v>0.99</v>
      </c>
    </row>
    <row r="22" spans="1:4" ht="12.75">
      <c r="A22" s="505"/>
      <c r="B22" s="8" t="s">
        <v>454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416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427</v>
      </c>
    </row>
    <row r="27" spans="1:5" ht="12.75">
      <c r="A27" s="295" t="s">
        <v>140</v>
      </c>
      <c r="C27" s="8"/>
      <c r="E27" s="487" t="s">
        <v>428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417</v>
      </c>
      <c r="D31" s="462">
        <v>13988892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1198148.5998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683673</v>
      </c>
      <c r="E43" s="424">
        <f>D43</f>
        <v>683673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514475.59979999997</v>
      </c>
      <c r="H45" s="46"/>
      <c r="J45" s="5"/>
      <c r="K45" s="5"/>
    </row>
    <row r="46" spans="1:11" ht="12.75">
      <c r="A46" s="2" t="s">
        <v>418</v>
      </c>
      <c r="D46" s="46"/>
      <c r="H46" s="46"/>
      <c r="J46" s="5"/>
      <c r="K46" s="5"/>
    </row>
    <row r="47" spans="1:11" ht="12.75">
      <c r="A47" t="s">
        <v>419</v>
      </c>
      <c r="D47" s="467">
        <v>177858</v>
      </c>
      <c r="E47" s="424">
        <f aca="true" t="shared" si="0" ref="E47:E52">D47</f>
        <v>177858</v>
      </c>
      <c r="H47" s="46"/>
      <c r="J47" s="5"/>
      <c r="K47" s="5"/>
    </row>
    <row r="48" spans="1:11" ht="12.75">
      <c r="A48" t="s">
        <v>420</v>
      </c>
      <c r="D48" s="467"/>
      <c r="E48" s="424">
        <f t="shared" si="0"/>
        <v>0</v>
      </c>
      <c r="F48" s="28"/>
      <c r="H48" s="46"/>
      <c r="J48" s="5"/>
      <c r="K48" s="5"/>
    </row>
    <row r="49" spans="1:11" ht="12.75">
      <c r="A49" t="s">
        <v>421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422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423</v>
      </c>
      <c r="E53" s="293">
        <f>SUM(E43:E52)</f>
        <v>861531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6994446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691051.2648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6994446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451</v>
      </c>
      <c r="B61" s="5"/>
      <c r="C61" s="5"/>
      <c r="D61" s="291">
        <f>D59*D39</f>
        <v>507097.33499999996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424</v>
      </c>
      <c r="B63" s="5"/>
      <c r="C63" s="5"/>
      <c r="D63" s="292">
        <f>IF(D41&gt;0,(((D43+D47)/D41)*D61),0)</f>
        <v>364629.29071803857</v>
      </c>
      <c r="F63" s="5"/>
      <c r="H63" s="38"/>
      <c r="J63" s="5"/>
      <c r="K63" s="5"/>
    </row>
    <row r="64" spans="1:11" ht="12.75">
      <c r="A64" s="39" t="s">
        <v>555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425</v>
      </c>
      <c r="B65" s="5"/>
      <c r="C65" s="5"/>
      <c r="D65" s="292">
        <f>IF(D41&gt;0,(((D43+D47+D48)/D41)*D61),0)</f>
        <v>364629.29071803857</v>
      </c>
      <c r="F65" s="5"/>
      <c r="H65" s="38"/>
      <c r="J65" s="5"/>
      <c r="K65" s="5"/>
    </row>
    <row r="66" spans="1:11" ht="12.75">
      <c r="A66" s="39" t="s">
        <v>556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426</v>
      </c>
      <c r="B67" s="5"/>
      <c r="C67" s="5"/>
      <c r="D67" s="292">
        <f>IF(D41&gt;0,(((D43+D47+D48)/D41)*D61),0)</f>
        <v>364629.29071803857</v>
      </c>
      <c r="F67" s="5"/>
      <c r="H67" s="38"/>
      <c r="J67" s="5"/>
    </row>
    <row r="68" spans="1:10" ht="12.75">
      <c r="A68" s="39" t="s">
        <v>557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80" zoomScaleNormal="80" zoomScalePageLayoutView="0" workbookViewId="0" topLeftCell="A1">
      <selection activeCell="D48" sqref="D48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Lakefront Utilities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381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599</v>
      </c>
      <c r="B15" s="143">
        <v>1</v>
      </c>
      <c r="C15" s="299">
        <v>215383</v>
      </c>
      <c r="D15" s="18"/>
      <c r="E15" s="18"/>
      <c r="F15" s="18"/>
      <c r="G15" s="22"/>
      <c r="H15" s="22"/>
      <c r="I15" s="307">
        <f>K15-C15</f>
        <v>-953305</v>
      </c>
      <c r="J15" s="3"/>
      <c r="K15" s="307">
        <f>TAXREC!E50</f>
        <v>-737922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183614</v>
      </c>
      <c r="D20" s="20"/>
      <c r="E20" s="20"/>
      <c r="F20" s="20"/>
      <c r="G20" s="23"/>
      <c r="H20" s="23"/>
      <c r="I20" s="307">
        <f>K20-C20</f>
        <v>-18182</v>
      </c>
      <c r="J20" s="6"/>
      <c r="K20" s="307">
        <f>TAXREC!E61</f>
        <v>165432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391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390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392</v>
      </c>
      <c r="B24" s="145">
        <v>5</v>
      </c>
      <c r="C24" s="301"/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486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58646</v>
      </c>
      <c r="D32" s="20"/>
      <c r="E32" s="20"/>
      <c r="F32" s="20"/>
      <c r="G32" s="150"/>
      <c r="H32" s="150"/>
      <c r="I32" s="307">
        <f aca="true" t="shared" si="0" ref="I32:I41">K32-C32</f>
        <v>45751</v>
      </c>
      <c r="J32" s="6"/>
      <c r="K32" s="307">
        <f>TAXREC!E96+TAXREC!E97</f>
        <v>104397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393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585</v>
      </c>
      <c r="B36" s="143">
        <v>11</v>
      </c>
      <c r="C36" s="300">
        <v>91157</v>
      </c>
      <c r="D36" s="20"/>
      <c r="E36" s="20"/>
      <c r="F36" s="20"/>
      <c r="G36" s="150"/>
      <c r="H36" s="150"/>
      <c r="I36" s="307">
        <f t="shared" si="0"/>
        <v>65591</v>
      </c>
      <c r="J36" s="6"/>
      <c r="K36" s="307">
        <f>TAXREC!E51</f>
        <v>156748</v>
      </c>
      <c r="L36" s="172"/>
    </row>
    <row r="37" spans="1:12" ht="12.75">
      <c r="A37" s="176" t="s">
        <v>389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388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44248</v>
      </c>
      <c r="J41" s="6"/>
      <c r="K41" s="307">
        <f>TAXREC!E109</f>
        <v>44248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0</v>
      </c>
      <c r="J45" s="6"/>
      <c r="K45" s="290">
        <f>TAXREC!E110</f>
        <v>0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474</v>
      </c>
      <c r="B48" s="143"/>
      <c r="C48" s="303">
        <f>C15+SUM(C20:C29)-SUM(C32:C46)</f>
        <v>249194</v>
      </c>
      <c r="D48" s="24"/>
      <c r="E48" s="24"/>
      <c r="F48" s="24"/>
      <c r="G48" s="117"/>
      <c r="H48" s="117"/>
      <c r="I48" s="303">
        <f>SUM(I15:I47)</f>
        <v>-815897</v>
      </c>
      <c r="J48" s="472" t="s">
        <v>530</v>
      </c>
      <c r="K48" s="303">
        <f>K15+SUM(K20:K29)-SUM(K32:K46)</f>
        <v>-877883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484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600</v>
      </c>
      <c r="B51" s="145">
        <v>13</v>
      </c>
      <c r="C51" s="302">
        <f>'Tax Rates'!F16</f>
        <v>0.4062</v>
      </c>
      <c r="D51" s="116"/>
      <c r="E51" s="116"/>
      <c r="F51" s="116"/>
      <c r="G51" s="117"/>
      <c r="H51" s="117"/>
      <c r="I51" s="308">
        <f>+K51-C51</f>
        <v>-0.4062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101222.60280000001</v>
      </c>
      <c r="D53" s="24"/>
      <c r="E53" s="24"/>
      <c r="F53" s="24"/>
      <c r="G53" s="117"/>
      <c r="H53" s="117"/>
      <c r="I53" s="307">
        <f>K53-C53</f>
        <v>-101222.60280000001</v>
      </c>
      <c r="J53" s="472" t="s">
        <v>531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531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101222.60280000001</v>
      </c>
      <c r="D58" s="151"/>
      <c r="E58" s="151"/>
      <c r="F58" s="151"/>
      <c r="G58" s="152"/>
      <c r="H58" s="152"/>
      <c r="I58" s="309">
        <f>+I53-I56</f>
        <v>-101222.60280000001</v>
      </c>
      <c r="J58" s="472" t="s">
        <v>531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13988892</v>
      </c>
      <c r="D64" s="116"/>
      <c r="E64" s="116"/>
      <c r="F64" s="116"/>
      <c r="G64" s="117"/>
      <c r="H64" s="117"/>
      <c r="I64" s="307">
        <f>K64-C64</f>
        <v>-6855374</v>
      </c>
      <c r="J64" s="6"/>
      <c r="K64" s="307">
        <f>TAXREC!E219</f>
        <v>7133518</v>
      </c>
      <c r="L64" s="172"/>
    </row>
    <row r="65" spans="1:12" ht="12.75">
      <c r="A65" s="173" t="s">
        <v>523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-5000000</v>
      </c>
      <c r="J65" s="6"/>
      <c r="K65" s="307">
        <f>TAXREC!E222</f>
        <v>0</v>
      </c>
      <c r="L65" s="172"/>
    </row>
    <row r="66" spans="1:12" ht="12.75">
      <c r="A66" s="173" t="s">
        <v>53</v>
      </c>
      <c r="B66" s="143"/>
      <c r="C66" s="304">
        <f>IF((C64-C65)&gt;0,C64-C65,0)</f>
        <v>8988892</v>
      </c>
      <c r="D66" s="116"/>
      <c r="E66" s="116"/>
      <c r="F66" s="116"/>
      <c r="G66" s="117"/>
      <c r="H66" s="117"/>
      <c r="I66" s="307">
        <f>SUM(I64:I65)</f>
        <v>-11855374</v>
      </c>
      <c r="J66" s="130"/>
      <c r="K66" s="304">
        <f>IF((K64-K65)&gt;0,K64-K65,0)</f>
        <v>7133518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524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457</v>
      </c>
      <c r="B70" s="143"/>
      <c r="C70" s="304">
        <f>C66*(C68/4)</f>
        <v>6741.669</v>
      </c>
      <c r="D70" s="114"/>
      <c r="E70" s="114"/>
      <c r="F70" s="114"/>
      <c r="G70" s="115"/>
      <c r="H70" s="115"/>
      <c r="I70" s="307">
        <f>+K70-C70</f>
        <v>-1347.5567589041093</v>
      </c>
      <c r="J70" s="130"/>
      <c r="K70" s="304">
        <f>TAXREC!E231</f>
        <v>5394.112241095891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13988892</v>
      </c>
      <c r="D73" s="116"/>
      <c r="E73" s="116"/>
      <c r="F73" s="116"/>
      <c r="G73" s="117"/>
      <c r="H73" s="117"/>
      <c r="I73" s="307">
        <f>+K73-C73</f>
        <v>-11682146</v>
      </c>
      <c r="J73" s="6"/>
      <c r="K73" s="307">
        <f>TAXREC!E282</f>
        <v>2306746</v>
      </c>
      <c r="L73" s="172"/>
    </row>
    <row r="74" spans="1:12" ht="12.75">
      <c r="A74" s="173" t="s">
        <v>523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-10000000</v>
      </c>
      <c r="J74" s="6"/>
      <c r="K74" s="307">
        <f>TAXREC!E284</f>
        <v>0</v>
      </c>
      <c r="L74" s="172"/>
    </row>
    <row r="75" spans="1:12" ht="12.75">
      <c r="A75" s="173" t="s">
        <v>53</v>
      </c>
      <c r="B75" s="143"/>
      <c r="C75" s="304">
        <f>IF((C73-C74)&gt;0,C73-C74,0)</f>
        <v>3988892</v>
      </c>
      <c r="D75" s="24"/>
      <c r="E75" s="24"/>
      <c r="F75" s="24"/>
      <c r="G75" s="25"/>
      <c r="H75" s="25"/>
      <c r="I75" s="307">
        <f>SUM(I73:I74)</f>
        <v>-21682146</v>
      </c>
      <c r="J75" s="130"/>
      <c r="K75" s="304">
        <f>IF((K73-K74)&gt;0,K73-K74,0)</f>
        <v>2306746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524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458</v>
      </c>
      <c r="B79" s="143"/>
      <c r="C79" s="304">
        <f>C75*C77*(92/365)</f>
        <v>2262.1935452054795</v>
      </c>
      <c r="D79" s="116"/>
      <c r="E79" s="116"/>
      <c r="F79" s="116"/>
      <c r="G79" s="117"/>
      <c r="H79" s="117"/>
      <c r="I79" s="307">
        <f>+K79-C79</f>
        <v>-953.9841698630137</v>
      </c>
      <c r="J79" s="6"/>
      <c r="K79" s="304">
        <f>TAXREC!E293</f>
        <v>1308.2093753424658</v>
      </c>
      <c r="L79" s="172"/>
    </row>
    <row r="80" spans="1:12" ht="12.75">
      <c r="A80" s="173" t="s">
        <v>459</v>
      </c>
      <c r="B80" s="143">
        <v>21</v>
      </c>
      <c r="C80" s="354">
        <f>IF(C75&gt;0,IF(C58&gt;0,C48*'Tax Rates'!C20,0),0)</f>
        <v>2790.9728</v>
      </c>
      <c r="D80" s="116"/>
      <c r="E80" s="116"/>
      <c r="F80" s="116"/>
      <c r="G80" s="117"/>
      <c r="H80" s="117"/>
      <c r="I80" s="307">
        <f>+K80-C80</f>
        <v>-2790.9728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-3744.956969863014</v>
      </c>
      <c r="J82" s="118"/>
      <c r="K82" s="304">
        <f>K79-K80</f>
        <v>1308.2093753424658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'Tax Rates'!F16</f>
        <v>0.4062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532</v>
      </c>
      <c r="B88" s="145">
        <v>22</v>
      </c>
      <c r="C88" s="304">
        <f>C58/(1-C86)</f>
        <v>170465.81812057932</v>
      </c>
      <c r="D88" s="113"/>
      <c r="E88" s="113"/>
      <c r="F88" s="113"/>
      <c r="G88" s="26"/>
      <c r="H88" s="26"/>
      <c r="I88" s="160"/>
      <c r="J88" s="471" t="s">
        <v>588</v>
      </c>
      <c r="K88" s="310">
        <f>TAXREC!E305</f>
        <v>0</v>
      </c>
      <c r="L88" s="172"/>
    </row>
    <row r="89" spans="1:12" ht="12.75">
      <c r="A89" s="179" t="s">
        <v>533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588</v>
      </c>
      <c r="K89" s="310">
        <f>TAXREC!C307</f>
        <v>1308.2093753424658</v>
      </c>
      <c r="L89" s="172"/>
    </row>
    <row r="90" spans="1:12" ht="12.75">
      <c r="A90" s="179" t="s">
        <v>495</v>
      </c>
      <c r="B90" s="145">
        <v>24</v>
      </c>
      <c r="C90" s="304">
        <f>C70</f>
        <v>6741.669</v>
      </c>
      <c r="D90" s="113"/>
      <c r="E90" s="113"/>
      <c r="F90" s="113"/>
      <c r="G90" s="26"/>
      <c r="H90" s="26"/>
      <c r="I90" s="160"/>
      <c r="J90" s="471" t="s">
        <v>588</v>
      </c>
      <c r="K90" s="310">
        <f>TAXREC!E306</f>
        <v>5394.112241095891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473</v>
      </c>
      <c r="B93" s="143">
        <v>25</v>
      </c>
      <c r="C93" s="309">
        <f>SUM(C88:C91)</f>
        <v>177207.48712057932</v>
      </c>
      <c r="D93" s="99"/>
      <c r="E93" s="99"/>
      <c r="F93" s="99"/>
      <c r="G93" s="6"/>
      <c r="H93" s="6"/>
      <c r="I93" s="160"/>
      <c r="J93" s="471" t="s">
        <v>588</v>
      </c>
      <c r="K93" s="451">
        <f>SUM(K88:K92)</f>
        <v>6702.321616438357</v>
      </c>
      <c r="L93" s="185"/>
    </row>
    <row r="94" spans="1:12" ht="12.75">
      <c r="A94" s="442" t="s">
        <v>446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437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493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526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527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525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462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528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529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 t="s">
        <v>601</v>
      </c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f>+I136</f>
        <v>0.4062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/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514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517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249194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f>C51</f>
        <v>0.4062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101222.60280000001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101222.60280000001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12.7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101222.60280000001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0</v>
      </c>
      <c r="J146" s="43"/>
      <c r="K146" s="493" t="s">
        <v>590</v>
      </c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13988892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8988892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I151*(I153/4)</f>
        <v>6741.669</v>
      </c>
      <c r="J155" s="43"/>
      <c r="K155" s="223"/>
      <c r="L155" s="185"/>
    </row>
    <row r="156" spans="1:12" ht="12.75">
      <c r="A156" s="192" t="s">
        <v>447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6741.669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 t="s">
        <v>598</v>
      </c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13988892</v>
      </c>
      <c r="J160" s="43"/>
      <c r="K160" s="223"/>
      <c r="L160" s="185"/>
    </row>
    <row r="161" spans="1:12" ht="12.75">
      <c r="A161" s="192" t="s">
        <v>522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3988892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448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2243.75175</v>
      </c>
      <c r="J166" s="43"/>
      <c r="K166" s="223"/>
      <c r="L166" s="185"/>
    </row>
    <row r="167" spans="1:12" ht="12.75">
      <c r="A167" s="192" t="s">
        <v>460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2790.9728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v>0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494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 t="s">
        <v>598</v>
      </c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491</v>
      </c>
      <c r="B173" s="148"/>
      <c r="C173" s="128"/>
      <c r="D173" s="3"/>
      <c r="E173" s="3"/>
      <c r="F173" s="3"/>
      <c r="G173" s="136"/>
      <c r="H173" s="136"/>
      <c r="I173" s="366"/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0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515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0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492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6" t="s">
        <v>516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0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507097.33499999996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91157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488</v>
      </c>
      <c r="B194" s="145"/>
      <c r="C194" s="128"/>
      <c r="D194" s="118"/>
      <c r="E194" s="118"/>
      <c r="F194" s="118"/>
      <c r="G194" s="137"/>
      <c r="H194" s="137"/>
      <c r="I194" s="362">
        <f>I191-I192</f>
        <v>415940.33499999996</v>
      </c>
      <c r="J194" s="3"/>
      <c r="K194" s="140"/>
      <c r="L194" s="185"/>
    </row>
    <row r="195" spans="1:12" ht="12.75">
      <c r="A195" s="176" t="s">
        <v>489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382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504" t="s">
        <v>603</v>
      </c>
      <c r="B199" s="145"/>
      <c r="C199" s="128"/>
      <c r="D199" s="118"/>
      <c r="E199" s="118"/>
      <c r="F199" s="118"/>
      <c r="G199" s="137"/>
      <c r="H199" s="137"/>
      <c r="I199" s="503">
        <f>171303</f>
        <v>171303</v>
      </c>
      <c r="J199" s="3"/>
      <c r="K199" s="140"/>
      <c r="L199" s="185"/>
    </row>
    <row r="200" spans="1:12" ht="12.75">
      <c r="A200" s="176" t="s">
        <v>490</v>
      </c>
      <c r="B200" s="145"/>
      <c r="C200" s="128"/>
      <c r="D200" s="118"/>
      <c r="E200" s="118"/>
      <c r="F200" s="118"/>
      <c r="G200" s="137"/>
      <c r="H200" s="137"/>
      <c r="I200" s="362">
        <f>REGINFO!D61</f>
        <v>507097.33499999996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461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415940.33499999996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3" horizontalDpi="600" verticalDpi="600" orientation="portrait" scale="29" r:id="rId1"/>
  <rowBreaks count="1" manualBreakCount="1">
    <brk id="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2"/>
  <sheetViews>
    <sheetView tabSelected="1" zoomScalePageLayoutView="0" workbookViewId="0" topLeftCell="A253">
      <selection activeCell="D48" sqref="D48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Lakefront Utilities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4371.52875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413</v>
      </c>
      <c r="B17" s="26" t="s">
        <v>136</v>
      </c>
      <c r="C17" s="8"/>
      <c r="E17" s="32"/>
      <c r="F17" s="8"/>
    </row>
    <row r="18" spans="1:6" ht="12.75">
      <c r="A18" s="61" t="s">
        <v>383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471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384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469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470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402</v>
      </c>
      <c r="B31" s="29" t="s">
        <v>275</v>
      </c>
      <c r="C31" s="326">
        <v>4815398</v>
      </c>
      <c r="D31" s="327"/>
      <c r="E31" s="325">
        <f>C31-D31</f>
        <v>4815398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/>
      <c r="D32" s="327"/>
      <c r="E32" s="325">
        <f>C32-D32</f>
        <v>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>
        <v>79425</v>
      </c>
      <c r="D33" s="327"/>
      <c r="E33" s="325">
        <f>C33-D33</f>
        <v>79425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414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>
        <v>5062100</v>
      </c>
      <c r="D39" s="327"/>
      <c r="E39" s="325">
        <f>C39-D39</f>
        <v>5062100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>
        <v>178469</v>
      </c>
      <c r="D40" s="327"/>
      <c r="E40" s="325">
        <f aca="true" t="shared" si="0" ref="E40:E48">C40-D40</f>
        <v>178469</v>
      </c>
      <c r="F40" s="11"/>
      <c r="G40" s="11"/>
      <c r="H40" s="6"/>
      <c r="I40" s="6"/>
    </row>
    <row r="41" spans="1:9" ht="12.75">
      <c r="A41" s="4" t="s">
        <v>403</v>
      </c>
      <c r="B41" s="29" t="s">
        <v>276</v>
      </c>
      <c r="C41" s="326">
        <v>53571</v>
      </c>
      <c r="D41" s="327"/>
      <c r="E41" s="325">
        <f t="shared" si="0"/>
        <v>53571</v>
      </c>
      <c r="F41" s="11"/>
      <c r="G41" s="11"/>
      <c r="H41" s="6"/>
      <c r="I41" s="6"/>
    </row>
    <row r="42" spans="1:9" ht="12.75">
      <c r="A42" s="4" t="s">
        <v>404</v>
      </c>
      <c r="B42" s="29" t="s">
        <v>276</v>
      </c>
      <c r="C42" s="326">
        <v>173173</v>
      </c>
      <c r="D42" s="327"/>
      <c r="E42" s="325">
        <f t="shared" si="0"/>
        <v>173173</v>
      </c>
      <c r="F42" s="11"/>
      <c r="G42" s="11"/>
      <c r="H42" s="6"/>
      <c r="I42" s="6"/>
    </row>
    <row r="43" spans="1:9" ht="12.75">
      <c r="A43" s="4" t="s">
        <v>405</v>
      </c>
      <c r="B43" s="29" t="s">
        <v>276</v>
      </c>
      <c r="C43" s="326">
        <v>165432</v>
      </c>
      <c r="D43" s="327"/>
      <c r="E43" s="325">
        <f t="shared" si="0"/>
        <v>165432</v>
      </c>
      <c r="F43" s="11"/>
      <c r="G43" s="11"/>
      <c r="H43" s="6"/>
      <c r="I43" s="6"/>
    </row>
    <row r="44" spans="1:9" ht="12.75">
      <c r="A44" s="4" t="s">
        <v>406</v>
      </c>
      <c r="B44" s="29" t="s">
        <v>276</v>
      </c>
      <c r="C44" s="326"/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/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-737922</v>
      </c>
      <c r="D50" s="322">
        <f>SUM(D31:D36)-SUM(D39:D49)</f>
        <v>0</v>
      </c>
      <c r="E50" s="322">
        <f>SUM(E31:E35)-SUM(E39:E48)</f>
        <v>-737922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>
        <f>126875+29873</f>
        <v>156748</v>
      </c>
      <c r="D51" s="326"/>
      <c r="E51" s="323">
        <f>+C51-D51</f>
        <v>156748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/>
      <c r="D52" s="326"/>
      <c r="E52" s="324">
        <f>+C52-D52</f>
        <v>0</v>
      </c>
      <c r="F52" s="8"/>
    </row>
    <row r="53" spans="1:6" ht="12.75">
      <c r="A53" s="2" t="s">
        <v>212</v>
      </c>
      <c r="B53" s="8" t="s">
        <v>278</v>
      </c>
      <c r="C53" s="322">
        <f>C50-C51-C52</f>
        <v>-894670</v>
      </c>
      <c r="D53" s="322">
        <f>D50-D51-D52</f>
        <v>0</v>
      </c>
      <c r="E53" s="322">
        <f>E50-E51-E52</f>
        <v>-894670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0</v>
      </c>
      <c r="D59" s="328">
        <f>D52</f>
        <v>0</v>
      </c>
      <c r="E59" s="312">
        <f>+C59-D59</f>
        <v>0</v>
      </c>
      <c r="F59" s="8"/>
    </row>
    <row r="60" spans="1:6" ht="12.75">
      <c r="A60" s="4" t="s">
        <v>472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f>C43</f>
        <v>165432</v>
      </c>
      <c r="D61" s="328">
        <f>D43</f>
        <v>0</v>
      </c>
      <c r="E61" s="312">
        <f>+C61-D61</f>
        <v>165432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407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386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165432</v>
      </c>
      <c r="D69" s="312">
        <f>SUM(D59:D67)</f>
        <v>0</v>
      </c>
      <c r="E69" s="312">
        <f>SUM(E59:E67)</f>
        <v>165432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165432</v>
      </c>
      <c r="D81" s="290">
        <f>D69+D79</f>
        <v>0</v>
      </c>
      <c r="E81" s="290">
        <f>E69+E79</f>
        <v>165432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104397</v>
      </c>
      <c r="D96" s="337"/>
      <c r="E96" s="312">
        <f>+C96-D96</f>
        <v>104397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/>
      <c r="D97" s="337"/>
      <c r="E97" s="312">
        <f>+C97-D97</f>
        <v>0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389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408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44248</v>
      </c>
      <c r="D109" s="337">
        <v>0</v>
      </c>
      <c r="E109" s="324">
        <f t="shared" si="5"/>
        <v>44248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0</v>
      </c>
      <c r="D110" s="290">
        <f>'TAXREC 2'!D146</f>
        <v>0</v>
      </c>
      <c r="E110" s="290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148645</v>
      </c>
      <c r="D113" s="290">
        <f>SUM(D96:D111)</f>
        <v>0</v>
      </c>
      <c r="E113" s="290">
        <f>SUM(E96:E111)</f>
        <v>148645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582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148645</v>
      </c>
      <c r="D122" s="290">
        <f>D113+D120</f>
        <v>0</v>
      </c>
      <c r="E122" s="290">
        <f>+E113+E120</f>
        <v>148645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-877883</v>
      </c>
      <c r="D134" s="290">
        <f>D53+D81-D122</f>
        <v>0</v>
      </c>
      <c r="E134" s="290">
        <f>E53+E81-E122</f>
        <v>-877883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552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553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-877883</v>
      </c>
      <c r="D139" s="291">
        <f>D134-D136-D137-D138</f>
        <v>0</v>
      </c>
      <c r="E139" s="291">
        <f>E134-E136-E137-E138</f>
        <v>-877883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441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468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467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482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441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475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476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477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520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4684456</v>
      </c>
      <c r="D159" s="337"/>
      <c r="E159" s="312">
        <f>C159-D159</f>
        <v>4684456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264752</v>
      </c>
      <c r="D160" s="337"/>
      <c r="E160" s="312">
        <f aca="true" t="shared" si="7" ref="E160:E172">C160-D160</f>
        <v>264752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/>
      <c r="D161" s="337"/>
      <c r="E161" s="312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102413</v>
      </c>
      <c r="D163" s="337"/>
      <c r="E163" s="312">
        <f t="shared" si="7"/>
        <v>102413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385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>
        <v>7000000</v>
      </c>
      <c r="D168" s="337"/>
      <c r="E168" s="312">
        <f t="shared" si="7"/>
        <v>7000000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>
        <v>255125</v>
      </c>
      <c r="D169" s="337"/>
      <c r="E169" s="312">
        <f t="shared" si="7"/>
        <v>255125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12306746</v>
      </c>
      <c r="D173" s="290">
        <f>SUM(D159:D172)</f>
        <v>0</v>
      </c>
      <c r="E173" s="290">
        <f>SUM(E159:E172)</f>
        <v>12306746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>
        <v>173228</v>
      </c>
      <c r="D175" s="338"/>
      <c r="E175" s="335">
        <f>C175-D175</f>
        <v>173228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12133518</v>
      </c>
      <c r="D177" s="336">
        <f>D173-D175-D176</f>
        <v>0</v>
      </c>
      <c r="E177" s="290">
        <f>E173-E175-E176</f>
        <v>12133518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14300220</v>
      </c>
      <c r="D193" s="337"/>
      <c r="E193" s="312">
        <f>C193-D193</f>
        <v>14300220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14300220</v>
      </c>
      <c r="D198" s="290">
        <f>D193+D194+D195-D196</f>
        <v>0</v>
      </c>
      <c r="E198" s="290">
        <f>E193+E194+E195-E196</f>
        <v>14300220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>
        <v>173228</v>
      </c>
      <c r="D204" s="338"/>
      <c r="E204" s="335">
        <f t="shared" si="9"/>
        <v>173228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14126992</v>
      </c>
      <c r="D209" s="336">
        <f>D198+D201+D202-D204-D205-D206+D207</f>
        <v>0</v>
      </c>
      <c r="E209" s="290">
        <f>E198+E201+E202-E204-E205-E206+E207</f>
        <v>14126992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12133518</v>
      </c>
      <c r="D216" s="320">
        <f>+D177</f>
        <v>0</v>
      </c>
      <c r="E216" s="324">
        <f>+C216-D216</f>
        <v>12133518</v>
      </c>
      <c r="F216" s="8"/>
    </row>
    <row r="217" spans="1:6" ht="12.75">
      <c r="A217" s="4" t="s">
        <v>88</v>
      </c>
      <c r="B217" s="75" t="s">
        <v>276</v>
      </c>
      <c r="C217" s="290">
        <v>5000000</v>
      </c>
      <c r="D217" s="290">
        <f>D212</f>
        <v>0</v>
      </c>
      <c r="E217" s="290">
        <f>C217-D217</f>
        <v>5000000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7133518</v>
      </c>
      <c r="D219" s="290">
        <f>IF(D216&gt;D217,D216-D217,0)</f>
        <v>0</v>
      </c>
      <c r="E219" s="290">
        <f>IF(E216&gt;E217,E216-E217,0)</f>
        <v>7133518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444</v>
      </c>
      <c r="B222" s="8"/>
      <c r="C222" s="293"/>
      <c r="D222" s="293">
        <v>0</v>
      </c>
      <c r="E222" s="312">
        <f>+C222-D222</f>
        <v>0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7133518</v>
      </c>
      <c r="D224" s="290">
        <f>D219-D222</f>
        <v>0</v>
      </c>
      <c r="E224" s="290">
        <f>E219-E222</f>
        <v>7133518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464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583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478</v>
      </c>
      <c r="B231" s="8"/>
      <c r="C231" s="290">
        <f>+C224*C226*C229</f>
        <v>5394.112241095891</v>
      </c>
      <c r="D231" s="290">
        <f>+D224*D226*D229</f>
        <v>0</v>
      </c>
      <c r="E231" s="290">
        <f>+E224*E226*E229</f>
        <v>5394.112241095891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518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>
        <v>4684456</v>
      </c>
      <c r="D240" s="345"/>
      <c r="E240" s="312">
        <f aca="true" t="shared" si="10" ref="E240:E248">+C240-D240</f>
        <v>4684456</v>
      </c>
      <c r="F240" s="8"/>
    </row>
    <row r="241" spans="1:6" ht="12.75">
      <c r="A241" s="74" t="s">
        <v>95</v>
      </c>
      <c r="B241" s="77" t="s">
        <v>275</v>
      </c>
      <c r="C241" s="342">
        <v>264752</v>
      </c>
      <c r="D241" s="342"/>
      <c r="E241" s="312">
        <f t="shared" si="10"/>
        <v>264752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/>
      <c r="D243" s="343"/>
      <c r="E243" s="312">
        <f t="shared" si="10"/>
        <v>0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357538</v>
      </c>
      <c r="D245" s="343"/>
      <c r="E245" s="312">
        <f t="shared" si="10"/>
        <v>357538</v>
      </c>
      <c r="F245" s="8"/>
    </row>
    <row r="246" spans="1:6" ht="25.5">
      <c r="A246" s="74" t="s">
        <v>289</v>
      </c>
      <c r="B246" s="77" t="s">
        <v>275</v>
      </c>
      <c r="C246" s="341">
        <v>7000000</v>
      </c>
      <c r="D246" s="341"/>
      <c r="E246" s="335">
        <f t="shared" si="10"/>
        <v>7000000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/>
      <c r="D248" s="343"/>
      <c r="E248" s="312">
        <f t="shared" si="10"/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12306746</v>
      </c>
      <c r="D250" s="290">
        <f>SUM(D239:D249)</f>
        <v>0</v>
      </c>
      <c r="E250" s="290">
        <f>SUM(E239:E249)</f>
        <v>12306746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/>
      <c r="D254" s="337"/>
      <c r="E254" s="312">
        <f>+C254-D254</f>
        <v>0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0</v>
      </c>
      <c r="D258" s="290">
        <f>SUM(D253:D257)</f>
        <v>0</v>
      </c>
      <c r="E258" s="290">
        <f>SUM(E253:E257)</f>
        <v>0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12306746</v>
      </c>
      <c r="D260" s="290">
        <f>+D250-D258</f>
        <v>0</v>
      </c>
      <c r="E260" s="290">
        <f>+E250-E258</f>
        <v>12306746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12306746</v>
      </c>
      <c r="D278" s="290">
        <f>+D260</f>
        <v>0</v>
      </c>
      <c r="E278" s="312">
        <f>+E260</f>
        <v>12306746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>
        <v>10000000</v>
      </c>
      <c r="D280" s="290">
        <f>+D273</f>
        <v>0</v>
      </c>
      <c r="E280" s="312">
        <f>+C280-D280</f>
        <v>10000000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2306746</v>
      </c>
      <c r="D282" s="290">
        <f>IF(D278&gt;D280,D278-D280,0)</f>
        <v>0</v>
      </c>
      <c r="E282" s="290">
        <f>IF(E278&gt;E280,E278-E280,0)</f>
        <v>2306746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589</v>
      </c>
      <c r="B284" s="75" t="s">
        <v>276</v>
      </c>
      <c r="C284" s="415"/>
      <c r="D284" s="290">
        <v>0</v>
      </c>
      <c r="E284" s="312">
        <f>+C284-D284</f>
        <v>0</v>
      </c>
      <c r="F284" s="8"/>
    </row>
    <row r="285" spans="1:6" ht="12.75">
      <c r="A285" s="4" t="s">
        <v>445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2306746</v>
      </c>
      <c r="D286" s="290">
        <f>IF(D282&gt;D284,D282-D284,0)</f>
        <v>0</v>
      </c>
      <c r="E286" s="290">
        <f>IF(E282&gt;E284,E282-E284,0)</f>
        <v>2306746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442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519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465</v>
      </c>
      <c r="B293" s="8" t="s">
        <v>278</v>
      </c>
      <c r="C293" s="290">
        <f>C286*C288*C291</f>
        <v>1308.2093753424658</v>
      </c>
      <c r="D293" s="290">
        <f>D286*D288*D291</f>
        <v>0</v>
      </c>
      <c r="E293" s="290">
        <f>E286*E288*E291</f>
        <v>1308.2093753424658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487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466</v>
      </c>
      <c r="B299" s="8" t="s">
        <v>278</v>
      </c>
      <c r="C299" s="290">
        <f>IF(C293&gt;C297,C293-C297,0)</f>
        <v>1308.2093753424658</v>
      </c>
      <c r="D299" s="290">
        <f>IF(D293&gt;D297,D293-D297,0)</f>
        <v>0</v>
      </c>
      <c r="E299" s="290">
        <f>IF(E293&gt;E297,E293-E297,0)</f>
        <v>1308.2093753424658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521</v>
      </c>
      <c r="B302" s="8"/>
    </row>
    <row r="303" spans="1:2" ht="12.75">
      <c r="A303" s="14"/>
      <c r="B303" s="8"/>
    </row>
    <row r="304" spans="1:2" ht="12.75">
      <c r="A304" s="2" t="s">
        <v>483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5394.112241095891</v>
      </c>
      <c r="D306" s="290">
        <f>D231</f>
        <v>0</v>
      </c>
      <c r="E306" s="290">
        <f>E231</f>
        <v>5394.112241095891</v>
      </c>
    </row>
    <row r="307" spans="1:5" ht="12.75">
      <c r="A307" t="s">
        <v>333</v>
      </c>
      <c r="B307" s="97" t="s">
        <v>275</v>
      </c>
      <c r="C307" s="290">
        <f>C299</f>
        <v>1308.2093753424658</v>
      </c>
      <c r="D307" s="290">
        <f>D299</f>
        <v>0</v>
      </c>
      <c r="E307" s="290">
        <f>E299</f>
        <v>1308.2093753424658</v>
      </c>
    </row>
    <row r="308" ht="12.75">
      <c r="B308" s="8"/>
    </row>
    <row r="309" spans="1:5" ht="12.75">
      <c r="A309" s="2" t="s">
        <v>434</v>
      </c>
      <c r="B309" s="75" t="s">
        <v>278</v>
      </c>
      <c r="C309" s="290">
        <f>C305+C306+C307</f>
        <v>6702.321616438357</v>
      </c>
      <c r="D309" s="290">
        <f>D305+D306+D307</f>
        <v>0</v>
      </c>
      <c r="E309" s="290">
        <f>E305+E306+E307</f>
        <v>6702.321616438357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5" horizontalDpi="600" verticalDpi="600" orientation="portrait" scale="75" r:id="rId3"/>
  <rowBreaks count="3" manualBreakCount="3">
    <brk id="70" max="5" man="1"/>
    <brk id="199" max="5" man="1"/>
    <brk id="261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432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433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Lakefront Utilities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401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409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410</v>
      </c>
      <c r="B15" s="67"/>
      <c r="C15" s="337"/>
      <c r="D15" s="337"/>
      <c r="E15" s="290">
        <f t="shared" si="0"/>
        <v>0</v>
      </c>
    </row>
    <row r="16" spans="1:5" ht="12.75">
      <c r="A16" s="67" t="s">
        <v>411</v>
      </c>
      <c r="B16" s="67"/>
      <c r="C16" s="337"/>
      <c r="D16" s="337"/>
      <c r="E16" s="290">
        <f t="shared" si="0"/>
        <v>0</v>
      </c>
    </row>
    <row r="17" spans="1:5" ht="12.75">
      <c r="A17" s="67" t="s">
        <v>412</v>
      </c>
      <c r="B17" s="67"/>
      <c r="C17" s="337"/>
      <c r="D17" s="337"/>
      <c r="E17" s="290">
        <f t="shared" si="0"/>
        <v>0</v>
      </c>
    </row>
    <row r="18" spans="1:5" ht="12.75">
      <c r="A18" s="67" t="s">
        <v>398</v>
      </c>
      <c r="B18" s="67"/>
      <c r="C18" s="337"/>
      <c r="D18" s="337"/>
      <c r="E18" s="290">
        <f t="shared" si="0"/>
        <v>0</v>
      </c>
    </row>
    <row r="19" spans="1:5" ht="12.75">
      <c r="A19" s="67" t="s">
        <v>398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400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409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410</v>
      </c>
      <c r="B27" s="67"/>
      <c r="C27" s="337"/>
      <c r="D27" s="337"/>
      <c r="E27" s="290">
        <f t="shared" si="1"/>
        <v>0</v>
      </c>
    </row>
    <row r="28" spans="1:5" ht="12.75">
      <c r="A28" s="67" t="s">
        <v>411</v>
      </c>
      <c r="B28" s="67"/>
      <c r="C28" s="337"/>
      <c r="D28" s="337"/>
      <c r="E28" s="290">
        <f t="shared" si="1"/>
        <v>0</v>
      </c>
    </row>
    <row r="29" spans="1:5" ht="12.75">
      <c r="A29" s="67" t="s">
        <v>412</v>
      </c>
      <c r="B29" s="67"/>
      <c r="C29" s="337"/>
      <c r="D29" s="337"/>
      <c r="E29" s="290">
        <f t="shared" si="1"/>
        <v>0</v>
      </c>
    </row>
    <row r="30" spans="1:5" ht="12.75">
      <c r="A30" s="67" t="s">
        <v>398</v>
      </c>
      <c r="B30" s="67"/>
      <c r="C30" s="337"/>
      <c r="D30" s="337"/>
      <c r="E30" s="290">
        <f t="shared" si="1"/>
        <v>0</v>
      </c>
    </row>
    <row r="31" spans="1:5" ht="12.75">
      <c r="A31" s="67" t="s">
        <v>398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399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401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394</v>
      </c>
      <c r="B43" s="67"/>
      <c r="C43" s="337"/>
      <c r="D43" s="337"/>
      <c r="E43" s="290">
        <f t="shared" si="2"/>
        <v>0</v>
      </c>
    </row>
    <row r="44" spans="1:5" ht="12.75">
      <c r="A44" s="67" t="s">
        <v>395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396</v>
      </c>
      <c r="B45" s="67"/>
      <c r="C45" s="337"/>
      <c r="D45" s="337"/>
      <c r="E45" s="290">
        <f t="shared" si="2"/>
        <v>0</v>
      </c>
    </row>
    <row r="46" spans="1:5" ht="12.75">
      <c r="A46" s="67" t="s">
        <v>397</v>
      </c>
      <c r="B46" s="67"/>
      <c r="C46" s="337"/>
      <c r="D46" s="337"/>
      <c r="E46" s="290">
        <f t="shared" si="2"/>
        <v>0</v>
      </c>
    </row>
    <row r="47" spans="1:5" ht="12.75">
      <c r="A47" s="67" t="s">
        <v>398</v>
      </c>
      <c r="B47" s="67"/>
      <c r="C47" s="337"/>
      <c r="D47" s="337"/>
      <c r="E47" s="290">
        <f t="shared" si="2"/>
        <v>0</v>
      </c>
    </row>
    <row r="48" spans="1:5" ht="12.75">
      <c r="A48" s="67" t="s">
        <v>398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400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394</v>
      </c>
      <c r="B55" s="67"/>
      <c r="C55" s="337"/>
      <c r="D55" s="337"/>
      <c r="E55" s="290">
        <f t="shared" si="3"/>
        <v>0</v>
      </c>
    </row>
    <row r="56" spans="1:5" ht="12.75">
      <c r="A56" s="285" t="s">
        <v>395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396</v>
      </c>
      <c r="B57" s="67"/>
      <c r="C57" s="337"/>
      <c r="D57" s="337"/>
      <c r="E57" s="290">
        <f t="shared" si="3"/>
        <v>0</v>
      </c>
    </row>
    <row r="58" spans="1:5" ht="12.75">
      <c r="A58" s="285" t="s">
        <v>397</v>
      </c>
      <c r="B58" s="67"/>
      <c r="C58" s="337"/>
      <c r="D58" s="337"/>
      <c r="E58" s="290">
        <f t="shared" si="3"/>
        <v>0</v>
      </c>
    </row>
    <row r="59" spans="1:5" ht="12.75">
      <c r="A59" s="67" t="s">
        <v>398</v>
      </c>
      <c r="B59" s="67"/>
      <c r="C59" s="337"/>
      <c r="D59" s="337"/>
      <c r="E59" s="290">
        <f t="shared" si="3"/>
        <v>0</v>
      </c>
    </row>
    <row r="60" spans="1:5" ht="12.75">
      <c r="A60" s="67" t="s">
        <v>398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tabSelected="1" zoomScalePageLayoutView="0" workbookViewId="0" topLeftCell="A1">
      <pane xSplit="1" ySplit="6" topLeftCell="B7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376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Lakefront Utilities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4371.52875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377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378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438</v>
      </c>
      <c r="B30" t="s">
        <v>275</v>
      </c>
      <c r="C30" s="338"/>
      <c r="D30" s="338"/>
      <c r="E30" s="367">
        <f t="shared" si="0"/>
        <v>0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379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439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572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254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380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554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440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573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574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/>
      <c r="B115" s="8" t="s">
        <v>276</v>
      </c>
      <c r="C115" s="337"/>
      <c r="D115" s="337"/>
      <c r="E115" s="290">
        <f t="shared" si="7"/>
        <v>0</v>
      </c>
    </row>
    <row r="116" spans="1:5" ht="12.75">
      <c r="A116" s="502"/>
      <c r="B116" s="8" t="s">
        <v>276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0</v>
      </c>
      <c r="D122" s="290">
        <f>SUM(D100:D121)</f>
        <v>0</v>
      </c>
      <c r="E122" s="290">
        <f>SUM(E100:E121)</f>
        <v>0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 </v>
      </c>
      <c r="B140" s="313"/>
      <c r="C140" s="290">
        <f t="shared" si="8"/>
        <v>0</v>
      </c>
      <c r="D140" s="290">
        <f t="shared" si="8"/>
        <v>0</v>
      </c>
      <c r="E140" s="290">
        <f t="shared" si="8"/>
        <v>0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0</v>
      </c>
      <c r="D146" s="290">
        <f>SUM(D125:D145)</f>
        <v>0</v>
      </c>
      <c r="E146" s="290">
        <f>SUM(E125:E145)</f>
        <v>0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0</v>
      </c>
      <c r="D148" s="290">
        <f>D146+D147</f>
        <v>0</v>
      </c>
      <c r="E148" s="290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443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Lakefront Utilities Inc.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485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586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431</v>
      </c>
      <c r="B10" s="382"/>
      <c r="C10" s="382" t="s">
        <v>187</v>
      </c>
      <c r="D10" s="382"/>
      <c r="E10" s="382" t="s">
        <v>187</v>
      </c>
      <c r="F10" s="383" t="s">
        <v>435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430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429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436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387</v>
      </c>
      <c r="B16" s="284"/>
      <c r="C16" s="390">
        <v>0.1912</v>
      </c>
      <c r="D16" s="390">
        <f>SUM(D14:D15)</f>
        <v>0</v>
      </c>
      <c r="E16" s="490">
        <v>0.3862</v>
      </c>
      <c r="F16" s="391">
        <v>0.4062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480</v>
      </c>
      <c r="B21" s="445" t="s">
        <v>449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481</v>
      </c>
      <c r="B22" s="446" t="s">
        <v>450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7" t="s">
        <v>479</v>
      </c>
      <c r="B23" s="508"/>
      <c r="C23" s="508"/>
      <c r="D23" s="508"/>
      <c r="E23" s="508"/>
      <c r="F23" s="508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587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Lakefront Utilities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550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497</v>
      </c>
      <c r="C14" s="272" t="s">
        <v>575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498</v>
      </c>
      <c r="C16" s="272" t="s">
        <v>575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575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499</v>
      </c>
      <c r="C20" s="272" t="s">
        <v>575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501</v>
      </c>
      <c r="C22" s="272" t="s">
        <v>575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500</v>
      </c>
      <c r="C24" s="272" t="s">
        <v>575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575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504</v>
      </c>
      <c r="B28" s="269" t="s">
        <v>502</v>
      </c>
      <c r="C28" s="272" t="s">
        <v>575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503</v>
      </c>
      <c r="C30" s="272" t="s">
        <v>575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507</v>
      </c>
      <c r="C32" s="272" t="s">
        <v>576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505</v>
      </c>
      <c r="B34" s="269" t="s">
        <v>551</v>
      </c>
      <c r="C34" s="272" t="s">
        <v>575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506</v>
      </c>
      <c r="B36" s="92" t="s">
        <v>508</v>
      </c>
      <c r="D36" s="265"/>
      <c r="E36" s="265"/>
    </row>
    <row r="37" spans="1:5" ht="13.5" thickBot="1">
      <c r="A37" s="265"/>
      <c r="B37" s="453">
        <v>2001</v>
      </c>
      <c r="C37" s="272" t="s">
        <v>575</v>
      </c>
      <c r="D37" s="265"/>
      <c r="E37" s="265"/>
    </row>
    <row r="38" spans="2:5" ht="13.5" thickBot="1">
      <c r="B38" s="104">
        <v>2002</v>
      </c>
      <c r="C38" s="272" t="s">
        <v>575</v>
      </c>
      <c r="D38" s="265"/>
      <c r="E38" s="265"/>
    </row>
    <row r="39" spans="1:5" ht="13.5" thickBot="1">
      <c r="A39" s="265"/>
      <c r="B39" s="453">
        <v>2003</v>
      </c>
      <c r="C39" s="272" t="s">
        <v>575</v>
      </c>
      <c r="D39" s="265"/>
      <c r="E39" s="265"/>
    </row>
    <row r="40" spans="1:5" ht="13.5" thickBot="1">
      <c r="A40" s="265"/>
      <c r="B40" s="453">
        <v>2004</v>
      </c>
      <c r="C40" s="272" t="s">
        <v>575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511</v>
      </c>
      <c r="B42" s="269" t="s">
        <v>512</v>
      </c>
      <c r="C42" s="457" t="s">
        <v>575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502</v>
      </c>
      <c r="C2" s="271" t="str">
        <f>REGINFO!E1</f>
        <v>Version 2004.2</v>
      </c>
    </row>
    <row r="3" spans="2:3" ht="12.75">
      <c r="B3" s="269" t="str">
        <f>REGINFO!A3</f>
        <v>Utility Name:  Lakefront Utilities Inc.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577</v>
      </c>
    </row>
    <row r="10" ht="12.75">
      <c r="B10" s="269" t="s">
        <v>549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349</v>
      </c>
    </row>
    <row r="27" ht="12.75">
      <c r="B27" s="269" t="s">
        <v>190</v>
      </c>
    </row>
    <row r="30" spans="1:2" ht="25.5">
      <c r="A30" s="269">
        <v>6</v>
      </c>
      <c r="B30" s="274" t="s">
        <v>509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510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415</v>
      </c>
    </row>
    <row r="40" ht="12.75">
      <c r="B40" s="269" t="s">
        <v>579</v>
      </c>
    </row>
    <row r="41" ht="12.75">
      <c r="B41" s="269" t="s">
        <v>580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558</v>
      </c>
    </row>
    <row r="7" spans="1:15" ht="12.75">
      <c r="A7" s="2" t="str">
        <f>REGINFO!A3</f>
        <v>Utility Name:  Lakefront Utilities Inc.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463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544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542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543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545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546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538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26.25" thickBot="1">
      <c r="A26" s="92" t="s">
        <v>547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513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2" t="s">
        <v>578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</row>
    <row r="34" spans="1:15" ht="12.75">
      <c r="A34" s="513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</row>
    <row r="35" spans="1:15" ht="12.75">
      <c r="A35" s="513"/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9" t="s">
        <v>0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461"/>
      <c r="Q37" s="461"/>
      <c r="R37" s="461"/>
      <c r="S37" s="461"/>
    </row>
    <row r="38" spans="1:19" ht="12.75">
      <c r="A38" s="511" t="s">
        <v>534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461"/>
      <c r="Q38" s="461"/>
      <c r="R38" s="461"/>
      <c r="S38" s="461"/>
    </row>
    <row r="39" spans="1:19" ht="12.75">
      <c r="A39" s="480" t="s">
        <v>535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536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539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540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541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569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566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561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560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562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567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564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563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565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11" t="s">
        <v>548</v>
      </c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</row>
    <row r="64" spans="1:15" ht="12.75">
      <c r="A64" s="477" t="s">
        <v>537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2011-08-07T14:59:02Z</cp:lastPrinted>
  <dcterms:created xsi:type="dcterms:W3CDTF">2001-11-07T16:15:53Z</dcterms:created>
  <dcterms:modified xsi:type="dcterms:W3CDTF">2011-11-09T04:25:53Z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