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11640" activeTab="0"/>
  </bookViews>
  <sheets>
    <sheet name="App 1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2002 PILS as per 2002 RAM until rates set for April 2004
</t>
        </r>
      </text>
    </comment>
    <comment ref="B73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<sst xmlns="http://schemas.openxmlformats.org/spreadsheetml/2006/main" count="558" uniqueCount="121">
  <si>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</si>
  <si>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</si>
  <si>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</si>
  <si>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</si>
  <si>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</si>
  <si>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</si>
  <si>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</si>
  <si>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</si>
  <si>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</si>
  <si>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</si>
  <si>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</si>
  <si>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</si>
  <si>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</si>
  <si>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</si>
  <si>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</si>
  <si>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</si>
  <si>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</si>
  <si>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</si>
  <si>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</si>
  <si>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</si>
  <si>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</si>
  <si>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</si>
  <si>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</si>
  <si>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</si>
  <si>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</si>
  <si>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</si>
  <si>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</si>
  <si>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</si>
  <si>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</si>
  <si>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</si>
  <si>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</si>
  <si>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</si>
  <si>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</si>
  <si>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</si>
  <si>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</si>
  <si>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</si>
  <si>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</si>
  <si>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</si>
  <si>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</si>
  <si>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</si>
  <si>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</si>
  <si>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</si>
  <si>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</si>
  <si>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</si>
  <si>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</si>
  <si>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</si>
  <si>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</si>
  <si>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</si>
  <si>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</si>
  <si>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</si>
  <si>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</si>
  <si>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</si>
  <si>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</si>
  <si>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</si>
  <si>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</si>
  <si>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</si>
  <si>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</si>
  <si>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</si>
  <si>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</si>
  <si>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</si>
  <si>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</si>
  <si>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</si>
  <si>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</si>
  <si>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</si>
  <si>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</si>
  <si>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</si>
  <si>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</si>
  <si>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</si>
  <si>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</si>
  <si>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</si>
  <si>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</si>
  <si>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</si>
  <si>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</si>
  <si>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</si>
  <si>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</si>
  <si>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</si>
  <si>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</si>
  <si>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</si>
  <si>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</si>
  <si>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</si>
  <si>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</si>
  <si>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</si>
  <si>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</si>
  <si>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</si>
  <si>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</si>
  <si>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</si>
  <si>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</si>
  <si>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</si>
  <si>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</si>
  <si>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</si>
  <si>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</si>
  <si>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</si>
  <si>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</si>
  <si>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</si>
  <si>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</si>
  <si>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</si>
  <si>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</si>
  <si>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</si>
  <si>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</si>
  <si>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Mar</t>
  </si>
  <si>
    <t>includes unmetered loads</t>
  </si>
  <si>
    <t>Cambridge and North Dumfries Hydro Inc.</t>
  </si>
  <si>
    <t>Unmetered Loads</t>
  </si>
  <si>
    <t>2010    Approved DRR</t>
  </si>
  <si>
    <t>2010 Approved    Billing Determinant (kWh / kW)</t>
  </si>
  <si>
    <t>General Service &gt; 50 kW (TOU)</t>
  </si>
  <si>
    <t>Large Use</t>
  </si>
  <si>
    <t>Street Lights</t>
  </si>
  <si>
    <t>Apr. 1, 2004</t>
  </si>
  <si>
    <t>Mar. 31, 2004</t>
  </si>
  <si>
    <t>Note: CNDHI did not have any LCT included in approved PILS entitlement, therefore no adjustment to revenue required.</t>
  </si>
  <si>
    <t>Approved DRR (from 2010)</t>
  </si>
  <si>
    <t>Embedded Class</t>
  </si>
  <si>
    <t>(was not a customer during 2002 to 2005 period where PILS receivable was created as a result we are not proposing to collect any rate riders from this class)</t>
  </si>
  <si>
    <t>Allocated DRR</t>
  </si>
  <si>
    <t>(dollar difference due to rounding)</t>
  </si>
  <si>
    <t>(bi monthly billing, assumes a 75% / 25% allocation to new and old rates over a rate change period i.e. 75% of Mar 2002 billings relate to 2001 rate year and 25% relate to 2002 billings, 25% of April billings relate to 2001 Rate Year while 75% relate to 2002 rate year)</t>
  </si>
  <si>
    <t>(bi monthly billing, assumes a 75% / 25% allocation to new and old rates over a rate change period i.e. 75% of Mar 2002 billings relate to 2001 rate year and 25% relate to 2002 billings, 25% of April billings relate to 2001 Rate Year while 75% relate to 2002 rate year) includes unmetered loads</t>
  </si>
  <si>
    <t>(monthly billing, assumes a 50% / 50% split to new and old rates over a change period i.e. 50% of March billings relate to 2001 rate year and 50% relate to 2002 billings, 100% of april billing relate to 2002 year)</t>
  </si>
  <si>
    <t>Mar. 31, 2005</t>
  </si>
  <si>
    <t>Apr. 1,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</si>
</sst>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_-&quot;$&quot;* #,##0.000000_-;\-&quot;$&quot;* #,##0.000000_-;_-&quot;$&quot;* &quot;-&quot;??_-;_-@_-"/>
    <numFmt numFmtId="178" formatCode="#,##0.0000;[Red]\(#,##0.0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4" fillId="0" borderId="0" xfId="0" applyFont="1" applyAlignment="1">
      <alignment/>
    </xf>
    <xf numFmtId="170" fontId="0" fillId="33" borderId="0" xfId="45" applyFont="1" applyFill="1" applyAlignment="1">
      <alignment/>
    </xf>
    <xf numFmtId="170" fontId="0" fillId="33" borderId="10" xfId="45" applyFont="1" applyFill="1" applyBorder="1" applyAlignment="1">
      <alignment/>
    </xf>
    <xf numFmtId="170" fontId="0" fillId="0" borderId="0" xfId="45" applyFont="1" applyAlignment="1">
      <alignment/>
    </xf>
    <xf numFmtId="170" fontId="44" fillId="0" borderId="0" xfId="45" applyFont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170" fontId="0" fillId="0" borderId="0" xfId="45" applyFont="1" applyFill="1" applyAlignment="1">
      <alignment/>
    </xf>
    <xf numFmtId="170" fontId="0" fillId="0" borderId="10" xfId="45" applyFont="1" applyFill="1" applyBorder="1" applyAlignment="1">
      <alignment/>
    </xf>
    <xf numFmtId="170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2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4" fillId="0" borderId="0" xfId="45" applyNumberFormat="1" applyFont="1" applyAlignment="1">
      <alignment horizontal="left"/>
    </xf>
    <xf numFmtId="170" fontId="0" fillId="0" borderId="0" xfId="45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4" fillId="0" borderId="0" xfId="56" applyNumberFormat="1">
      <alignment/>
      <protection/>
    </xf>
    <xf numFmtId="0" fontId="46" fillId="0" borderId="0" xfId="0" applyFont="1" applyAlignment="1">
      <alignment/>
    </xf>
    <xf numFmtId="0" fontId="0" fillId="0" borderId="0" xfId="0" applyAlignment="1" quotePrefix="1">
      <alignment horizontal="left"/>
    </xf>
    <xf numFmtId="0" fontId="4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47" fillId="0" borderId="0" xfId="0" applyFont="1" applyAlignment="1">
      <alignment/>
    </xf>
    <xf numFmtId="175" fontId="42" fillId="0" borderId="0" xfId="45" applyNumberFormat="1" applyFont="1" applyAlignment="1">
      <alignment/>
    </xf>
    <xf numFmtId="10" fontId="4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2" fillId="0" borderId="0" xfId="0" applyNumberFormat="1" applyFont="1" applyAlignment="1">
      <alignment/>
    </xf>
    <xf numFmtId="177" fontId="0" fillId="0" borderId="0" xfId="45" applyNumberFormat="1" applyFont="1" applyAlignment="1">
      <alignment/>
    </xf>
    <xf numFmtId="177" fontId="0" fillId="0" borderId="0" xfId="45" applyNumberFormat="1" applyFont="1" applyAlignment="1">
      <alignment/>
    </xf>
    <xf numFmtId="173" fontId="4" fillId="0" borderId="0" xfId="56" applyNumberFormat="1" applyFill="1" applyAlignment="1">
      <alignment horizontal="center"/>
      <protection/>
    </xf>
    <xf numFmtId="170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31" fillId="34" borderId="0" xfId="0" applyFont="1" applyFill="1" applyAlignment="1">
      <alignment horizontal="center" wrapText="1"/>
    </xf>
    <xf numFmtId="0" fontId="31" fillId="34" borderId="0" xfId="0" applyFont="1" applyFill="1" applyAlignment="1">
      <alignment horizontal="center"/>
    </xf>
    <xf numFmtId="170" fontId="0" fillId="0" borderId="0" xfId="45" applyNumberFormat="1" applyFont="1" applyAlignment="1">
      <alignment/>
    </xf>
    <xf numFmtId="175" fontId="42" fillId="0" borderId="0" xfId="45" applyNumberFormat="1" applyFont="1" applyFill="1" applyBorder="1" applyAlignment="1">
      <alignment/>
    </xf>
    <xf numFmtId="175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175" fontId="42" fillId="0" borderId="10" xfId="45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35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44" fillId="37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brooker\Local%20Settings\Temporary%20Internet%20Files\Content.Outlook\CHZMYC8B\Appendix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brooker\Local%20Settings\Temporary%20Internet%20Files\Content.Outlook\CHZMYC8B\Appendix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brooker\Local%20Settings\Temporary%20Internet%20Files\Content.Outlook\CHZMYC8B\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14">
          <cell r="E14">
            <v>710984</v>
          </cell>
        </row>
        <row r="54">
          <cell r="B54">
            <v>0.0004656993791679293</v>
          </cell>
        </row>
        <row r="58">
          <cell r="C58">
            <v>0.36216332550304026</v>
          </cell>
        </row>
        <row r="78">
          <cell r="B78">
            <v>0.0003660736878398565</v>
          </cell>
        </row>
        <row r="82">
          <cell r="C82">
            <v>0.8326922402384321</v>
          </cell>
        </row>
        <row r="102">
          <cell r="B102">
            <v>0.12693856965318864</v>
          </cell>
        </row>
        <row r="106">
          <cell r="C106">
            <v>3.7841695856814925</v>
          </cell>
        </row>
        <row r="126">
          <cell r="B126">
            <v>0.09072422140582785</v>
          </cell>
        </row>
        <row r="130">
          <cell r="C130">
            <v>29.03159690605032</v>
          </cell>
        </row>
        <row r="176">
          <cell r="B176">
            <v>0.06997937943524929</v>
          </cell>
        </row>
        <row r="180">
          <cell r="C180">
            <v>143.78086791788854</v>
          </cell>
        </row>
        <row r="226">
          <cell r="B226">
            <v>0.10209466984468052</v>
          </cell>
        </row>
        <row r="230">
          <cell r="C230">
            <v>0.019708938471863547</v>
          </cell>
        </row>
      </sheetData>
      <sheetData sheetId="7">
        <row r="14">
          <cell r="E14">
            <v>2688086</v>
          </cell>
        </row>
        <row r="54">
          <cell r="B54">
            <v>0.001760714701526339</v>
          </cell>
        </row>
        <row r="58">
          <cell r="C58">
            <v>1.3692659258129094</v>
          </cell>
        </row>
        <row r="78">
          <cell r="B78">
            <v>0.001384050211046505</v>
          </cell>
        </row>
        <row r="82">
          <cell r="C82">
            <v>3.1482401197404815</v>
          </cell>
        </row>
        <row r="102">
          <cell r="B102">
            <v>0.4799289322189547</v>
          </cell>
        </row>
        <row r="106">
          <cell r="C106">
            <v>14.30717608961133</v>
          </cell>
        </row>
        <row r="126">
          <cell r="B126">
            <v>0.3430098418837923</v>
          </cell>
        </row>
        <row r="130">
          <cell r="C130">
            <v>109.76256737253887</v>
          </cell>
        </row>
        <row r="176">
          <cell r="B176">
            <v>0.26457781068010183</v>
          </cell>
        </row>
        <row r="180">
          <cell r="C180">
            <v>543.6062388435258</v>
          </cell>
        </row>
        <row r="226">
          <cell r="B226">
            <v>0.38599919644339087</v>
          </cell>
        </row>
        <row r="230">
          <cell r="C230">
            <v>0.07451549061733852</v>
          </cell>
        </row>
      </sheetData>
      <sheetData sheetId="15">
        <row r="19">
          <cell r="F19">
            <v>9.217681018824436</v>
          </cell>
        </row>
        <row r="20">
          <cell r="F20">
            <v>0.011577897915836905</v>
          </cell>
        </row>
        <row r="37">
          <cell r="F37">
            <v>14.693570949968917</v>
          </cell>
        </row>
        <row r="38">
          <cell r="F38">
            <v>0.011087942557671253</v>
          </cell>
        </row>
        <row r="58">
          <cell r="F58">
            <v>105.06385016344787</v>
          </cell>
        </row>
        <row r="59">
          <cell r="F59">
            <v>3.05288616073875</v>
          </cell>
        </row>
        <row r="66">
          <cell r="F66">
            <v>792.2734604421378</v>
          </cell>
        </row>
        <row r="67">
          <cell r="F67">
            <v>2.538355179978274</v>
          </cell>
        </row>
        <row r="94">
          <cell r="F94">
            <v>4317.800570169633</v>
          </cell>
        </row>
        <row r="95">
          <cell r="F95">
            <v>1.6703809060011305</v>
          </cell>
        </row>
        <row r="132">
          <cell r="F132">
            <v>0.3250587843314779</v>
          </cell>
        </row>
        <row r="133">
          <cell r="F133">
            <v>1.5988903768500755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0.004008489605365159</v>
          </cell>
        </row>
        <row r="66">
          <cell r="B66">
            <v>0.0012167808334649722</v>
          </cell>
        </row>
        <row r="84">
          <cell r="B84">
            <v>0.367275245679914</v>
          </cell>
        </row>
        <row r="102">
          <cell r="B102">
            <v>0.229463968472612</v>
          </cell>
        </row>
        <row r="138">
          <cell r="B138">
            <v>0.2837743028897113</v>
          </cell>
        </row>
        <row r="174">
          <cell r="B174">
            <v>0.6930582906400956</v>
          </cell>
        </row>
      </sheetData>
      <sheetData sheetId="9">
        <row r="10">
          <cell r="F10">
            <v>9.22</v>
          </cell>
        </row>
        <row r="11">
          <cell r="F11">
            <v>0.011666048267952474</v>
          </cell>
        </row>
        <row r="22">
          <cell r="F22">
            <v>14.69</v>
          </cell>
        </row>
        <row r="23">
          <cell r="F23">
            <v>0.010587617957786205</v>
          </cell>
        </row>
        <row r="28">
          <cell r="F28">
            <v>105.06</v>
          </cell>
        </row>
        <row r="29">
          <cell r="F29">
            <v>2.8998559595612265</v>
          </cell>
        </row>
        <row r="34">
          <cell r="F34">
            <v>792.27</v>
          </cell>
        </row>
        <row r="35">
          <cell r="F35">
            <v>2.4153686086564368</v>
          </cell>
        </row>
        <row r="46">
          <cell r="F46">
            <v>4317.8</v>
          </cell>
        </row>
        <row r="47">
          <cell r="F47">
            <v>2.02168077995271</v>
          </cell>
        </row>
        <row r="81">
          <cell r="F81">
            <v>0.33</v>
          </cell>
        </row>
        <row r="82">
          <cell r="F82">
            <v>1.226016291361205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Sheet 6A REVISED_Supplemenatry"/>
      <sheetName val="7. 2003 Data &amp; add RSVA"/>
      <sheetName val="8. 2003 Data &amp; Non-RSVA"/>
      <sheetName val="9. 2005 Rate Sch. Reg. Assets"/>
      <sheetName val="Sheet 9A Adj. to Service Charge"/>
      <sheetName val="10. Rate Rider Calculations"/>
      <sheetName val="11. 2005 Final Rate Schedule "/>
      <sheetName val="12. Current Rates"/>
      <sheetName val="13. Bill Impact"/>
    </sheetNames>
    <sheetDataSet>
      <sheetData sheetId="4">
        <row r="14">
          <cell r="G14">
            <v>2641697</v>
          </cell>
        </row>
        <row r="50">
          <cell r="B50">
            <v>0.0032578405107184113</v>
          </cell>
        </row>
        <row r="67">
          <cell r="B67">
            <v>0.002431425714531124</v>
          </cell>
        </row>
        <row r="84">
          <cell r="B84">
            <v>0.5724058144480327</v>
          </cell>
        </row>
        <row r="101">
          <cell r="B101">
            <v>0.29745388748211987</v>
          </cell>
        </row>
        <row r="135">
          <cell r="B135">
            <v>0.19898494566692804</v>
          </cell>
        </row>
        <row r="169">
          <cell r="B169">
            <v>0.4259512452735023</v>
          </cell>
        </row>
      </sheetData>
      <sheetData sheetId="13">
        <row r="13">
          <cell r="F13">
            <v>8.815410027030186</v>
          </cell>
        </row>
        <row r="14">
          <cell r="F14">
            <v>0.01486125438989815</v>
          </cell>
        </row>
        <row r="25">
          <cell r="F25">
            <v>12.605790675335996</v>
          </cell>
        </row>
        <row r="26">
          <cell r="F26">
            <v>0.013899113441144252</v>
          </cell>
        </row>
        <row r="31">
          <cell r="F31">
            <v>102.35939006666524</v>
          </cell>
        </row>
        <row r="32">
          <cell r="F32">
            <v>3.628102687951094</v>
          </cell>
        </row>
        <row r="37">
          <cell r="F37">
            <v>769.1122785398741</v>
          </cell>
        </row>
        <row r="38">
          <cell r="F38">
            <v>2.9428036871692727</v>
          </cell>
        </row>
        <row r="49">
          <cell r="F49">
            <v>4272.804565872945</v>
          </cell>
        </row>
        <row r="50">
          <cell r="F50">
            <v>1.9941210673713172</v>
          </cell>
        </row>
        <row r="74">
          <cell r="F74">
            <v>0.27110358797718226</v>
          </cell>
        </row>
        <row r="75">
          <cell r="F75">
            <v>1.8926540213443241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20" zoomScaleNormal="120" zoomScalePageLayoutView="40" workbookViewId="0" topLeftCell="A195">
      <selection activeCell="B195" sqref="B195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8515625" style="0" bestFit="1" customWidth="1"/>
    <col min="4" max="4" width="16.57421875" style="0" customWidth="1"/>
    <col min="5" max="5" width="13.00390625" style="0" customWidth="1"/>
    <col min="6" max="6" width="14.85156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8" t="s">
        <v>101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7" t="s">
        <v>66</v>
      </c>
      <c r="E5" s="66" t="s">
        <v>14</v>
      </c>
      <c r="F5" s="66"/>
      <c r="G5" s="10"/>
      <c r="H5" s="66" t="s">
        <v>15</v>
      </c>
      <c r="I5" s="66"/>
      <c r="J5" s="66"/>
      <c r="K5" s="10"/>
      <c r="L5" s="67" t="s">
        <v>5</v>
      </c>
      <c r="M5" s="3"/>
    </row>
    <row r="6" spans="2:13" ht="28.5" customHeight="1">
      <c r="B6" s="11" t="s">
        <v>2</v>
      </c>
      <c r="C6" s="11" t="s">
        <v>3</v>
      </c>
      <c r="D6" s="67"/>
      <c r="E6" s="10" t="s">
        <v>4</v>
      </c>
      <c r="F6" s="10" t="s">
        <v>65</v>
      </c>
      <c r="G6" s="10"/>
      <c r="H6" s="16" t="s">
        <v>6</v>
      </c>
      <c r="I6" s="10" t="s">
        <v>4</v>
      </c>
      <c r="J6" s="10" t="s">
        <v>65</v>
      </c>
      <c r="K6" s="10"/>
      <c r="L6" s="67"/>
      <c r="M6" s="3"/>
    </row>
    <row r="7" spans="1:12" ht="15">
      <c r="A7" t="s">
        <v>10</v>
      </c>
      <c r="B7" s="6">
        <f>'PILS Entitlement Summary'!H3</f>
        <v>236994.66666666666</v>
      </c>
      <c r="C7" s="6">
        <v>0</v>
      </c>
      <c r="D7" s="8"/>
      <c r="E7" s="8">
        <f>B7-C7+D7</f>
        <v>236994.66666666666</v>
      </c>
      <c r="F7" s="8">
        <f>E7</f>
        <v>236994.66666666666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236994.66666666666</v>
      </c>
    </row>
    <row r="8" spans="1:12" ht="15">
      <c r="A8" t="s">
        <v>11</v>
      </c>
      <c r="B8" s="12">
        <f>B7</f>
        <v>236994.66666666666</v>
      </c>
      <c r="C8" s="6">
        <v>0</v>
      </c>
      <c r="D8" s="8"/>
      <c r="E8" s="8">
        <f>B8-C8+D8</f>
        <v>236994.66666666666</v>
      </c>
      <c r="F8" s="8">
        <f>F7+E8</f>
        <v>473989.3333333333</v>
      </c>
      <c r="G8" s="8"/>
      <c r="H8" s="15">
        <f>H7</f>
        <v>0.0725</v>
      </c>
      <c r="I8" s="8">
        <f>F7*H8/12</f>
        <v>1431.8427777777777</v>
      </c>
      <c r="J8" s="8">
        <f>I8+J7</f>
        <v>1431.8427777777777</v>
      </c>
      <c r="K8" s="8"/>
      <c r="L8" s="8">
        <f>F8+J8</f>
        <v>475421.17611111107</v>
      </c>
    </row>
    <row r="9" spans="1:12" ht="15">
      <c r="A9" t="s">
        <v>12</v>
      </c>
      <c r="B9" s="13">
        <f>B8</f>
        <v>236994.66666666666</v>
      </c>
      <c r="C9" s="7">
        <v>0</v>
      </c>
      <c r="D9" s="14"/>
      <c r="E9" s="14">
        <f>B9-C9+D9</f>
        <v>236994.66666666666</v>
      </c>
      <c r="F9" s="14">
        <f>F8+E9</f>
        <v>710984</v>
      </c>
      <c r="G9" s="14"/>
      <c r="H9" s="17">
        <f>H8</f>
        <v>0.0725</v>
      </c>
      <c r="I9" s="14">
        <f>F8*H9/12</f>
        <v>2863.6855555555553</v>
      </c>
      <c r="J9" s="14">
        <f>I9+J8</f>
        <v>4295.528333333333</v>
      </c>
      <c r="K9" s="14"/>
      <c r="L9" s="14">
        <f>F9+J9</f>
        <v>715279.5283333333</v>
      </c>
    </row>
    <row r="10" spans="1:12" ht="15">
      <c r="A10" s="2" t="s">
        <v>13</v>
      </c>
      <c r="B10" s="8">
        <f>SUM(B7:B9)</f>
        <v>710984</v>
      </c>
      <c r="C10" s="8">
        <f>SUM(C7:C9)</f>
        <v>0</v>
      </c>
      <c r="D10" s="8">
        <f>SUM(D7:D9)</f>
        <v>0</v>
      </c>
      <c r="E10" s="8">
        <f>SUM(E7:E9)</f>
        <v>710984</v>
      </c>
      <c r="F10" s="8"/>
      <c r="G10" s="8"/>
      <c r="I10" s="8">
        <f>SUM(I7:I9)</f>
        <v>4295.528333333333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7" t="str">
        <f>$D$5</f>
        <v>SIMPILS True-Up Adjustments    (neg = CR)</v>
      </c>
      <c r="E14" s="66" t="s">
        <v>14</v>
      </c>
      <c r="F14" s="66"/>
      <c r="G14" s="10"/>
      <c r="H14" s="66" t="s">
        <v>15</v>
      </c>
      <c r="I14" s="66"/>
      <c r="J14" s="66"/>
      <c r="K14" s="10"/>
      <c r="L14" s="67" t="s">
        <v>5</v>
      </c>
    </row>
    <row r="15" spans="2:12" ht="45">
      <c r="B15" s="11" t="s">
        <v>2</v>
      </c>
      <c r="C15" s="11" t="s">
        <v>3</v>
      </c>
      <c r="D15" s="67"/>
      <c r="E15" s="10" t="s">
        <v>4</v>
      </c>
      <c r="F15" s="10" t="s">
        <v>65</v>
      </c>
      <c r="G15" s="10"/>
      <c r="H15" s="16" t="s">
        <v>6</v>
      </c>
      <c r="I15" s="10" t="s">
        <v>4</v>
      </c>
      <c r="J15" s="10" t="s">
        <v>65</v>
      </c>
      <c r="K15" s="10"/>
      <c r="L15" s="67"/>
    </row>
    <row r="16" spans="1:12" ht="15">
      <c r="A16" t="s">
        <v>7</v>
      </c>
      <c r="B16" s="6">
        <f>'PILS Entitlement Summary'!H4</f>
        <v>224007.16666666666</v>
      </c>
      <c r="C16" s="6">
        <v>0</v>
      </c>
      <c r="D16" s="8"/>
      <c r="E16" s="8">
        <f aca="true" t="shared" si="0" ref="E16:E27">B16-C16+D16</f>
        <v>224007.16666666666</v>
      </c>
      <c r="F16" s="8">
        <f>F9+E16</f>
        <v>934991.1666666666</v>
      </c>
      <c r="G16" s="8"/>
      <c r="H16" s="15">
        <f>H9</f>
        <v>0.0725</v>
      </c>
      <c r="I16" s="8">
        <f>H16*F9/12</f>
        <v>4295.528333333333</v>
      </c>
      <c r="J16" s="8">
        <f>J9+I16</f>
        <v>8591.056666666665</v>
      </c>
      <c r="K16" s="8"/>
      <c r="L16" s="8">
        <f aca="true" t="shared" si="1" ref="L16:L27">F16+J16</f>
        <v>943582.2233333333</v>
      </c>
    </row>
    <row r="17" spans="1:12" ht="15">
      <c r="A17" t="s">
        <v>8</v>
      </c>
      <c r="B17" s="12">
        <f>B16</f>
        <v>224007.16666666666</v>
      </c>
      <c r="C17" s="6">
        <v>0</v>
      </c>
      <c r="D17" s="8"/>
      <c r="E17" s="8">
        <f t="shared" si="0"/>
        <v>224007.16666666666</v>
      </c>
      <c r="F17" s="8">
        <f>F16+E17</f>
        <v>1158998.3333333333</v>
      </c>
      <c r="G17" s="8"/>
      <c r="H17" s="15">
        <f>H16</f>
        <v>0.0725</v>
      </c>
      <c r="I17" s="8">
        <f>H17*F16/12</f>
        <v>5648.904965277777</v>
      </c>
      <c r="J17" s="8">
        <f>I17+J16</f>
        <v>14239.961631944443</v>
      </c>
      <c r="K17" s="8"/>
      <c r="L17" s="8">
        <f t="shared" si="1"/>
        <v>1173238.2949652777</v>
      </c>
    </row>
    <row r="18" spans="1:12" ht="15">
      <c r="A18" t="s">
        <v>9</v>
      </c>
      <c r="B18" s="12">
        <f>B17</f>
        <v>224007.16666666666</v>
      </c>
      <c r="C18" s="6">
        <f>'App 32 - Mar02 to Feb04 Revenue'!B$48</f>
        <v>96175.27334512792</v>
      </c>
      <c r="D18" s="8"/>
      <c r="E18" s="8">
        <f t="shared" si="0"/>
        <v>127831.89332153874</v>
      </c>
      <c r="F18" s="8">
        <f aca="true" t="shared" si="2" ref="F18:F27">F17+E18</f>
        <v>1286830.226654872</v>
      </c>
      <c r="G18" s="8"/>
      <c r="H18" s="15">
        <f aca="true" t="shared" si="3" ref="H18:H27">H17</f>
        <v>0.0725</v>
      </c>
      <c r="I18" s="8">
        <f aca="true" t="shared" si="4" ref="I18:I27">H18*F17/12</f>
        <v>7002.281597222221</v>
      </c>
      <c r="J18" s="8">
        <f aca="true" t="shared" si="5" ref="J18:J27">I18+J17</f>
        <v>21242.243229166663</v>
      </c>
      <c r="K18" s="8"/>
      <c r="L18" s="8">
        <f t="shared" si="1"/>
        <v>1308072.4698840387</v>
      </c>
    </row>
    <row r="19" spans="1:12" ht="15">
      <c r="A19" t="s">
        <v>16</v>
      </c>
      <c r="B19" s="12">
        <f aca="true" t="shared" si="6" ref="B19:B27">B18</f>
        <v>224007.16666666666</v>
      </c>
      <c r="C19" s="6">
        <f>'App 32 - Mar02 to Feb04 Revenue'!C$48</f>
        <v>227128.06793278316</v>
      </c>
      <c r="D19" s="8"/>
      <c r="E19" s="8">
        <f t="shared" si="0"/>
        <v>-3120.9012661165034</v>
      </c>
      <c r="F19" s="8">
        <f t="shared" si="2"/>
        <v>1283709.3253887556</v>
      </c>
      <c r="G19" s="8"/>
      <c r="H19" s="15">
        <f t="shared" si="3"/>
        <v>0.0725</v>
      </c>
      <c r="I19" s="8">
        <f>H19*F18/12</f>
        <v>7774.599286039851</v>
      </c>
      <c r="J19" s="8">
        <f>I19+J18</f>
        <v>29016.842515206514</v>
      </c>
      <c r="K19" s="8"/>
      <c r="L19" s="8">
        <f t="shared" si="1"/>
        <v>1312726.167903962</v>
      </c>
    </row>
    <row r="20" spans="1:12" ht="15">
      <c r="A20" t="s">
        <v>17</v>
      </c>
      <c r="B20" s="12">
        <f t="shared" si="6"/>
        <v>224007.16666666666</v>
      </c>
      <c r="C20" s="6">
        <f>'App 32 - Mar02 to Feb04 Revenue'!D$48</f>
        <v>292398.56454542215</v>
      </c>
      <c r="D20" s="8"/>
      <c r="E20" s="8">
        <f t="shared" si="0"/>
        <v>-68391.3978787555</v>
      </c>
      <c r="F20" s="8">
        <f t="shared" si="2"/>
        <v>1215317.92751</v>
      </c>
      <c r="G20" s="8"/>
      <c r="H20" s="15">
        <f t="shared" si="3"/>
        <v>0.0725</v>
      </c>
      <c r="I20" s="8">
        <f t="shared" si="4"/>
        <v>7755.743840890398</v>
      </c>
      <c r="J20" s="8">
        <f t="shared" si="5"/>
        <v>36772.586356096916</v>
      </c>
      <c r="K20" s="8"/>
      <c r="L20" s="8">
        <f t="shared" si="1"/>
        <v>1252090.513866097</v>
      </c>
    </row>
    <row r="21" spans="1:12" ht="15">
      <c r="A21" t="s">
        <v>18</v>
      </c>
      <c r="B21" s="12">
        <f t="shared" si="6"/>
        <v>224007.16666666666</v>
      </c>
      <c r="C21" s="6">
        <f>'App 32 - Mar02 to Feb04 Revenue'!E$48</f>
        <v>228767.95069201273</v>
      </c>
      <c r="D21" s="8"/>
      <c r="E21" s="8">
        <f t="shared" si="0"/>
        <v>-4760.7840253460745</v>
      </c>
      <c r="F21" s="8">
        <f t="shared" si="2"/>
        <v>1210557.143484654</v>
      </c>
      <c r="G21" s="8"/>
      <c r="H21" s="15">
        <f t="shared" si="3"/>
        <v>0.0725</v>
      </c>
      <c r="I21" s="8">
        <f t="shared" si="4"/>
        <v>7342.545812039582</v>
      </c>
      <c r="J21" s="8">
        <f t="shared" si="5"/>
        <v>44115.1321681365</v>
      </c>
      <c r="K21" s="8"/>
      <c r="L21" s="8">
        <f t="shared" si="1"/>
        <v>1254672.2756527904</v>
      </c>
    </row>
    <row r="22" spans="1:12" ht="15">
      <c r="A22" t="s">
        <v>19</v>
      </c>
      <c r="B22" s="12">
        <f t="shared" si="6"/>
        <v>224007.16666666666</v>
      </c>
      <c r="C22" s="6">
        <f>'App 32 - Mar02 to Feb04 Revenue'!F$48</f>
        <v>242178.57435022306</v>
      </c>
      <c r="D22" s="6">
        <v>0</v>
      </c>
      <c r="E22" s="8">
        <f t="shared" si="0"/>
        <v>-18171.407683556405</v>
      </c>
      <c r="F22" s="8">
        <f t="shared" si="2"/>
        <v>1192385.7358010975</v>
      </c>
      <c r="G22" s="8"/>
      <c r="H22" s="15">
        <f t="shared" si="3"/>
        <v>0.0725</v>
      </c>
      <c r="I22" s="8">
        <f t="shared" si="4"/>
        <v>7313.78274188645</v>
      </c>
      <c r="J22" s="8">
        <f t="shared" si="5"/>
        <v>51428.91491002295</v>
      </c>
      <c r="K22" s="8"/>
      <c r="L22" s="8">
        <f t="shared" si="1"/>
        <v>1243814.6507111203</v>
      </c>
    </row>
    <row r="23" spans="1:12" ht="15">
      <c r="A23" t="s">
        <v>20</v>
      </c>
      <c r="B23" s="12">
        <f t="shared" si="6"/>
        <v>224007.16666666666</v>
      </c>
      <c r="C23" s="6">
        <f>'App 32 - Mar02 to Feb04 Revenue'!G$48</f>
        <v>302695.68224320305</v>
      </c>
      <c r="D23" s="8"/>
      <c r="E23" s="8">
        <f t="shared" si="0"/>
        <v>-78688.51557653639</v>
      </c>
      <c r="F23" s="8">
        <f t="shared" si="2"/>
        <v>1113697.2202245612</v>
      </c>
      <c r="G23" s="8"/>
      <c r="H23" s="15">
        <f t="shared" si="3"/>
        <v>0.0725</v>
      </c>
      <c r="I23" s="8">
        <f t="shared" si="4"/>
        <v>7203.9971537982965</v>
      </c>
      <c r="J23" s="8">
        <f t="shared" si="5"/>
        <v>58632.91206382125</v>
      </c>
      <c r="K23" s="8"/>
      <c r="L23" s="8">
        <f t="shared" si="1"/>
        <v>1172330.1322883824</v>
      </c>
    </row>
    <row r="24" spans="1:12" ht="15">
      <c r="A24" t="s">
        <v>21</v>
      </c>
      <c r="B24" s="12">
        <f t="shared" si="6"/>
        <v>224007.16666666666</v>
      </c>
      <c r="C24" s="6">
        <f>'App 32 - Mar02 to Feb04 Revenue'!H$48</f>
        <v>305073.6226430278</v>
      </c>
      <c r="D24" s="8"/>
      <c r="E24" s="8">
        <f t="shared" si="0"/>
        <v>-81066.45597636115</v>
      </c>
      <c r="F24" s="8">
        <f t="shared" si="2"/>
        <v>1032630.7642482</v>
      </c>
      <c r="G24" s="8"/>
      <c r="H24" s="15">
        <f t="shared" si="3"/>
        <v>0.0725</v>
      </c>
      <c r="I24" s="8">
        <f t="shared" si="4"/>
        <v>6728.587372190057</v>
      </c>
      <c r="J24" s="8">
        <f t="shared" si="5"/>
        <v>65361.499436011305</v>
      </c>
      <c r="K24" s="8"/>
      <c r="L24" s="8">
        <f t="shared" si="1"/>
        <v>1097992.2636842113</v>
      </c>
    </row>
    <row r="25" spans="1:12" ht="15">
      <c r="A25" t="s">
        <v>10</v>
      </c>
      <c r="B25" s="12">
        <f t="shared" si="6"/>
        <v>224007.16666666666</v>
      </c>
      <c r="C25" s="6">
        <f>'App 32 - Mar02 to Feb04 Revenue'!I$48</f>
        <v>345431.1431225602</v>
      </c>
      <c r="D25" s="8"/>
      <c r="E25" s="8">
        <f t="shared" si="0"/>
        <v>-121423.97645589357</v>
      </c>
      <c r="F25" s="8">
        <f t="shared" si="2"/>
        <v>911206.7877923064</v>
      </c>
      <c r="G25" s="8"/>
      <c r="H25" s="15">
        <f t="shared" si="3"/>
        <v>0.0725</v>
      </c>
      <c r="I25" s="8">
        <f t="shared" si="4"/>
        <v>6238.810867332874</v>
      </c>
      <c r="J25" s="8">
        <f t="shared" si="5"/>
        <v>71600.31030334417</v>
      </c>
      <c r="K25" s="8"/>
      <c r="L25" s="8">
        <f t="shared" si="1"/>
        <v>982807.0980956506</v>
      </c>
    </row>
    <row r="26" spans="1:12" ht="15">
      <c r="A26" t="s">
        <v>11</v>
      </c>
      <c r="B26" s="12">
        <f t="shared" si="6"/>
        <v>224007.16666666666</v>
      </c>
      <c r="C26" s="6">
        <f>'App 32 - Mar02 to Feb04 Revenue'!J$48</f>
        <v>266793.32796557987</v>
      </c>
      <c r="D26" s="8"/>
      <c r="E26" s="8">
        <f t="shared" si="0"/>
        <v>-42786.16129891321</v>
      </c>
      <c r="F26" s="8">
        <f t="shared" si="2"/>
        <v>868420.6264933932</v>
      </c>
      <c r="G26" s="8"/>
      <c r="H26" s="15">
        <f t="shared" si="3"/>
        <v>0.0725</v>
      </c>
      <c r="I26" s="8">
        <f t="shared" si="4"/>
        <v>5505.207676245184</v>
      </c>
      <c r="J26" s="8">
        <f t="shared" si="5"/>
        <v>77105.51797958936</v>
      </c>
      <c r="K26" s="8"/>
      <c r="L26" s="8">
        <f t="shared" si="1"/>
        <v>945526.1444729826</v>
      </c>
    </row>
    <row r="27" spans="1:12" ht="15">
      <c r="A27" t="s">
        <v>12</v>
      </c>
      <c r="B27" s="13">
        <f t="shared" si="6"/>
        <v>224007.16666666666</v>
      </c>
      <c r="C27" s="7">
        <f>'App 32 - Mar02 to Feb04 Revenue'!K$48</f>
        <v>257223.7216165943</v>
      </c>
      <c r="D27" s="14"/>
      <c r="E27" s="14">
        <f t="shared" si="0"/>
        <v>-33216.55494992764</v>
      </c>
      <c r="F27" s="14">
        <f t="shared" si="2"/>
        <v>835204.0715434656</v>
      </c>
      <c r="G27" s="14"/>
      <c r="H27" s="17">
        <f t="shared" si="3"/>
        <v>0.0725</v>
      </c>
      <c r="I27" s="14">
        <f t="shared" si="4"/>
        <v>5246.707951730917</v>
      </c>
      <c r="J27" s="14">
        <f t="shared" si="5"/>
        <v>82352.22593132028</v>
      </c>
      <c r="K27" s="14"/>
      <c r="L27" s="14">
        <f t="shared" si="1"/>
        <v>917556.2974747859</v>
      </c>
    </row>
    <row r="28" spans="1:12" ht="15">
      <c r="A28" s="2" t="s">
        <v>13</v>
      </c>
      <c r="B28" s="8">
        <f>SUM(B16:B27)</f>
        <v>2688086</v>
      </c>
      <c r="C28" s="8">
        <f>SUM(C16:C27)</f>
        <v>2563865.928456534</v>
      </c>
      <c r="D28" s="8">
        <f>SUM(D16:D27)</f>
        <v>0</v>
      </c>
      <c r="E28" s="8">
        <f>SUM(E16:E27)</f>
        <v>124220.07154346557</v>
      </c>
      <c r="F28" s="8"/>
      <c r="G28" s="8"/>
      <c r="I28" s="8">
        <f>SUM(I16:I27)</f>
        <v>78056.69759798695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7" t="str">
        <f>$D$5</f>
        <v>SIMPILS True-Up Adjustments    (neg = CR)</v>
      </c>
      <c r="E32" s="66" t="s">
        <v>14</v>
      </c>
      <c r="F32" s="66"/>
      <c r="G32" s="10"/>
      <c r="H32" s="66" t="s">
        <v>15</v>
      </c>
      <c r="I32" s="66"/>
      <c r="J32" s="66"/>
      <c r="K32" s="10"/>
      <c r="L32" s="67" t="s">
        <v>5</v>
      </c>
    </row>
    <row r="33" spans="2:12" ht="45">
      <c r="B33" s="11" t="s">
        <v>2</v>
      </c>
      <c r="C33" s="11" t="s">
        <v>3</v>
      </c>
      <c r="D33" s="67"/>
      <c r="E33" s="10" t="s">
        <v>4</v>
      </c>
      <c r="F33" s="10" t="s">
        <v>65</v>
      </c>
      <c r="G33" s="10"/>
      <c r="H33" s="16" t="s">
        <v>6</v>
      </c>
      <c r="I33" s="10" t="s">
        <v>4</v>
      </c>
      <c r="J33" s="10" t="s">
        <v>65</v>
      </c>
      <c r="K33" s="10"/>
      <c r="L33" s="67"/>
    </row>
    <row r="34" spans="1:12" ht="15">
      <c r="A34" t="s">
        <v>7</v>
      </c>
      <c r="B34" s="6">
        <f>'PILS Entitlement Summary'!H5</f>
        <v>283255.8333333333</v>
      </c>
      <c r="C34" s="6">
        <f>'App 32 - Mar02 to Feb04 Revenue'!L$48</f>
        <v>297703.4791815474</v>
      </c>
      <c r="D34" s="8"/>
      <c r="E34" s="8">
        <f aca="true" t="shared" si="7" ref="E34:E45">B34-C34+D34</f>
        <v>-14447.645848214102</v>
      </c>
      <c r="F34" s="8">
        <f>F27+E34</f>
        <v>820756.4256952514</v>
      </c>
      <c r="G34" s="8"/>
      <c r="H34" s="15">
        <f>H27</f>
        <v>0.0725</v>
      </c>
      <c r="I34" s="8">
        <f>H34*F27/12</f>
        <v>5046.024598908438</v>
      </c>
      <c r="J34" s="8">
        <f>J27+I34</f>
        <v>87398.25053022872</v>
      </c>
      <c r="K34" s="8"/>
      <c r="L34" s="8">
        <f aca="true" t="shared" si="8" ref="L34:L45">F34+J34</f>
        <v>908154.6762254802</v>
      </c>
    </row>
    <row r="35" spans="1:12" ht="15">
      <c r="A35" t="s">
        <v>8</v>
      </c>
      <c r="B35" s="12">
        <f>B34</f>
        <v>283255.8333333333</v>
      </c>
      <c r="C35" s="6">
        <f>'App 32 - Mar02 to Feb04 Revenue'!M$48</f>
        <v>349849.464970583</v>
      </c>
      <c r="D35" s="8"/>
      <c r="E35" s="8">
        <f t="shared" si="7"/>
        <v>-66593.63163724967</v>
      </c>
      <c r="F35" s="8">
        <f>F34+E35</f>
        <v>754162.7940580018</v>
      </c>
      <c r="G35" s="8"/>
      <c r="H35" s="15">
        <f>H34</f>
        <v>0.0725</v>
      </c>
      <c r="I35" s="8">
        <f>H35*F34/12</f>
        <v>4958.736738575477</v>
      </c>
      <c r="J35" s="8">
        <f>I35+J34</f>
        <v>92356.9872688042</v>
      </c>
      <c r="K35" s="8"/>
      <c r="L35" s="8">
        <f t="shared" si="8"/>
        <v>846519.781326806</v>
      </c>
    </row>
    <row r="36" spans="1:12" ht="15">
      <c r="A36" t="s">
        <v>9</v>
      </c>
      <c r="B36" s="12">
        <f aca="true" t="shared" si="9" ref="B36:B45">B35</f>
        <v>283255.8333333333</v>
      </c>
      <c r="C36" s="6">
        <f>'App 32 - Mar02 to Feb04 Revenue'!N$48</f>
        <v>312866.68043172086</v>
      </c>
      <c r="D36" s="8"/>
      <c r="E36" s="8">
        <f t="shared" si="7"/>
        <v>-29610.847098387545</v>
      </c>
      <c r="F36" s="8">
        <f aca="true" t="shared" si="10" ref="F36:F45">F35+E36</f>
        <v>724551.9469596143</v>
      </c>
      <c r="G36" s="8"/>
      <c r="H36" s="15">
        <f aca="true" t="shared" si="11" ref="H36:H45">H35</f>
        <v>0.0725</v>
      </c>
      <c r="I36" s="8">
        <f>H36*F35/12</f>
        <v>4556.400214100428</v>
      </c>
      <c r="J36" s="8">
        <f>I36+J35</f>
        <v>96913.38748290463</v>
      </c>
      <c r="K36" s="8"/>
      <c r="L36" s="8">
        <f t="shared" si="8"/>
        <v>821465.3344425189</v>
      </c>
    </row>
    <row r="37" spans="1:12" ht="15">
      <c r="A37" t="s">
        <v>16</v>
      </c>
      <c r="B37" s="12">
        <f t="shared" si="9"/>
        <v>283255.8333333333</v>
      </c>
      <c r="C37" s="6">
        <f>'App 32 - Mar02 to Feb04 Revenue'!O$48</f>
        <v>300780.77831937745</v>
      </c>
      <c r="D37" s="8"/>
      <c r="E37" s="8">
        <f t="shared" si="7"/>
        <v>-17524.94498604414</v>
      </c>
      <c r="F37" s="8">
        <f t="shared" si="10"/>
        <v>707027.0019735701</v>
      </c>
      <c r="G37" s="8"/>
      <c r="H37" s="15">
        <f t="shared" si="11"/>
        <v>0.0725</v>
      </c>
      <c r="I37" s="8">
        <f>H37*F36/12</f>
        <v>4377.501346214336</v>
      </c>
      <c r="J37" s="8">
        <f>I37+J36</f>
        <v>101290.88882911897</v>
      </c>
      <c r="K37" s="8"/>
      <c r="L37" s="8">
        <f t="shared" si="8"/>
        <v>808317.890802689</v>
      </c>
    </row>
    <row r="38" spans="1:12" ht="15">
      <c r="A38" t="s">
        <v>17</v>
      </c>
      <c r="B38" s="12">
        <f t="shared" si="9"/>
        <v>283255.8333333333</v>
      </c>
      <c r="C38" s="6">
        <f>'App 32 - Mar02 to Feb04 Revenue'!P$48</f>
        <v>278734.840672672</v>
      </c>
      <c r="D38" s="8"/>
      <c r="E38" s="8">
        <f t="shared" si="7"/>
        <v>4520.992660661286</v>
      </c>
      <c r="F38" s="8">
        <f t="shared" si="10"/>
        <v>711547.9946342313</v>
      </c>
      <c r="G38" s="8"/>
      <c r="H38" s="15">
        <f t="shared" si="11"/>
        <v>0.0725</v>
      </c>
      <c r="I38" s="8">
        <f aca="true" t="shared" si="12" ref="I38:I45">H38*F37/12</f>
        <v>4271.621470256986</v>
      </c>
      <c r="J38" s="8">
        <f aca="true" t="shared" si="13" ref="J38:J45">I38+J37</f>
        <v>105562.51029937595</v>
      </c>
      <c r="K38" s="8"/>
      <c r="L38" s="8">
        <f t="shared" si="8"/>
        <v>817110.5049336073</v>
      </c>
    </row>
    <row r="39" spans="1:12" ht="15">
      <c r="A39" t="s">
        <v>18</v>
      </c>
      <c r="B39" s="12">
        <f t="shared" si="9"/>
        <v>283255.8333333333</v>
      </c>
      <c r="C39" s="6">
        <f>'App 32 - Mar02 to Feb04 Revenue'!Q$48</f>
        <v>267035.00422207976</v>
      </c>
      <c r="D39" s="8"/>
      <c r="E39" s="8">
        <f t="shared" si="7"/>
        <v>16220.829111253552</v>
      </c>
      <c r="F39" s="8">
        <f t="shared" si="10"/>
        <v>727768.8237454849</v>
      </c>
      <c r="G39" s="8"/>
      <c r="H39" s="15">
        <f t="shared" si="11"/>
        <v>0.0725</v>
      </c>
      <c r="I39" s="8">
        <f t="shared" si="12"/>
        <v>4298.935800915147</v>
      </c>
      <c r="J39" s="8">
        <f t="shared" si="13"/>
        <v>109861.4461002911</v>
      </c>
      <c r="K39" s="8"/>
      <c r="L39" s="8">
        <f t="shared" si="8"/>
        <v>837630.269845776</v>
      </c>
    </row>
    <row r="40" spans="1:12" ht="15">
      <c r="A40" t="s">
        <v>19</v>
      </c>
      <c r="B40" s="12">
        <f t="shared" si="9"/>
        <v>283255.8333333333</v>
      </c>
      <c r="C40" s="6">
        <f>'App 32 - Mar02 to Feb04 Revenue'!R$48</f>
        <v>286248.93985374353</v>
      </c>
      <c r="D40" s="6">
        <v>0</v>
      </c>
      <c r="E40" s="8">
        <f t="shared" si="7"/>
        <v>-2993.1065204102197</v>
      </c>
      <c r="F40" s="8">
        <f t="shared" si="10"/>
        <v>724775.7172250748</v>
      </c>
      <c r="G40" s="8"/>
      <c r="H40" s="15">
        <f t="shared" si="11"/>
        <v>0.0725</v>
      </c>
      <c r="I40" s="8">
        <f t="shared" si="12"/>
        <v>4396.936643462304</v>
      </c>
      <c r="J40" s="8">
        <f t="shared" si="13"/>
        <v>114258.3827437534</v>
      </c>
      <c r="K40" s="8"/>
      <c r="L40" s="8">
        <f t="shared" si="8"/>
        <v>839034.0999688281</v>
      </c>
    </row>
    <row r="41" spans="1:12" ht="15">
      <c r="A41" t="s">
        <v>20</v>
      </c>
      <c r="B41" s="12">
        <f t="shared" si="9"/>
        <v>283255.8333333333</v>
      </c>
      <c r="C41" s="6">
        <f>'App 32 - Mar02 to Feb04 Revenue'!S$48</f>
        <v>274067.77695792593</v>
      </c>
      <c r="D41" s="8"/>
      <c r="E41" s="8">
        <f t="shared" si="7"/>
        <v>9188.056375407381</v>
      </c>
      <c r="F41" s="8">
        <f t="shared" si="10"/>
        <v>733963.7736004821</v>
      </c>
      <c r="G41" s="8"/>
      <c r="H41" s="15">
        <f t="shared" si="11"/>
        <v>0.0725</v>
      </c>
      <c r="I41" s="8">
        <f t="shared" si="12"/>
        <v>4378.85329156816</v>
      </c>
      <c r="J41" s="8">
        <f t="shared" si="13"/>
        <v>118637.23603532156</v>
      </c>
      <c r="K41" s="8"/>
      <c r="L41" s="8">
        <f t="shared" si="8"/>
        <v>852601.0096358038</v>
      </c>
    </row>
    <row r="42" spans="1:12" ht="15">
      <c r="A42" t="s">
        <v>21</v>
      </c>
      <c r="B42" s="12">
        <f t="shared" si="9"/>
        <v>283255.8333333333</v>
      </c>
      <c r="C42" s="6">
        <f>'App 32 - Mar02 to Feb04 Revenue'!T$48</f>
        <v>302847.7843326103</v>
      </c>
      <c r="D42" s="8"/>
      <c r="E42" s="8">
        <f t="shared" si="7"/>
        <v>-19591.950999277004</v>
      </c>
      <c r="F42" s="8">
        <f t="shared" si="10"/>
        <v>714371.8226012052</v>
      </c>
      <c r="G42" s="8"/>
      <c r="H42" s="15">
        <f t="shared" si="11"/>
        <v>0.0725</v>
      </c>
      <c r="I42" s="8">
        <f t="shared" si="12"/>
        <v>4434.364465502913</v>
      </c>
      <c r="J42" s="8">
        <f t="shared" si="13"/>
        <v>123071.60050082448</v>
      </c>
      <c r="K42" s="8"/>
      <c r="L42" s="8">
        <f t="shared" si="8"/>
        <v>837443.4231020297</v>
      </c>
    </row>
    <row r="43" spans="1:12" ht="15">
      <c r="A43" t="s">
        <v>10</v>
      </c>
      <c r="B43" s="12">
        <f t="shared" si="9"/>
        <v>283255.8333333333</v>
      </c>
      <c r="C43" s="6">
        <f>'App 32 - Mar02 to Feb04 Revenue'!U$48</f>
        <v>319001.46420480084</v>
      </c>
      <c r="D43" s="8"/>
      <c r="E43" s="8">
        <f t="shared" si="7"/>
        <v>-35745.630871467525</v>
      </c>
      <c r="F43" s="8">
        <f t="shared" si="10"/>
        <v>678626.1917297377</v>
      </c>
      <c r="G43" s="8"/>
      <c r="H43" s="15">
        <f t="shared" si="11"/>
        <v>0.0725</v>
      </c>
      <c r="I43" s="8">
        <f t="shared" si="12"/>
        <v>4315.996428215614</v>
      </c>
      <c r="J43" s="8">
        <f t="shared" si="13"/>
        <v>127387.5969290401</v>
      </c>
      <c r="K43" s="8"/>
      <c r="L43" s="8">
        <f t="shared" si="8"/>
        <v>806013.7886587777</v>
      </c>
    </row>
    <row r="44" spans="1:12" ht="15">
      <c r="A44" t="s">
        <v>11</v>
      </c>
      <c r="B44" s="12">
        <f t="shared" si="9"/>
        <v>283255.8333333333</v>
      </c>
      <c r="C44" s="6">
        <f>'App 32 - Mar02 to Feb04 Revenue'!V$48</f>
        <v>278055.1427733026</v>
      </c>
      <c r="D44" s="8"/>
      <c r="E44" s="8">
        <f t="shared" si="7"/>
        <v>5200.690560030693</v>
      </c>
      <c r="F44" s="8">
        <f t="shared" si="10"/>
        <v>683826.8822897684</v>
      </c>
      <c r="G44" s="8"/>
      <c r="H44" s="15">
        <f t="shared" si="11"/>
        <v>0.0725</v>
      </c>
      <c r="I44" s="8">
        <f t="shared" si="12"/>
        <v>4100.033241700498</v>
      </c>
      <c r="J44" s="8">
        <f t="shared" si="13"/>
        <v>131487.6301707406</v>
      </c>
      <c r="K44" s="8"/>
      <c r="L44" s="8">
        <f t="shared" si="8"/>
        <v>815314.5124605091</v>
      </c>
    </row>
    <row r="45" spans="1:12" ht="15">
      <c r="A45" t="s">
        <v>12</v>
      </c>
      <c r="B45" s="13">
        <f t="shared" si="9"/>
        <v>283255.8333333333</v>
      </c>
      <c r="C45" s="7">
        <f>'App 32 - Mar02 to Feb04 Revenue'!W$48</f>
        <v>299133.1385344759</v>
      </c>
      <c r="D45" s="14"/>
      <c r="E45" s="14">
        <f t="shared" si="7"/>
        <v>-15877.30520114256</v>
      </c>
      <c r="F45" s="14">
        <f t="shared" si="10"/>
        <v>667949.5770886259</v>
      </c>
      <c r="G45" s="14"/>
      <c r="H45" s="17">
        <f t="shared" si="11"/>
        <v>0.0725</v>
      </c>
      <c r="I45" s="14">
        <f t="shared" si="12"/>
        <v>4131.4540805006845</v>
      </c>
      <c r="J45" s="14">
        <f t="shared" si="13"/>
        <v>135619.0842512413</v>
      </c>
      <c r="K45" s="14"/>
      <c r="L45" s="14">
        <f t="shared" si="8"/>
        <v>803568.6613398672</v>
      </c>
    </row>
    <row r="46" spans="1:12" ht="15">
      <c r="A46" s="2" t="s">
        <v>13</v>
      </c>
      <c r="B46" s="8">
        <f>SUM(B34:B45)</f>
        <v>3399070.0000000005</v>
      </c>
      <c r="C46" s="8">
        <f>SUM(C34:C45)</f>
        <v>3566324.4944548397</v>
      </c>
      <c r="D46" s="8">
        <f>SUM(D34:D45)</f>
        <v>0</v>
      </c>
      <c r="E46" s="8">
        <f>SUM(E34:E45)</f>
        <v>-167254.49445483985</v>
      </c>
      <c r="F46" s="8"/>
      <c r="G46" s="8"/>
      <c r="I46" s="8">
        <f>SUM(I34:I45)</f>
        <v>53266.85831992098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7" t="str">
        <f>$D$5</f>
        <v>SIMPILS True-Up Adjustments    (neg = CR)</v>
      </c>
      <c r="E50" s="66" t="s">
        <v>14</v>
      </c>
      <c r="F50" s="66"/>
      <c r="G50" s="10"/>
      <c r="H50" s="66" t="s">
        <v>15</v>
      </c>
      <c r="I50" s="66"/>
      <c r="J50" s="66"/>
      <c r="K50" s="10"/>
      <c r="L50" s="67" t="s">
        <v>5</v>
      </c>
    </row>
    <row r="51" spans="2:12" ht="45">
      <c r="B51" s="11" t="s">
        <v>2</v>
      </c>
      <c r="C51" s="11" t="s">
        <v>3</v>
      </c>
      <c r="D51" s="67"/>
      <c r="E51" s="10" t="s">
        <v>4</v>
      </c>
      <c r="F51" s="10" t="s">
        <v>65</v>
      </c>
      <c r="G51" s="10"/>
      <c r="H51" s="16" t="s">
        <v>6</v>
      </c>
      <c r="I51" s="10" t="s">
        <v>4</v>
      </c>
      <c r="J51" s="10" t="s">
        <v>65</v>
      </c>
      <c r="K51" s="10"/>
      <c r="L51" s="67"/>
    </row>
    <row r="52" spans="1:12" ht="15">
      <c r="A52" t="s">
        <v>7</v>
      </c>
      <c r="B52" s="6">
        <f>'PILS Entitlement Summary'!H6</f>
        <v>283255.8333333333</v>
      </c>
      <c r="C52" s="6">
        <f>'App 32 - Mar02 to Feb04 Revenue'!X$48</f>
        <v>313583.09540723014</v>
      </c>
      <c r="D52" s="8"/>
      <c r="E52" s="8">
        <f aca="true" t="shared" si="14" ref="E52:E63">B52-C52+D52</f>
        <v>-30327.262073896825</v>
      </c>
      <c r="F52" s="8">
        <f>F45+E52</f>
        <v>637622.315014729</v>
      </c>
      <c r="G52" s="8"/>
      <c r="H52" s="15">
        <f>H45</f>
        <v>0.0725</v>
      </c>
      <c r="I52" s="8">
        <f>H52*F45/12</f>
        <v>4035.528694910448</v>
      </c>
      <c r="J52" s="8">
        <f>J45+I52</f>
        <v>139654.61294615173</v>
      </c>
      <c r="K52" s="8"/>
      <c r="L52" s="8">
        <f aca="true" t="shared" si="15" ref="L52:L63">F52+J52</f>
        <v>777276.9279608808</v>
      </c>
    </row>
    <row r="53" spans="1:12" ht="15">
      <c r="A53" t="s">
        <v>8</v>
      </c>
      <c r="B53" s="12">
        <f>B52</f>
        <v>283255.8333333333</v>
      </c>
      <c r="C53" s="6">
        <f>'App 32 - Mar02 to Feb04 Revenue'!Y$48</f>
        <v>301075.9987580417</v>
      </c>
      <c r="D53" s="8"/>
      <c r="E53" s="8">
        <f t="shared" si="14"/>
        <v>-17820.165424708393</v>
      </c>
      <c r="F53" s="8">
        <f>F52+E53</f>
        <v>619802.1495900207</v>
      </c>
      <c r="G53" s="8"/>
      <c r="H53" s="15">
        <f>H52</f>
        <v>0.0725</v>
      </c>
      <c r="I53" s="8">
        <f>H53*F52/12</f>
        <v>3852.301486547321</v>
      </c>
      <c r="J53" s="8">
        <f>I53+J52</f>
        <v>143506.91443269904</v>
      </c>
      <c r="K53" s="8"/>
      <c r="L53" s="8">
        <f t="shared" si="15"/>
        <v>763309.0640227196</v>
      </c>
    </row>
    <row r="54" spans="1:14" ht="15">
      <c r="A54" t="s">
        <v>9</v>
      </c>
      <c r="B54" s="12">
        <f>B53</f>
        <v>283255.8333333333</v>
      </c>
      <c r="C54" s="6">
        <f>'App 32 - Mar02 to Feb04 Revenue'!Z48</f>
        <v>318849.77890372416</v>
      </c>
      <c r="D54" s="8"/>
      <c r="E54" s="8">
        <f t="shared" si="14"/>
        <v>-35593.945570390846</v>
      </c>
      <c r="F54" s="8">
        <f aca="true" t="shared" si="16" ref="F54:F63">F53+E54</f>
        <v>584208.2040196299</v>
      </c>
      <c r="G54" s="8"/>
      <c r="H54" s="15">
        <f aca="true" t="shared" si="17" ref="H54:H63">H53</f>
        <v>0.0725</v>
      </c>
      <c r="I54" s="8">
        <f>H54*F53/12</f>
        <v>3744.6379871063746</v>
      </c>
      <c r="J54" s="8">
        <f>I54+J53</f>
        <v>147251.5524198054</v>
      </c>
      <c r="K54" s="8"/>
      <c r="L54" s="8">
        <f t="shared" si="15"/>
        <v>731459.7564394353</v>
      </c>
      <c r="N54" s="21"/>
    </row>
    <row r="55" spans="1:12" ht="15">
      <c r="A55" t="s">
        <v>16</v>
      </c>
      <c r="B55" s="6">
        <f>'PILS Entitlement Summary'!H7</f>
        <v>224007.16666666666</v>
      </c>
      <c r="C55" s="6">
        <f>'App 33 - Mar04 to Feb05 Revenue'!B$36+'App 32 - Mar02 to Feb04 Revenue'!AA48</f>
        <v>260015.2320482299</v>
      </c>
      <c r="D55" s="8"/>
      <c r="E55" s="8">
        <f t="shared" si="14"/>
        <v>-36008.06538156324</v>
      </c>
      <c r="F55" s="8">
        <f t="shared" si="16"/>
        <v>548200.1386380666</v>
      </c>
      <c r="G55" s="8"/>
      <c r="H55" s="15">
        <f t="shared" si="17"/>
        <v>0.0725</v>
      </c>
      <c r="I55" s="8">
        <f>H55*F54/12</f>
        <v>3529.591232618597</v>
      </c>
      <c r="J55" s="8">
        <f>I55+J54</f>
        <v>150781.143652424</v>
      </c>
      <c r="K55" s="8"/>
      <c r="L55" s="8">
        <f t="shared" si="15"/>
        <v>698981.2822904906</v>
      </c>
    </row>
    <row r="56" spans="1:12" ht="15">
      <c r="A56" t="s">
        <v>17</v>
      </c>
      <c r="B56" s="20">
        <f>B55</f>
        <v>224007.16666666666</v>
      </c>
      <c r="C56" s="6">
        <f>'App 33 - Mar04 to Feb05 Revenue'!C$36+'App 32 - Mar02 to Feb04 Revenue'!AB48</f>
        <v>211474.21760842216</v>
      </c>
      <c r="D56" s="8"/>
      <c r="E56" s="8">
        <f t="shared" si="14"/>
        <v>12532.9490582445</v>
      </c>
      <c r="F56" s="8">
        <f t="shared" si="16"/>
        <v>560733.0876963111</v>
      </c>
      <c r="G56" s="8"/>
      <c r="H56" s="15">
        <f t="shared" si="17"/>
        <v>0.0725</v>
      </c>
      <c r="I56" s="8">
        <f aca="true" t="shared" si="18" ref="I56:I63">H56*F55/12</f>
        <v>3312.042504271652</v>
      </c>
      <c r="J56" s="8">
        <f aca="true" t="shared" si="19" ref="J56:J63">I56+J55</f>
        <v>154093.18615669565</v>
      </c>
      <c r="K56" s="8"/>
      <c r="L56" s="8">
        <f t="shared" si="15"/>
        <v>714826.2738530068</v>
      </c>
    </row>
    <row r="57" spans="1:12" ht="15">
      <c r="A57" t="s">
        <v>18</v>
      </c>
      <c r="B57" s="20">
        <f aca="true" t="shared" si="20" ref="B57:B63">B56</f>
        <v>224007.16666666666</v>
      </c>
      <c r="C57" s="6">
        <f>'App 33 - Mar04 to Feb05 Revenue'!D$36</f>
        <v>196419.81238500716</v>
      </c>
      <c r="D57" s="8"/>
      <c r="E57" s="8">
        <f t="shared" si="14"/>
        <v>27587.3542816595</v>
      </c>
      <c r="F57" s="8">
        <f t="shared" si="16"/>
        <v>588320.4419779705</v>
      </c>
      <c r="G57" s="8"/>
      <c r="H57" s="15">
        <f t="shared" si="17"/>
        <v>0.0725</v>
      </c>
      <c r="I57" s="8">
        <f t="shared" si="18"/>
        <v>3387.7624048318794</v>
      </c>
      <c r="J57" s="8">
        <f t="shared" si="19"/>
        <v>157480.94856152753</v>
      </c>
      <c r="K57" s="8"/>
      <c r="L57" s="8">
        <f t="shared" si="15"/>
        <v>745801.3905394981</v>
      </c>
    </row>
    <row r="58" spans="1:12" ht="15">
      <c r="A58" t="s">
        <v>19</v>
      </c>
      <c r="B58" s="20">
        <f t="shared" si="20"/>
        <v>224007.16666666666</v>
      </c>
      <c r="C58" s="6">
        <f>'App 33 - Mar04 to Feb05 Revenue'!E$36</f>
        <v>201975.3967017175</v>
      </c>
      <c r="D58" s="6">
        <v>-115730</v>
      </c>
      <c r="E58" s="8">
        <f t="shared" si="14"/>
        <v>-93698.23003505083</v>
      </c>
      <c r="F58" s="8">
        <f t="shared" si="16"/>
        <v>494622.2119429197</v>
      </c>
      <c r="G58" s="8"/>
      <c r="H58" s="15">
        <f t="shared" si="17"/>
        <v>0.0725</v>
      </c>
      <c r="I58" s="8">
        <f t="shared" si="18"/>
        <v>3554.436003616905</v>
      </c>
      <c r="J58" s="8">
        <f t="shared" si="19"/>
        <v>161035.38456514443</v>
      </c>
      <c r="K58" s="8"/>
      <c r="L58" s="8">
        <f t="shared" si="15"/>
        <v>655657.5965080641</v>
      </c>
    </row>
    <row r="59" spans="1:12" ht="15">
      <c r="A59" t="s">
        <v>20</v>
      </c>
      <c r="B59" s="20">
        <f t="shared" si="20"/>
        <v>224007.16666666666</v>
      </c>
      <c r="C59" s="6">
        <f>'App 33 - Mar04 to Feb05 Revenue'!F$36</f>
        <v>204675.7792584999</v>
      </c>
      <c r="D59" s="8"/>
      <c r="E59" s="8">
        <f t="shared" si="14"/>
        <v>19331.387408166745</v>
      </c>
      <c r="F59" s="8">
        <f t="shared" si="16"/>
        <v>513953.5993510864</v>
      </c>
      <c r="G59" s="8"/>
      <c r="H59" s="15">
        <f t="shared" si="17"/>
        <v>0.0725</v>
      </c>
      <c r="I59" s="8">
        <f t="shared" si="18"/>
        <v>2988.342530488473</v>
      </c>
      <c r="J59" s="8">
        <f t="shared" si="19"/>
        <v>164023.7270956329</v>
      </c>
      <c r="K59" s="8"/>
      <c r="L59" s="8">
        <f t="shared" si="15"/>
        <v>677977.3264467194</v>
      </c>
    </row>
    <row r="60" spans="1:12" ht="15">
      <c r="A60" t="s">
        <v>21</v>
      </c>
      <c r="B60" s="20">
        <f t="shared" si="20"/>
        <v>224007.16666666666</v>
      </c>
      <c r="C60" s="6">
        <f>'App 33 - Mar04 to Feb05 Revenue'!G$36</f>
        <v>219417.90524848498</v>
      </c>
      <c r="D60" s="8"/>
      <c r="E60" s="8">
        <f t="shared" si="14"/>
        <v>4589.261418181675</v>
      </c>
      <c r="F60" s="8">
        <f t="shared" si="16"/>
        <v>518542.8607692681</v>
      </c>
      <c r="G60" s="8"/>
      <c r="H60" s="15">
        <f t="shared" si="17"/>
        <v>0.0725</v>
      </c>
      <c r="I60" s="8">
        <f t="shared" si="18"/>
        <v>3105.1363294128137</v>
      </c>
      <c r="J60" s="8">
        <f t="shared" si="19"/>
        <v>167128.8634250457</v>
      </c>
      <c r="K60" s="8"/>
      <c r="L60" s="8">
        <f t="shared" si="15"/>
        <v>685671.7241943139</v>
      </c>
    </row>
    <row r="61" spans="1:12" ht="15">
      <c r="A61" t="s">
        <v>10</v>
      </c>
      <c r="B61" s="20">
        <f t="shared" si="20"/>
        <v>224007.16666666666</v>
      </c>
      <c r="C61" s="6">
        <f>'App 33 - Mar04 to Feb05 Revenue'!H$36</f>
        <v>191563.58250553688</v>
      </c>
      <c r="D61" s="8"/>
      <c r="E61" s="8">
        <f t="shared" si="14"/>
        <v>32443.58416112978</v>
      </c>
      <c r="F61" s="8">
        <f t="shared" si="16"/>
        <v>550986.4449303979</v>
      </c>
      <c r="G61" s="8"/>
      <c r="H61" s="15">
        <f t="shared" si="17"/>
        <v>0.0725</v>
      </c>
      <c r="I61" s="8">
        <f t="shared" si="18"/>
        <v>3132.8631171476613</v>
      </c>
      <c r="J61" s="8">
        <f t="shared" si="19"/>
        <v>170261.72654219338</v>
      </c>
      <c r="K61" s="8"/>
      <c r="L61" s="8">
        <f t="shared" si="15"/>
        <v>721248.1714725913</v>
      </c>
    </row>
    <row r="62" spans="1:12" ht="15">
      <c r="A62" t="s">
        <v>11</v>
      </c>
      <c r="B62" s="20">
        <f t="shared" si="20"/>
        <v>224007.16666666666</v>
      </c>
      <c r="C62" s="6">
        <f>'App 33 - Mar04 to Feb05 Revenue'!I$36</f>
        <v>191120.79217522856</v>
      </c>
      <c r="D62" s="8"/>
      <c r="E62" s="8">
        <f t="shared" si="14"/>
        <v>32886.374491438095</v>
      </c>
      <c r="F62" s="8">
        <f t="shared" si="16"/>
        <v>583872.819421836</v>
      </c>
      <c r="G62" s="8"/>
      <c r="H62" s="15">
        <f t="shared" si="17"/>
        <v>0.0725</v>
      </c>
      <c r="I62" s="8">
        <f t="shared" si="18"/>
        <v>3328.8764381211536</v>
      </c>
      <c r="J62" s="8">
        <f t="shared" si="19"/>
        <v>173590.60298031455</v>
      </c>
      <c r="K62" s="8"/>
      <c r="L62" s="8">
        <f t="shared" si="15"/>
        <v>757463.4224021505</v>
      </c>
    </row>
    <row r="63" spans="1:12" ht="15">
      <c r="A63" t="s">
        <v>12</v>
      </c>
      <c r="B63" s="13">
        <f t="shared" si="20"/>
        <v>224007.16666666666</v>
      </c>
      <c r="C63" s="7">
        <f>'App 33 - Mar04 to Feb05 Revenue'!J$36</f>
        <v>196633.00520104525</v>
      </c>
      <c r="D63" s="14"/>
      <c r="E63" s="14">
        <f t="shared" si="14"/>
        <v>27374.161465621408</v>
      </c>
      <c r="F63" s="14">
        <f t="shared" si="16"/>
        <v>611246.9808874574</v>
      </c>
      <c r="G63" s="14"/>
      <c r="H63" s="17">
        <f t="shared" si="17"/>
        <v>0.0725</v>
      </c>
      <c r="I63" s="14">
        <f t="shared" si="18"/>
        <v>3527.5649506735917</v>
      </c>
      <c r="J63" s="14">
        <f t="shared" si="19"/>
        <v>177118.16793098813</v>
      </c>
      <c r="K63" s="14"/>
      <c r="L63" s="14">
        <f t="shared" si="15"/>
        <v>788365.1488184455</v>
      </c>
    </row>
    <row r="64" spans="1:12" ht="15">
      <c r="A64" s="2" t="s">
        <v>13</v>
      </c>
      <c r="B64" s="8">
        <f>SUM(B52:B63)</f>
        <v>2865832</v>
      </c>
      <c r="C64" s="8">
        <f>SUM(C52:C63)</f>
        <v>2806804.5962011684</v>
      </c>
      <c r="D64" s="8">
        <f>SUM(D52:D63)</f>
        <v>-115730</v>
      </c>
      <c r="E64" s="8">
        <f>SUM(E52:E63)</f>
        <v>-56702.59620116843</v>
      </c>
      <c r="F64" s="8"/>
      <c r="G64" s="8"/>
      <c r="I64" s="8">
        <f>SUM(I52:I63)</f>
        <v>41499.08367974687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7" t="str">
        <f>$D$5</f>
        <v>SIMPILS True-Up Adjustments    (neg = CR)</v>
      </c>
      <c r="E68" s="66" t="s">
        <v>14</v>
      </c>
      <c r="F68" s="66"/>
      <c r="G68" s="10"/>
      <c r="H68" s="66" t="s">
        <v>15</v>
      </c>
      <c r="I68" s="66"/>
      <c r="J68" s="66"/>
      <c r="K68" s="10"/>
      <c r="L68" s="67" t="s">
        <v>5</v>
      </c>
    </row>
    <row r="69" spans="2:12" ht="45">
      <c r="B69" s="11" t="s">
        <v>2</v>
      </c>
      <c r="C69" s="11" t="s">
        <v>3</v>
      </c>
      <c r="D69" s="67"/>
      <c r="E69" s="10" t="s">
        <v>4</v>
      </c>
      <c r="F69" s="10" t="s">
        <v>65</v>
      </c>
      <c r="G69" s="10"/>
      <c r="H69" s="16" t="s">
        <v>6</v>
      </c>
      <c r="I69" s="10" t="s">
        <v>4</v>
      </c>
      <c r="J69" s="10" t="s">
        <v>65</v>
      </c>
      <c r="K69" s="10"/>
      <c r="L69" s="67"/>
    </row>
    <row r="70" spans="1:12" ht="15">
      <c r="A70" t="s">
        <v>7</v>
      </c>
      <c r="B70" s="12">
        <f>B63</f>
        <v>224007.16666666666</v>
      </c>
      <c r="C70" s="6">
        <f>'App 33 - Mar04 to Feb05 Revenue'!K$36</f>
        <v>214590.01223011932</v>
      </c>
      <c r="D70" s="8"/>
      <c r="E70" s="8">
        <f aca="true" t="shared" si="21" ref="E70:E81">B70-C70+D70</f>
        <v>9417.154436547338</v>
      </c>
      <c r="F70" s="8">
        <f>F63+E70</f>
        <v>620664.1353240047</v>
      </c>
      <c r="G70" s="8"/>
      <c r="H70" s="15">
        <f>H63</f>
        <v>0.0725</v>
      </c>
      <c r="I70" s="8">
        <f>H70*F63/12</f>
        <v>3692.950509528388</v>
      </c>
      <c r="J70" s="8">
        <f>J63+I70</f>
        <v>180811.11844051653</v>
      </c>
      <c r="K70" s="8"/>
      <c r="L70" s="8">
        <f aca="true" t="shared" si="22" ref="L70:L81">F70+J70</f>
        <v>801475.2537645212</v>
      </c>
    </row>
    <row r="71" spans="1:14" ht="15">
      <c r="A71" t="s">
        <v>8</v>
      </c>
      <c r="B71" s="12">
        <f>B63</f>
        <v>224007.16666666666</v>
      </c>
      <c r="C71" s="6">
        <f>'App 33 - Mar04 to Feb05 Revenue'!L$36</f>
        <v>230803.82845934512</v>
      </c>
      <c r="D71" s="8"/>
      <c r="E71" s="8">
        <f t="shared" si="21"/>
        <v>-6796.6617926784675</v>
      </c>
      <c r="F71" s="8">
        <f>F70+E71</f>
        <v>613867.4735313263</v>
      </c>
      <c r="G71" s="8"/>
      <c r="H71" s="15">
        <f>H70</f>
        <v>0.0725</v>
      </c>
      <c r="I71" s="8">
        <f>H71*F70/12</f>
        <v>3749.8458175825276</v>
      </c>
      <c r="J71" s="8">
        <f>I71+J70</f>
        <v>184560.96425809906</v>
      </c>
      <c r="K71" s="8"/>
      <c r="L71" s="8">
        <f t="shared" si="22"/>
        <v>798428.4377894254</v>
      </c>
      <c r="N71" s="21"/>
    </row>
    <row r="72" spans="1:12" ht="15">
      <c r="A72" t="s">
        <v>9</v>
      </c>
      <c r="B72" s="12">
        <f>B71</f>
        <v>224007.16666666666</v>
      </c>
      <c r="C72" s="6">
        <f>'App 34 - Mar05 to Apr06 Revenue'!B36+'App 33 - Mar04 to Feb05 Revenue'!M36</f>
        <v>222805.5605110142</v>
      </c>
      <c r="D72" s="8"/>
      <c r="E72" s="8">
        <f t="shared" si="21"/>
        <v>1201.6061556524655</v>
      </c>
      <c r="F72" s="8">
        <f aca="true" t="shared" si="23" ref="F72:F81">F71+E72</f>
        <v>615069.0796869787</v>
      </c>
      <c r="G72" s="8"/>
      <c r="H72" s="15">
        <f aca="true" t="shared" si="24" ref="H72:H81">H71</f>
        <v>0.0725</v>
      </c>
      <c r="I72" s="8">
        <f>H72*F71/12</f>
        <v>3708.782652585096</v>
      </c>
      <c r="J72" s="8">
        <f>I72+J71</f>
        <v>188269.74691068416</v>
      </c>
      <c r="K72" s="8"/>
      <c r="L72" s="8">
        <f t="shared" si="22"/>
        <v>803338.8265976629</v>
      </c>
    </row>
    <row r="73" spans="1:12" ht="15">
      <c r="A73" t="s">
        <v>16</v>
      </c>
      <c r="B73" s="6">
        <f>'PILS Entitlement Summary'!H8</f>
        <v>220141.41666666666</v>
      </c>
      <c r="C73" s="6">
        <f>'App 34 - Mar05 to Apr06 Revenue'!C$36+'App 33 - Mar04 to Feb05 Revenue'!N36</f>
        <v>247324.78870805612</v>
      </c>
      <c r="D73" s="8"/>
      <c r="E73" s="8">
        <f t="shared" si="21"/>
        <v>-27183.372041389463</v>
      </c>
      <c r="F73" s="8">
        <f t="shared" si="23"/>
        <v>587885.7076455893</v>
      </c>
      <c r="G73" s="8"/>
      <c r="H73" s="15">
        <f t="shared" si="24"/>
        <v>0.0725</v>
      </c>
      <c r="I73" s="8">
        <f>H73*F72/12</f>
        <v>3716.042356442163</v>
      </c>
      <c r="J73" s="8">
        <f>I73+J72</f>
        <v>191985.78926712633</v>
      </c>
      <c r="K73" s="8"/>
      <c r="L73" s="8">
        <f t="shared" si="22"/>
        <v>779871.4969127156</v>
      </c>
    </row>
    <row r="74" spans="1:12" ht="15">
      <c r="A74" t="s">
        <v>17</v>
      </c>
      <c r="B74" s="12">
        <f>B73</f>
        <v>220141.41666666666</v>
      </c>
      <c r="C74" s="6">
        <f>'App 34 - Mar05 to Apr06 Revenue'!D$36</f>
        <v>197929.57232508037</v>
      </c>
      <c r="D74" s="8"/>
      <c r="E74" s="8">
        <f t="shared" si="21"/>
        <v>22211.844341586286</v>
      </c>
      <c r="F74" s="8">
        <f t="shared" si="23"/>
        <v>610097.5519871756</v>
      </c>
      <c r="G74" s="8"/>
      <c r="H74" s="15">
        <f t="shared" si="24"/>
        <v>0.0725</v>
      </c>
      <c r="I74" s="8">
        <f aca="true" t="shared" si="25" ref="I74:I81">H74*F73/12</f>
        <v>3551.8094836921014</v>
      </c>
      <c r="J74" s="8">
        <f aca="true" t="shared" si="26" ref="J74:J81">I74+J73</f>
        <v>195537.59875081843</v>
      </c>
      <c r="K74" s="8"/>
      <c r="L74" s="8">
        <f t="shared" si="22"/>
        <v>805635.150737994</v>
      </c>
    </row>
    <row r="75" spans="1:12" ht="15">
      <c r="A75" t="s">
        <v>18</v>
      </c>
      <c r="B75" s="12">
        <f aca="true" t="shared" si="27" ref="B75:B81">B74</f>
        <v>220141.41666666666</v>
      </c>
      <c r="C75" s="6">
        <f>'App 34 - Mar05 to Apr06 Revenue'!E$36</f>
        <v>228733.01978588643</v>
      </c>
      <c r="D75" s="8"/>
      <c r="E75" s="8">
        <f t="shared" si="21"/>
        <v>-8591.60311921977</v>
      </c>
      <c r="F75" s="8">
        <f t="shared" si="23"/>
        <v>601505.9488679558</v>
      </c>
      <c r="G75" s="8"/>
      <c r="H75" s="15">
        <f t="shared" si="24"/>
        <v>0.0725</v>
      </c>
      <c r="I75" s="8">
        <f t="shared" si="25"/>
        <v>3686.0060432558525</v>
      </c>
      <c r="J75" s="8">
        <f t="shared" si="26"/>
        <v>199223.6047940743</v>
      </c>
      <c r="K75" s="8"/>
      <c r="L75" s="8">
        <f t="shared" si="22"/>
        <v>800729.5536620301</v>
      </c>
    </row>
    <row r="76" spans="1:12" ht="15">
      <c r="A76" t="s">
        <v>19</v>
      </c>
      <c r="B76" s="12">
        <f t="shared" si="27"/>
        <v>220141.41666666666</v>
      </c>
      <c r="C76" s="6">
        <f>'App 34 - Mar05 to Apr06 Revenue'!F$36</f>
        <v>216506.51359690342</v>
      </c>
      <c r="D76" s="6">
        <v>-208272</v>
      </c>
      <c r="E76" s="8">
        <f t="shared" si="21"/>
        <v>-204637.09693023676</v>
      </c>
      <c r="F76" s="8">
        <f t="shared" si="23"/>
        <v>396868.85193771904</v>
      </c>
      <c r="G76" s="8"/>
      <c r="H76" s="15">
        <f t="shared" si="24"/>
        <v>0.0725</v>
      </c>
      <c r="I76" s="8">
        <f t="shared" si="25"/>
        <v>3634.098441077233</v>
      </c>
      <c r="J76" s="8">
        <f t="shared" si="26"/>
        <v>202857.7032351515</v>
      </c>
      <c r="K76" s="8"/>
      <c r="L76" s="8">
        <f t="shared" si="22"/>
        <v>599726.5551728705</v>
      </c>
    </row>
    <row r="77" spans="1:12" ht="15">
      <c r="A77" t="s">
        <v>20</v>
      </c>
      <c r="B77" s="12">
        <f t="shared" si="27"/>
        <v>220141.41666666666</v>
      </c>
      <c r="C77" s="6">
        <f>'App 34 - Mar05 to Apr06 Revenue'!G$36</f>
        <v>309136.2609283657</v>
      </c>
      <c r="D77" s="8"/>
      <c r="E77" s="8">
        <f t="shared" si="21"/>
        <v>-88994.84426169904</v>
      </c>
      <c r="F77" s="8">
        <f t="shared" si="23"/>
        <v>307874.00767602003</v>
      </c>
      <c r="G77" s="8"/>
      <c r="H77" s="15">
        <f t="shared" si="24"/>
        <v>0.0725</v>
      </c>
      <c r="I77" s="8">
        <f t="shared" si="25"/>
        <v>2397.7493137903857</v>
      </c>
      <c r="J77" s="8">
        <f t="shared" si="26"/>
        <v>205255.4525489419</v>
      </c>
      <c r="K77" s="8"/>
      <c r="L77" s="8">
        <f t="shared" si="22"/>
        <v>513129.4602249619</v>
      </c>
    </row>
    <row r="78" spans="1:12" ht="15">
      <c r="A78" t="s">
        <v>21</v>
      </c>
      <c r="B78" s="12">
        <f t="shared" si="27"/>
        <v>220141.41666666666</v>
      </c>
      <c r="C78" s="6">
        <f>'App 34 - Mar05 to Apr06 Revenue'!H$36</f>
        <v>253987.21067747014</v>
      </c>
      <c r="D78" s="8"/>
      <c r="E78" s="8">
        <f t="shared" si="21"/>
        <v>-33845.79401080348</v>
      </c>
      <c r="F78" s="8">
        <f t="shared" si="23"/>
        <v>274028.2136652166</v>
      </c>
      <c r="G78" s="8"/>
      <c r="H78" s="15">
        <f t="shared" si="24"/>
        <v>0.0725</v>
      </c>
      <c r="I78" s="8">
        <f t="shared" si="25"/>
        <v>1860.0721297092875</v>
      </c>
      <c r="J78" s="8">
        <f t="shared" si="26"/>
        <v>207115.52467865119</v>
      </c>
      <c r="K78" s="8"/>
      <c r="L78" s="8">
        <f t="shared" si="22"/>
        <v>481143.73834386776</v>
      </c>
    </row>
    <row r="79" spans="1:12" ht="15">
      <c r="A79" t="s">
        <v>10</v>
      </c>
      <c r="B79" s="12">
        <f t="shared" si="27"/>
        <v>220141.41666666666</v>
      </c>
      <c r="C79" s="6">
        <f>'App 34 - Mar05 to Apr06 Revenue'!I$36</f>
        <v>236523.5170606197</v>
      </c>
      <c r="D79" s="8"/>
      <c r="E79" s="8">
        <f t="shared" si="21"/>
        <v>-16382.100393953035</v>
      </c>
      <c r="F79" s="8">
        <f t="shared" si="23"/>
        <v>257646.11327126354</v>
      </c>
      <c r="G79" s="8"/>
      <c r="H79" s="15">
        <f t="shared" si="24"/>
        <v>0.0725</v>
      </c>
      <c r="I79" s="8">
        <f t="shared" si="25"/>
        <v>1655.58712422735</v>
      </c>
      <c r="J79" s="8">
        <f t="shared" si="26"/>
        <v>208771.11180287853</v>
      </c>
      <c r="K79" s="8"/>
      <c r="L79" s="8">
        <f t="shared" si="22"/>
        <v>466417.2250741421</v>
      </c>
    </row>
    <row r="80" spans="1:12" ht="15">
      <c r="A80" t="s">
        <v>11</v>
      </c>
      <c r="B80" s="12">
        <f t="shared" si="27"/>
        <v>220141.41666666666</v>
      </c>
      <c r="C80" s="6">
        <f>'App 34 - Mar05 to Apr06 Revenue'!J$36</f>
        <v>207775.91899813904</v>
      </c>
      <c r="D80" s="8"/>
      <c r="E80" s="8">
        <f t="shared" si="21"/>
        <v>12365.49766852762</v>
      </c>
      <c r="F80" s="8">
        <f t="shared" si="23"/>
        <v>270011.6109397912</v>
      </c>
      <c r="G80" s="8"/>
      <c r="H80" s="15">
        <f t="shared" si="24"/>
        <v>0.0725</v>
      </c>
      <c r="I80" s="8">
        <f t="shared" si="25"/>
        <v>1556.6119343472171</v>
      </c>
      <c r="J80" s="8">
        <f t="shared" si="26"/>
        <v>210327.72373722575</v>
      </c>
      <c r="K80" s="8"/>
      <c r="L80" s="8">
        <f t="shared" si="22"/>
        <v>480339.33467701694</v>
      </c>
    </row>
    <row r="81" spans="1:12" ht="15">
      <c r="A81" t="s">
        <v>12</v>
      </c>
      <c r="B81" s="13">
        <f t="shared" si="27"/>
        <v>220141.41666666666</v>
      </c>
      <c r="C81" s="7">
        <f>'App 34 - Mar05 to Apr06 Revenue'!K$36</f>
        <v>177288.61410054818</v>
      </c>
      <c r="D81" s="14"/>
      <c r="E81" s="14">
        <f t="shared" si="21"/>
        <v>42852.80256611848</v>
      </c>
      <c r="F81" s="14">
        <f t="shared" si="23"/>
        <v>312864.4135059097</v>
      </c>
      <c r="G81" s="14"/>
      <c r="H81" s="17">
        <f t="shared" si="24"/>
        <v>0.0725</v>
      </c>
      <c r="I81" s="14">
        <f t="shared" si="25"/>
        <v>1631.3201494279049</v>
      </c>
      <c r="J81" s="14">
        <f t="shared" si="26"/>
        <v>211959.04388665364</v>
      </c>
      <c r="K81" s="14"/>
      <c r="L81" s="14">
        <f t="shared" si="22"/>
        <v>524823.4573925633</v>
      </c>
    </row>
    <row r="82" spans="1:12" ht="15">
      <c r="A82" s="2" t="s">
        <v>13</v>
      </c>
      <c r="B82" s="8">
        <f>SUM(B70:B81)</f>
        <v>2653294.25</v>
      </c>
      <c r="C82" s="8">
        <f>SUM(C70:C81)</f>
        <v>2743404.8173815478</v>
      </c>
      <c r="D82" s="8">
        <f>SUM(D70:D81)</f>
        <v>-208272</v>
      </c>
      <c r="E82" s="8">
        <f>SUM(E70:E81)</f>
        <v>-298382.5673815478</v>
      </c>
      <c r="F82" s="8"/>
      <c r="G82" s="8"/>
      <c r="I82" s="8">
        <f>SUM(I70:I81)</f>
        <v>34840.87595566551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7" t="str">
        <f>$D$5</f>
        <v>SIMPILS True-Up Adjustments    (neg = CR)</v>
      </c>
      <c r="E86" s="66" t="s">
        <v>14</v>
      </c>
      <c r="F86" s="66"/>
      <c r="G86" s="10"/>
      <c r="H86" s="66" t="s">
        <v>15</v>
      </c>
      <c r="I86" s="66"/>
      <c r="J86" s="66"/>
      <c r="K86" s="10"/>
      <c r="L86" s="67" t="s">
        <v>5</v>
      </c>
    </row>
    <row r="87" spans="2:12" ht="30">
      <c r="B87" s="11" t="s">
        <v>2</v>
      </c>
      <c r="C87" s="11" t="s">
        <v>3</v>
      </c>
      <c r="D87" s="67"/>
      <c r="E87" s="10" t="s">
        <v>4</v>
      </c>
      <c r="F87" s="10" t="s">
        <v>65</v>
      </c>
      <c r="G87" s="10"/>
      <c r="H87" s="16" t="s">
        <v>6</v>
      </c>
      <c r="I87" s="10" t="s">
        <v>4</v>
      </c>
      <c r="J87" s="10" t="s">
        <v>65</v>
      </c>
      <c r="K87" s="10"/>
      <c r="L87" s="67"/>
    </row>
    <row r="88" spans="1:12" ht="15">
      <c r="A88" t="s">
        <v>7</v>
      </c>
      <c r="B88" s="12">
        <f>B81</f>
        <v>220141.41666666666</v>
      </c>
      <c r="C88" s="6">
        <f>'App 34 - Mar05 to Apr06 Revenue'!L$36</f>
        <v>252705.82613385667</v>
      </c>
      <c r="D88" s="8"/>
      <c r="E88" s="8">
        <f aca="true" t="shared" si="28" ref="E88:E99">B88-C88+D88</f>
        <v>-32564.40946719001</v>
      </c>
      <c r="F88" s="8">
        <f>F81+E88</f>
        <v>280300.0040387197</v>
      </c>
      <c r="G88" s="8"/>
      <c r="H88" s="15">
        <f>H81</f>
        <v>0.0725</v>
      </c>
      <c r="I88" s="8">
        <f>H88*F81/12</f>
        <v>1890.2224982648706</v>
      </c>
      <c r="J88" s="8">
        <f>J81+I88</f>
        <v>213849.2663849185</v>
      </c>
      <c r="K88" s="8"/>
      <c r="L88" s="8">
        <f aca="true" t="shared" si="29" ref="L88:L99">F88+J88</f>
        <v>494149.27042363817</v>
      </c>
    </row>
    <row r="89" spans="1:12" ht="15">
      <c r="A89" t="s">
        <v>8</v>
      </c>
      <c r="B89" s="12">
        <f>B88</f>
        <v>220141.41666666666</v>
      </c>
      <c r="C89" s="6">
        <f>'App 34 - Mar05 to Apr06 Revenue'!M$36</f>
        <v>255208.6515585644</v>
      </c>
      <c r="D89" s="8"/>
      <c r="E89" s="8">
        <f t="shared" si="28"/>
        <v>-35067.23489189774</v>
      </c>
      <c r="F89" s="8">
        <f>F88+E89</f>
        <v>245232.76914682196</v>
      </c>
      <c r="G89" s="8"/>
      <c r="H89" s="15">
        <f>H88</f>
        <v>0.0725</v>
      </c>
      <c r="I89" s="8">
        <f>H89*F88/12</f>
        <v>1693.4791910672648</v>
      </c>
      <c r="J89" s="8">
        <f>I89+J88</f>
        <v>215542.74557598575</v>
      </c>
      <c r="K89" s="8"/>
      <c r="L89" s="8">
        <f t="shared" si="29"/>
        <v>460775.5147228077</v>
      </c>
    </row>
    <row r="90" spans="1:12" ht="15">
      <c r="A90" t="s">
        <v>9</v>
      </c>
      <c r="B90" s="12">
        <f>B89</f>
        <v>220141.41666666666</v>
      </c>
      <c r="C90" s="6">
        <f>'App 34 - Mar05 to Apr06 Revenue'!N$36</f>
        <v>247767.16723938443</v>
      </c>
      <c r="D90" s="8"/>
      <c r="E90" s="8">
        <f t="shared" si="28"/>
        <v>-27625.750572717778</v>
      </c>
      <c r="F90" s="8">
        <f aca="true" t="shared" si="30" ref="F90:F99">F89+E90</f>
        <v>217607.01857410418</v>
      </c>
      <c r="G90" s="8"/>
      <c r="H90" s="15">
        <f aca="true" t="shared" si="31" ref="H90:H99">H89</f>
        <v>0.0725</v>
      </c>
      <c r="I90" s="8">
        <f>H90*F89/12</f>
        <v>1481.614646928716</v>
      </c>
      <c r="J90" s="8">
        <f>I90+J89</f>
        <v>217024.36022291446</v>
      </c>
      <c r="K90" s="8"/>
      <c r="L90" s="8">
        <f t="shared" si="29"/>
        <v>434631.37879701867</v>
      </c>
    </row>
    <row r="91" spans="1:12" ht="15">
      <c r="A91" t="s">
        <v>16</v>
      </c>
      <c r="B91" s="12">
        <f>B90</f>
        <v>220141.41666666666</v>
      </c>
      <c r="C91" s="6">
        <f>'App 34 - Mar05 to Apr06 Revenue'!O$36</f>
        <v>204255.6975868782</v>
      </c>
      <c r="D91" s="8"/>
      <c r="E91" s="8">
        <f t="shared" si="28"/>
        <v>15885.719079788454</v>
      </c>
      <c r="F91" s="8">
        <f t="shared" si="30"/>
        <v>233492.73765389263</v>
      </c>
      <c r="G91" s="8"/>
      <c r="H91" s="18">
        <f>H90</f>
        <v>0.0725</v>
      </c>
      <c r="I91" s="8">
        <f>H91*F90/12</f>
        <v>1314.7090705518792</v>
      </c>
      <c r="J91" s="8">
        <f>I91+J90</f>
        <v>218339.06929346634</v>
      </c>
      <c r="K91" s="8"/>
      <c r="L91" s="8">
        <f t="shared" si="29"/>
        <v>451831.806947359</v>
      </c>
    </row>
    <row r="92" spans="1:12" ht="15">
      <c r="A92" t="s">
        <v>17</v>
      </c>
      <c r="B92" s="12"/>
      <c r="C92" s="6">
        <f>'App 34 - Mar05 to Apr06 Revenue'!P$36</f>
        <v>145465.96286293847</v>
      </c>
      <c r="D92" s="8"/>
      <c r="E92" s="8">
        <f t="shared" si="28"/>
        <v>-145465.96286293847</v>
      </c>
      <c r="F92" s="8">
        <f t="shared" si="30"/>
        <v>88026.77479095416</v>
      </c>
      <c r="G92" s="8"/>
      <c r="H92" s="4">
        <v>0.0414</v>
      </c>
      <c r="I92" s="8">
        <f aca="true" t="shared" si="32" ref="I92:I99">H92*F91/12</f>
        <v>805.5499449059295</v>
      </c>
      <c r="J92" s="8">
        <f aca="true" t="shared" si="33" ref="J92:J99">I92+J91</f>
        <v>219144.61923837228</v>
      </c>
      <c r="K92" s="8"/>
      <c r="L92" s="8">
        <f t="shared" si="29"/>
        <v>307171.39402932645</v>
      </c>
    </row>
    <row r="93" spans="1:12" ht="15">
      <c r="A93" t="s">
        <v>18</v>
      </c>
      <c r="B93" s="12"/>
      <c r="C93" s="6">
        <f>'App 34 - Mar05 to Apr06 Revenue'!Q36</f>
        <v>34326.85512013636</v>
      </c>
      <c r="D93" s="8"/>
      <c r="E93" s="8">
        <f t="shared" si="28"/>
        <v>-34326.85512013636</v>
      </c>
      <c r="F93" s="8">
        <f t="shared" si="30"/>
        <v>53699.919670817806</v>
      </c>
      <c r="G93" s="8"/>
      <c r="H93" s="15">
        <f t="shared" si="31"/>
        <v>0.0414</v>
      </c>
      <c r="I93" s="8">
        <f t="shared" si="32"/>
        <v>303.69237302879185</v>
      </c>
      <c r="J93" s="8">
        <f t="shared" si="33"/>
        <v>219448.31161140106</v>
      </c>
      <c r="K93" s="8"/>
      <c r="L93" s="8">
        <f t="shared" si="29"/>
        <v>273148.2312822189</v>
      </c>
    </row>
    <row r="94" spans="1:12" ht="15">
      <c r="A94" t="s">
        <v>19</v>
      </c>
      <c r="B94" s="12"/>
      <c r="C94" s="12"/>
      <c r="D94" s="6">
        <v>22507</v>
      </c>
      <c r="E94" s="8">
        <f t="shared" si="28"/>
        <v>22507</v>
      </c>
      <c r="F94" s="8">
        <f t="shared" si="30"/>
        <v>76206.9196708178</v>
      </c>
      <c r="G94" s="8"/>
      <c r="H94" s="4">
        <v>0.0459</v>
      </c>
      <c r="I94" s="8">
        <f t="shared" si="32"/>
        <v>205.40219274087812</v>
      </c>
      <c r="J94" s="8">
        <f t="shared" si="33"/>
        <v>219653.71380414194</v>
      </c>
      <c r="K94" s="8"/>
      <c r="L94" s="8">
        <f t="shared" si="29"/>
        <v>295860.63347495976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76206.9196708178</v>
      </c>
      <c r="G95" s="8"/>
      <c r="H95" s="15">
        <f t="shared" si="31"/>
        <v>0.0459</v>
      </c>
      <c r="I95" s="8">
        <f t="shared" si="32"/>
        <v>291.49146774087814</v>
      </c>
      <c r="J95" s="8">
        <f t="shared" si="33"/>
        <v>219945.20527188282</v>
      </c>
      <c r="K95" s="8"/>
      <c r="L95" s="8">
        <f t="shared" si="29"/>
        <v>296152.1249427006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76206.9196708178</v>
      </c>
      <c r="G96" s="8"/>
      <c r="H96" s="15">
        <f t="shared" si="31"/>
        <v>0.0459</v>
      </c>
      <c r="I96" s="8">
        <f t="shared" si="32"/>
        <v>291.49146774087814</v>
      </c>
      <c r="J96" s="8">
        <f t="shared" si="33"/>
        <v>220236.6967396237</v>
      </c>
      <c r="K96" s="8"/>
      <c r="L96" s="8">
        <f t="shared" si="29"/>
        <v>296443.6164104415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76206.9196708178</v>
      </c>
      <c r="G97" s="8"/>
      <c r="H97" s="18">
        <f t="shared" si="31"/>
        <v>0.0459</v>
      </c>
      <c r="I97" s="8">
        <f t="shared" si="32"/>
        <v>291.49146774087814</v>
      </c>
      <c r="J97" s="8">
        <f t="shared" si="33"/>
        <v>220528.18820736458</v>
      </c>
      <c r="K97" s="8"/>
      <c r="L97" s="8">
        <f t="shared" si="29"/>
        <v>296735.1078781824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76206.9196708178</v>
      </c>
      <c r="G98" s="8"/>
      <c r="H98" s="15">
        <f t="shared" si="31"/>
        <v>0.0459</v>
      </c>
      <c r="I98" s="8">
        <f t="shared" si="32"/>
        <v>291.49146774087814</v>
      </c>
      <c r="J98" s="8">
        <f t="shared" si="33"/>
        <v>220819.67967510546</v>
      </c>
      <c r="K98" s="8"/>
      <c r="L98" s="8">
        <f t="shared" si="29"/>
        <v>297026.5993459233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76206.9196708178</v>
      </c>
      <c r="G99" s="14"/>
      <c r="H99" s="17">
        <f t="shared" si="31"/>
        <v>0.0459</v>
      </c>
      <c r="I99" s="14">
        <f t="shared" si="32"/>
        <v>291.49146774087814</v>
      </c>
      <c r="J99" s="14">
        <f t="shared" si="33"/>
        <v>221111.17114284635</v>
      </c>
      <c r="K99" s="14"/>
      <c r="L99" s="14">
        <f t="shared" si="29"/>
        <v>297318.09081366414</v>
      </c>
    </row>
    <row r="100" spans="1:14" ht="15">
      <c r="A100" s="2" t="s">
        <v>13</v>
      </c>
      <c r="B100" s="8">
        <f>SUM(B88:B99)</f>
        <v>880565.6666666666</v>
      </c>
      <c r="C100" s="8">
        <f>SUM(C88:C99)</f>
        <v>1139730.1605017586</v>
      </c>
      <c r="D100" s="8">
        <f>SUM(D88:D99)</f>
        <v>22507</v>
      </c>
      <c r="E100" s="8">
        <f>SUM(E88:E99)</f>
        <v>-236657.49383509188</v>
      </c>
      <c r="F100" s="8"/>
      <c r="G100" s="8"/>
      <c r="I100" s="8">
        <f>SUM(I88:I99)</f>
        <v>9152.12725619272</v>
      </c>
      <c r="J100" s="8"/>
      <c r="K100" s="8"/>
      <c r="L100" s="8"/>
      <c r="N100" s="21"/>
    </row>
    <row r="101" spans="1:12" ht="30" customHeight="1">
      <c r="A101" s="36" t="s">
        <v>110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7" t="str">
        <f>$D$5</f>
        <v>SIMPILS True-Up Adjustments    (neg = CR)</v>
      </c>
      <c r="E104" s="66" t="s">
        <v>14</v>
      </c>
      <c r="F104" s="66"/>
      <c r="G104" s="10"/>
      <c r="H104" s="66" t="s">
        <v>15</v>
      </c>
      <c r="I104" s="66"/>
      <c r="J104" s="66"/>
      <c r="K104" s="10"/>
      <c r="L104" s="67" t="s">
        <v>5</v>
      </c>
    </row>
    <row r="105" spans="2:12" ht="30">
      <c r="B105" s="11" t="s">
        <v>2</v>
      </c>
      <c r="C105" s="11" t="s">
        <v>3</v>
      </c>
      <c r="D105" s="67"/>
      <c r="E105" s="10" t="s">
        <v>4</v>
      </c>
      <c r="F105" s="10" t="s">
        <v>65</v>
      </c>
      <c r="G105" s="10"/>
      <c r="H105" s="16" t="s">
        <v>6</v>
      </c>
      <c r="I105" s="10" t="s">
        <v>4</v>
      </c>
      <c r="J105" s="10" t="s">
        <v>65</v>
      </c>
      <c r="K105" s="10"/>
      <c r="L105" s="67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76206.9196708178</v>
      </c>
      <c r="G106" s="8"/>
      <c r="H106" s="15">
        <f>H99</f>
        <v>0.0459</v>
      </c>
      <c r="I106" s="8">
        <f>H106*F99/12</f>
        <v>291.49146774087814</v>
      </c>
      <c r="J106" s="8">
        <f>J99+I106</f>
        <v>221402.66261058723</v>
      </c>
      <c r="K106" s="8"/>
      <c r="L106" s="8">
        <f aca="true" t="shared" si="35" ref="L106:L117">F106+J106</f>
        <v>297609.58228140505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76206.9196708178</v>
      </c>
      <c r="G107" s="8"/>
      <c r="H107" s="15">
        <f>H106</f>
        <v>0.0459</v>
      </c>
      <c r="I107" s="8">
        <f>H107*F106/12</f>
        <v>291.49146774087814</v>
      </c>
      <c r="J107" s="8">
        <f>I107+J106</f>
        <v>221694.1540783281</v>
      </c>
      <c r="K107" s="8"/>
      <c r="L107" s="8">
        <f t="shared" si="35"/>
        <v>297901.0737491459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76206.9196708178</v>
      </c>
      <c r="G108" s="8"/>
      <c r="H108" s="15">
        <f aca="true" t="shared" si="37" ref="H108:H117">H107</f>
        <v>0.0459</v>
      </c>
      <c r="I108" s="8">
        <f>H108*F107/12</f>
        <v>291.49146774087814</v>
      </c>
      <c r="J108" s="8">
        <f>I108+J107</f>
        <v>221985.645546069</v>
      </c>
      <c r="K108" s="8"/>
      <c r="L108" s="8">
        <f t="shared" si="35"/>
        <v>298192.5652168868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76206.9196708178</v>
      </c>
      <c r="G109" s="8"/>
      <c r="H109" s="15">
        <f t="shared" si="37"/>
        <v>0.0459</v>
      </c>
      <c r="I109" s="8">
        <f>H109*F108/12</f>
        <v>291.49146774087814</v>
      </c>
      <c r="J109" s="8">
        <f>I109+J108</f>
        <v>222277.13701380987</v>
      </c>
      <c r="K109" s="8"/>
      <c r="L109" s="8">
        <f t="shared" si="35"/>
        <v>298484.05668462766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76206.9196708178</v>
      </c>
      <c r="G110" s="8"/>
      <c r="H110" s="15">
        <f t="shared" si="37"/>
        <v>0.0459</v>
      </c>
      <c r="I110" s="8">
        <f aca="true" t="shared" si="38" ref="I110:I117">H110*F109/12</f>
        <v>291.49146774087814</v>
      </c>
      <c r="J110" s="8">
        <f aca="true" t="shared" si="39" ref="J110:J117">I110+J109</f>
        <v>222568.62848155075</v>
      </c>
      <c r="K110" s="8"/>
      <c r="L110" s="8">
        <f t="shared" si="35"/>
        <v>298775.5481523686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76206.9196708178</v>
      </c>
      <c r="G111" s="8"/>
      <c r="H111" s="15">
        <f t="shared" si="37"/>
        <v>0.0459</v>
      </c>
      <c r="I111" s="8">
        <f t="shared" si="38"/>
        <v>291.49146774087814</v>
      </c>
      <c r="J111" s="8">
        <f t="shared" si="39"/>
        <v>222860.11994929163</v>
      </c>
      <c r="K111" s="8"/>
      <c r="L111" s="8">
        <f t="shared" si="35"/>
        <v>299067.0396201094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76206.9196708178</v>
      </c>
      <c r="G112" s="8"/>
      <c r="H112" s="15">
        <f t="shared" si="37"/>
        <v>0.0459</v>
      </c>
      <c r="I112" s="8">
        <f t="shared" si="38"/>
        <v>291.49146774087814</v>
      </c>
      <c r="J112" s="8">
        <f t="shared" si="39"/>
        <v>223151.61141703252</v>
      </c>
      <c r="K112" s="8"/>
      <c r="L112" s="8">
        <f t="shared" si="35"/>
        <v>299358.53108785034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76206.9196708178</v>
      </c>
      <c r="G113" s="8"/>
      <c r="H113" s="15">
        <f t="shared" si="37"/>
        <v>0.0459</v>
      </c>
      <c r="I113" s="8">
        <f t="shared" si="38"/>
        <v>291.49146774087814</v>
      </c>
      <c r="J113" s="8">
        <f t="shared" si="39"/>
        <v>223443.1028847734</v>
      </c>
      <c r="K113" s="8"/>
      <c r="L113" s="8">
        <f t="shared" si="35"/>
        <v>299650.0225555912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76206.9196708178</v>
      </c>
      <c r="G114" s="8"/>
      <c r="H114" s="15">
        <f t="shared" si="37"/>
        <v>0.0459</v>
      </c>
      <c r="I114" s="8">
        <f t="shared" si="38"/>
        <v>291.49146774087814</v>
      </c>
      <c r="J114" s="8">
        <f t="shared" si="39"/>
        <v>223734.59435251428</v>
      </c>
      <c r="K114" s="8"/>
      <c r="L114" s="8">
        <f t="shared" si="35"/>
        <v>299941.5140233321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76206.9196708178</v>
      </c>
      <c r="G115" s="8"/>
      <c r="H115" s="4">
        <v>0.0514</v>
      </c>
      <c r="I115" s="8">
        <f t="shared" si="38"/>
        <v>326.4196392566696</v>
      </c>
      <c r="J115" s="8">
        <f t="shared" si="39"/>
        <v>224061.01399177095</v>
      </c>
      <c r="K115" s="8"/>
      <c r="L115" s="8">
        <f t="shared" si="35"/>
        <v>300267.93366258877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76206.9196708178</v>
      </c>
      <c r="G116" s="8"/>
      <c r="H116" s="15">
        <f t="shared" si="37"/>
        <v>0.0514</v>
      </c>
      <c r="I116" s="8">
        <f t="shared" si="38"/>
        <v>326.4196392566696</v>
      </c>
      <c r="J116" s="8">
        <f t="shared" si="39"/>
        <v>224387.4336310276</v>
      </c>
      <c r="K116" s="8"/>
      <c r="L116" s="8">
        <f t="shared" si="35"/>
        <v>300594.35330184543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76206.9196708178</v>
      </c>
      <c r="G117" s="14"/>
      <c r="H117" s="17">
        <f t="shared" si="37"/>
        <v>0.0514</v>
      </c>
      <c r="I117" s="14">
        <f t="shared" si="38"/>
        <v>326.4196392566696</v>
      </c>
      <c r="J117" s="14">
        <f t="shared" si="39"/>
        <v>224713.85327028428</v>
      </c>
      <c r="K117" s="14"/>
      <c r="L117" s="14">
        <f t="shared" si="35"/>
        <v>300920.7729411021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3602.682127437912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7" t="str">
        <f>$D$5</f>
        <v>SIMPILS True-Up Adjustments    (neg = CR)</v>
      </c>
      <c r="E122" s="66" t="s">
        <v>14</v>
      </c>
      <c r="F122" s="66"/>
      <c r="G122" s="10"/>
      <c r="H122" s="66" t="s">
        <v>15</v>
      </c>
      <c r="I122" s="66"/>
      <c r="J122" s="66"/>
      <c r="K122" s="10"/>
      <c r="L122" s="67" t="s">
        <v>5</v>
      </c>
    </row>
    <row r="123" spans="2:12" ht="30">
      <c r="B123" s="11" t="s">
        <v>2</v>
      </c>
      <c r="C123" s="11" t="s">
        <v>3</v>
      </c>
      <c r="D123" s="67"/>
      <c r="E123" s="10" t="s">
        <v>4</v>
      </c>
      <c r="F123" s="10" t="s">
        <v>65</v>
      </c>
      <c r="G123" s="10"/>
      <c r="H123" s="16" t="s">
        <v>6</v>
      </c>
      <c r="I123" s="10" t="s">
        <v>4</v>
      </c>
      <c r="J123" s="10" t="s">
        <v>65</v>
      </c>
      <c r="K123" s="10"/>
      <c r="L123" s="67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76206.9196708178</v>
      </c>
      <c r="G124" s="8"/>
      <c r="H124" s="15">
        <f>H117</f>
        <v>0.0514</v>
      </c>
      <c r="I124" s="8">
        <f>H124*F117/12</f>
        <v>326.4196392566696</v>
      </c>
      <c r="J124" s="8">
        <f>J117+I124</f>
        <v>225040.27290954094</v>
      </c>
      <c r="K124" s="8"/>
      <c r="L124" s="8">
        <f aca="true" t="shared" si="41" ref="L124:L135">F124+J124</f>
        <v>301247.19258035877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76206.9196708178</v>
      </c>
      <c r="G125" s="8"/>
      <c r="H125" s="15">
        <f>H124</f>
        <v>0.0514</v>
      </c>
      <c r="I125" s="8">
        <f>H125*F124/12</f>
        <v>326.4196392566696</v>
      </c>
      <c r="J125" s="8">
        <f>I125+J124</f>
        <v>225366.6925487976</v>
      </c>
      <c r="K125" s="8"/>
      <c r="L125" s="8">
        <f t="shared" si="41"/>
        <v>301573.61221961543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76206.9196708178</v>
      </c>
      <c r="G126" s="8"/>
      <c r="H126" s="15">
        <f aca="true" t="shared" si="43" ref="H126:H135">H125</f>
        <v>0.0514</v>
      </c>
      <c r="I126" s="8">
        <f>H126*F125/12</f>
        <v>326.4196392566696</v>
      </c>
      <c r="J126" s="8">
        <f>I126+J125</f>
        <v>225693.11218805428</v>
      </c>
      <c r="K126" s="8"/>
      <c r="L126" s="8">
        <f t="shared" si="41"/>
        <v>301900.0318588721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76206.9196708178</v>
      </c>
      <c r="G127" s="8"/>
      <c r="H127" s="4">
        <v>0.0408</v>
      </c>
      <c r="I127" s="8">
        <f>H127*F126/12</f>
        <v>259.1035268807806</v>
      </c>
      <c r="J127" s="8">
        <f>I127+J126</f>
        <v>225952.21571493507</v>
      </c>
      <c r="K127" s="8"/>
      <c r="L127" s="8">
        <f t="shared" si="41"/>
        <v>302159.1353857529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76206.9196708178</v>
      </c>
      <c r="G128" s="8"/>
      <c r="H128" s="15">
        <f t="shared" si="43"/>
        <v>0.0408</v>
      </c>
      <c r="I128" s="8">
        <f aca="true" t="shared" si="44" ref="I128:I135">H128*F127/12</f>
        <v>259.1035268807806</v>
      </c>
      <c r="J128" s="8">
        <f aca="true" t="shared" si="45" ref="J128:J135">I128+J127</f>
        <v>226211.31924181586</v>
      </c>
      <c r="K128" s="8"/>
      <c r="L128" s="8">
        <f t="shared" si="41"/>
        <v>302418.2389126337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76206.9196708178</v>
      </c>
      <c r="G129" s="8"/>
      <c r="H129" s="15">
        <f t="shared" si="43"/>
        <v>0.0408</v>
      </c>
      <c r="I129" s="8">
        <f t="shared" si="44"/>
        <v>259.1035268807806</v>
      </c>
      <c r="J129" s="8">
        <f t="shared" si="45"/>
        <v>226470.42276869665</v>
      </c>
      <c r="K129" s="8"/>
      <c r="L129" s="8">
        <f t="shared" si="41"/>
        <v>302677.34243951447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76206.9196708178</v>
      </c>
      <c r="G130" s="8"/>
      <c r="H130" s="4">
        <v>0.0335</v>
      </c>
      <c r="I130" s="8">
        <f t="shared" si="44"/>
        <v>212.74431741436638</v>
      </c>
      <c r="J130" s="8">
        <f t="shared" si="45"/>
        <v>226683.167086111</v>
      </c>
      <c r="K130" s="8"/>
      <c r="L130" s="8">
        <f t="shared" si="41"/>
        <v>302890.0867569288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76206.9196708178</v>
      </c>
      <c r="G131" s="8"/>
      <c r="H131" s="15">
        <f t="shared" si="43"/>
        <v>0.0335</v>
      </c>
      <c r="I131" s="8">
        <f t="shared" si="44"/>
        <v>212.74431741436638</v>
      </c>
      <c r="J131" s="8">
        <f t="shared" si="45"/>
        <v>226895.91140352536</v>
      </c>
      <c r="K131" s="8"/>
      <c r="L131" s="8">
        <f t="shared" si="41"/>
        <v>303102.8310743432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76206.9196708178</v>
      </c>
      <c r="G132" s="8"/>
      <c r="H132" s="15">
        <f t="shared" si="43"/>
        <v>0.0335</v>
      </c>
      <c r="I132" s="8">
        <f t="shared" si="44"/>
        <v>212.74431741436638</v>
      </c>
      <c r="J132" s="8">
        <f t="shared" si="45"/>
        <v>227108.6557209397</v>
      </c>
      <c r="K132" s="8"/>
      <c r="L132" s="8">
        <f t="shared" si="41"/>
        <v>303315.57539175753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76206.9196708178</v>
      </c>
      <c r="G133" s="8"/>
      <c r="H133" s="18">
        <f>H132</f>
        <v>0.0335</v>
      </c>
      <c r="I133" s="8">
        <f t="shared" si="44"/>
        <v>212.74431741436638</v>
      </c>
      <c r="J133" s="8">
        <f t="shared" si="45"/>
        <v>227321.40003835407</v>
      </c>
      <c r="K133" s="8"/>
      <c r="L133" s="8">
        <f t="shared" si="41"/>
        <v>303528.3197091719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76206.9196708178</v>
      </c>
      <c r="G134" s="8"/>
      <c r="H134" s="15">
        <f t="shared" si="43"/>
        <v>0.0335</v>
      </c>
      <c r="I134" s="8">
        <f t="shared" si="44"/>
        <v>212.74431741436638</v>
      </c>
      <c r="J134" s="8">
        <f t="shared" si="45"/>
        <v>227534.14435576843</v>
      </c>
      <c r="K134" s="8"/>
      <c r="L134" s="8">
        <f t="shared" si="41"/>
        <v>303741.06402658625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76206.9196708178</v>
      </c>
      <c r="G135" s="14"/>
      <c r="H135" s="17">
        <f t="shared" si="43"/>
        <v>0.0335</v>
      </c>
      <c r="I135" s="14">
        <f t="shared" si="44"/>
        <v>212.74431741436638</v>
      </c>
      <c r="J135" s="14">
        <f t="shared" si="45"/>
        <v>227746.88867318278</v>
      </c>
      <c r="K135" s="14"/>
      <c r="L135" s="14">
        <f t="shared" si="41"/>
        <v>303953.8083440006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3033.0354028985485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7" t="str">
        <f>$D$5</f>
        <v>SIMPILS True-Up Adjustments    (neg = CR)</v>
      </c>
      <c r="E140" s="66" t="s">
        <v>14</v>
      </c>
      <c r="F140" s="66"/>
      <c r="G140" s="10"/>
      <c r="H140" s="66" t="s">
        <v>15</v>
      </c>
      <c r="I140" s="66"/>
      <c r="J140" s="66"/>
      <c r="K140" s="10"/>
      <c r="L140" s="67" t="s">
        <v>5</v>
      </c>
    </row>
    <row r="141" spans="2:12" ht="30">
      <c r="B141" s="11" t="s">
        <v>2</v>
      </c>
      <c r="C141" s="11" t="s">
        <v>3</v>
      </c>
      <c r="D141" s="67"/>
      <c r="E141" s="10" t="s">
        <v>4</v>
      </c>
      <c r="F141" s="10" t="s">
        <v>65</v>
      </c>
      <c r="G141" s="10"/>
      <c r="H141" s="16" t="s">
        <v>6</v>
      </c>
      <c r="I141" s="10" t="s">
        <v>4</v>
      </c>
      <c r="J141" s="10" t="s">
        <v>65</v>
      </c>
      <c r="K141" s="10"/>
      <c r="L141" s="67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76206.9196708178</v>
      </c>
      <c r="G142" s="8"/>
      <c r="H142" s="4">
        <v>0.0245</v>
      </c>
      <c r="I142" s="8">
        <f>H142*F135/12</f>
        <v>155.58912766125303</v>
      </c>
      <c r="J142" s="8">
        <f>J135+I142</f>
        <v>227902.47780084403</v>
      </c>
      <c r="K142" s="8"/>
      <c r="L142" s="8">
        <f aca="true" t="shared" si="47" ref="L142:L153">F142+J142</f>
        <v>304109.39747166185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76206.9196708178</v>
      </c>
      <c r="G143" s="8"/>
      <c r="H143" s="15">
        <f>H142</f>
        <v>0.0245</v>
      </c>
      <c r="I143" s="8">
        <f>H143*F142/12</f>
        <v>155.58912766125303</v>
      </c>
      <c r="J143" s="8">
        <f>I143+J142</f>
        <v>228058.0669285053</v>
      </c>
      <c r="K143" s="8"/>
      <c r="L143" s="8">
        <f t="shared" si="47"/>
        <v>304264.9865993231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76206.9196708178</v>
      </c>
      <c r="G144" s="8"/>
      <c r="H144" s="15">
        <f aca="true" t="shared" si="49" ref="H144:H153">H143</f>
        <v>0.0245</v>
      </c>
      <c r="I144" s="8">
        <f>H144*F143/12</f>
        <v>155.58912766125303</v>
      </c>
      <c r="J144" s="8">
        <f>I144+J143</f>
        <v>228213.65605616654</v>
      </c>
      <c r="K144" s="8"/>
      <c r="L144" s="8">
        <f t="shared" si="47"/>
        <v>304420.57572698436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76206.9196708178</v>
      </c>
      <c r="G145" s="8"/>
      <c r="H145" s="4">
        <v>0.01</v>
      </c>
      <c r="I145" s="8">
        <f>H145*F144/12</f>
        <v>63.50576639234817</v>
      </c>
      <c r="J145" s="8">
        <f>I145+J144</f>
        <v>228277.16182255888</v>
      </c>
      <c r="K145" s="8"/>
      <c r="L145" s="8">
        <f t="shared" si="47"/>
        <v>304484.0814933767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76206.9196708178</v>
      </c>
      <c r="G146" s="8"/>
      <c r="H146" s="15">
        <f t="shared" si="49"/>
        <v>0.01</v>
      </c>
      <c r="I146" s="8">
        <f aca="true" t="shared" si="50" ref="I146:I153">H146*F145/12</f>
        <v>63.50576639234817</v>
      </c>
      <c r="J146" s="8">
        <f aca="true" t="shared" si="51" ref="J146:J153">I146+J145</f>
        <v>228340.6675889512</v>
      </c>
      <c r="K146" s="8"/>
      <c r="L146" s="8">
        <f t="shared" si="47"/>
        <v>304547.58725976903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76206.9196708178</v>
      </c>
      <c r="G147" s="8"/>
      <c r="H147" s="15">
        <f t="shared" si="49"/>
        <v>0.01</v>
      </c>
      <c r="I147" s="8">
        <f t="shared" si="50"/>
        <v>63.50576639234817</v>
      </c>
      <c r="J147" s="8">
        <f t="shared" si="51"/>
        <v>228404.17335534355</v>
      </c>
      <c r="K147" s="8"/>
      <c r="L147" s="8">
        <f t="shared" si="47"/>
        <v>304611.09302616137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76206.9196708178</v>
      </c>
      <c r="G148" s="8"/>
      <c r="H148" s="4">
        <v>0.0055</v>
      </c>
      <c r="I148" s="8">
        <f t="shared" si="50"/>
        <v>34.92817151579149</v>
      </c>
      <c r="J148" s="8">
        <f t="shared" si="51"/>
        <v>228439.10152685933</v>
      </c>
      <c r="K148" s="8"/>
      <c r="L148" s="8">
        <f t="shared" si="47"/>
        <v>304646.0211976771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76206.9196708178</v>
      </c>
      <c r="G149" s="8"/>
      <c r="H149" s="15">
        <f t="shared" si="49"/>
        <v>0.0055</v>
      </c>
      <c r="I149" s="8">
        <f t="shared" si="50"/>
        <v>34.92817151579149</v>
      </c>
      <c r="J149" s="8">
        <f t="shared" si="51"/>
        <v>228474.02969837512</v>
      </c>
      <c r="K149" s="8"/>
      <c r="L149" s="8">
        <f t="shared" si="47"/>
        <v>304680.94936919294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76206.9196708178</v>
      </c>
      <c r="G150" s="8"/>
      <c r="H150" s="15">
        <f t="shared" si="49"/>
        <v>0.0055</v>
      </c>
      <c r="I150" s="8">
        <f t="shared" si="50"/>
        <v>34.92817151579149</v>
      </c>
      <c r="J150" s="8">
        <f t="shared" si="51"/>
        <v>228508.9578698909</v>
      </c>
      <c r="K150" s="8"/>
      <c r="L150" s="8">
        <f t="shared" si="47"/>
        <v>304715.8775407087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76206.9196708178</v>
      </c>
      <c r="G151" s="8"/>
      <c r="H151" s="15">
        <f t="shared" si="49"/>
        <v>0.0055</v>
      </c>
      <c r="I151" s="8">
        <f t="shared" si="50"/>
        <v>34.92817151579149</v>
      </c>
      <c r="J151" s="8">
        <f t="shared" si="51"/>
        <v>228543.8860414067</v>
      </c>
      <c r="K151" s="8"/>
      <c r="L151" s="8">
        <f t="shared" si="47"/>
        <v>304750.8057122245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76206.9196708178</v>
      </c>
      <c r="G152" s="8"/>
      <c r="H152" s="15">
        <f t="shared" si="49"/>
        <v>0.0055</v>
      </c>
      <c r="I152" s="8">
        <f t="shared" si="50"/>
        <v>34.92817151579149</v>
      </c>
      <c r="J152" s="8">
        <f t="shared" si="51"/>
        <v>228578.81421292247</v>
      </c>
      <c r="K152" s="8"/>
      <c r="L152" s="8">
        <f t="shared" si="47"/>
        <v>304785.73388374026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76206.9196708178</v>
      </c>
      <c r="G153" s="14"/>
      <c r="H153" s="17">
        <f t="shared" si="49"/>
        <v>0.0055</v>
      </c>
      <c r="I153" s="14">
        <f t="shared" si="50"/>
        <v>34.92817151579149</v>
      </c>
      <c r="J153" s="14">
        <f t="shared" si="51"/>
        <v>228613.74238443826</v>
      </c>
      <c r="K153" s="14"/>
      <c r="L153" s="14">
        <f t="shared" si="47"/>
        <v>304820.6620552561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866.8537112555528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7" t="str">
        <f>$D$5</f>
        <v>SIMPILS True-Up Adjustments    (neg = CR)</v>
      </c>
      <c r="E158" s="66" t="s">
        <v>14</v>
      </c>
      <c r="F158" s="66"/>
      <c r="G158" s="10"/>
      <c r="H158" s="66" t="s">
        <v>15</v>
      </c>
      <c r="I158" s="66"/>
      <c r="J158" s="66"/>
      <c r="K158" s="10"/>
      <c r="L158" s="67" t="s">
        <v>5</v>
      </c>
    </row>
    <row r="159" spans="2:12" ht="30">
      <c r="B159" s="11" t="s">
        <v>2</v>
      </c>
      <c r="C159" s="11" t="s">
        <v>3</v>
      </c>
      <c r="D159" s="67"/>
      <c r="E159" s="10" t="s">
        <v>4</v>
      </c>
      <c r="F159" s="10" t="s">
        <v>65</v>
      </c>
      <c r="G159" s="10"/>
      <c r="H159" s="16" t="s">
        <v>6</v>
      </c>
      <c r="I159" s="10" t="s">
        <v>4</v>
      </c>
      <c r="J159" s="10" t="s">
        <v>65</v>
      </c>
      <c r="K159" s="10"/>
      <c r="L159" s="67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76206.9196708178</v>
      </c>
      <c r="G160" s="8"/>
      <c r="H160" s="15">
        <f>H153</f>
        <v>0.0055</v>
      </c>
      <c r="I160" s="8">
        <f>H160*F153/12</f>
        <v>34.92817151579149</v>
      </c>
      <c r="J160" s="8">
        <f>J153+I160</f>
        <v>228648.67055595404</v>
      </c>
      <c r="K160" s="8"/>
      <c r="L160" s="8">
        <f aca="true" t="shared" si="53" ref="L160:L171">F160+J160</f>
        <v>304855.59022677183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76206.9196708178</v>
      </c>
      <c r="G161" s="8"/>
      <c r="H161" s="15">
        <f>H160</f>
        <v>0.0055</v>
      </c>
      <c r="I161" s="8">
        <f>H161*F160/12</f>
        <v>34.92817151579149</v>
      </c>
      <c r="J161" s="8">
        <f>I161+J160</f>
        <v>228683.59872746983</v>
      </c>
      <c r="K161" s="8"/>
      <c r="L161" s="8">
        <f t="shared" si="53"/>
        <v>304890.51839828765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76206.9196708178</v>
      </c>
      <c r="G162" s="8"/>
      <c r="H162" s="15">
        <f aca="true" t="shared" si="55" ref="H162:H171">H161</f>
        <v>0.0055</v>
      </c>
      <c r="I162" s="8">
        <f>H162*F161/12</f>
        <v>34.92817151579149</v>
      </c>
      <c r="J162" s="8">
        <f>I162+J161</f>
        <v>228718.5268989856</v>
      </c>
      <c r="K162" s="8"/>
      <c r="L162" s="8">
        <f t="shared" si="53"/>
        <v>304925.4465698034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76206.9196708178</v>
      </c>
      <c r="G163" s="8"/>
      <c r="H163" s="15">
        <f t="shared" si="55"/>
        <v>0.0055</v>
      </c>
      <c r="I163" s="8">
        <f>H163*F162/12</f>
        <v>34.92817151579149</v>
      </c>
      <c r="J163" s="8">
        <f>I163+J162</f>
        <v>228753.4550705014</v>
      </c>
      <c r="K163" s="8"/>
      <c r="L163" s="8">
        <f t="shared" si="53"/>
        <v>304960.3747413192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76206.9196708178</v>
      </c>
      <c r="G164" s="8"/>
      <c r="H164" s="15">
        <f t="shared" si="55"/>
        <v>0.0055</v>
      </c>
      <c r="I164" s="8">
        <f aca="true" t="shared" si="56" ref="I164:I171">H164*F163/12</f>
        <v>34.92817151579149</v>
      </c>
      <c r="J164" s="8">
        <f aca="true" t="shared" si="57" ref="J164:J171">I164+J163</f>
        <v>228788.38324201718</v>
      </c>
      <c r="K164" s="8"/>
      <c r="L164" s="8">
        <f t="shared" si="53"/>
        <v>304995.302912835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76206.9196708178</v>
      </c>
      <c r="G165" s="8"/>
      <c r="H165" s="15">
        <f t="shared" si="55"/>
        <v>0.0055</v>
      </c>
      <c r="I165" s="8">
        <f t="shared" si="56"/>
        <v>34.92817151579149</v>
      </c>
      <c r="J165" s="8">
        <f t="shared" si="57"/>
        <v>228823.31141353297</v>
      </c>
      <c r="K165" s="8"/>
      <c r="L165" s="8">
        <f t="shared" si="53"/>
        <v>305030.2310843508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76206.9196708178</v>
      </c>
      <c r="G166" s="8"/>
      <c r="H166" s="4">
        <v>0.0089</v>
      </c>
      <c r="I166" s="8">
        <f t="shared" si="56"/>
        <v>56.52013208918987</v>
      </c>
      <c r="J166" s="8">
        <f t="shared" si="57"/>
        <v>228879.83154562215</v>
      </c>
      <c r="K166" s="8"/>
      <c r="L166" s="8">
        <f t="shared" si="53"/>
        <v>305086.75121643994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76206.9196708178</v>
      </c>
      <c r="G167" s="8"/>
      <c r="H167" s="15">
        <f t="shared" si="55"/>
        <v>0.0089</v>
      </c>
      <c r="I167" s="8">
        <f t="shared" si="56"/>
        <v>56.52013208918987</v>
      </c>
      <c r="J167" s="8">
        <f t="shared" si="57"/>
        <v>228936.35167771133</v>
      </c>
      <c r="K167" s="8"/>
      <c r="L167" s="8">
        <f t="shared" si="53"/>
        <v>305143.27134852915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76206.9196708178</v>
      </c>
      <c r="G168" s="8"/>
      <c r="H168" s="15">
        <f t="shared" si="55"/>
        <v>0.0089</v>
      </c>
      <c r="I168" s="8">
        <f t="shared" si="56"/>
        <v>56.52013208918987</v>
      </c>
      <c r="J168" s="8">
        <f t="shared" si="57"/>
        <v>228992.8718098005</v>
      </c>
      <c r="K168" s="8"/>
      <c r="L168" s="8">
        <f t="shared" si="53"/>
        <v>305199.7914806183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76206.9196708178</v>
      </c>
      <c r="G169" s="8"/>
      <c r="H169" s="4">
        <v>0.012</v>
      </c>
      <c r="I169" s="8">
        <f t="shared" si="56"/>
        <v>76.20691967081781</v>
      </c>
      <c r="J169" s="8">
        <f t="shared" si="57"/>
        <v>229069.0787294713</v>
      </c>
      <c r="K169" s="8"/>
      <c r="L169" s="8">
        <f t="shared" si="53"/>
        <v>305275.9984002891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76206.9196708178</v>
      </c>
      <c r="G170" s="8"/>
      <c r="H170" s="15">
        <f t="shared" si="55"/>
        <v>0.012</v>
      </c>
      <c r="I170" s="8">
        <f t="shared" si="56"/>
        <v>76.20691967081781</v>
      </c>
      <c r="J170" s="8">
        <f t="shared" si="57"/>
        <v>229145.2856491421</v>
      </c>
      <c r="K170" s="8"/>
      <c r="L170" s="8">
        <f t="shared" si="53"/>
        <v>305352.2053199599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76206.9196708178</v>
      </c>
      <c r="G171" s="14"/>
      <c r="H171" s="17">
        <f t="shared" si="55"/>
        <v>0.012</v>
      </c>
      <c r="I171" s="14">
        <f t="shared" si="56"/>
        <v>76.20691967081781</v>
      </c>
      <c r="J171" s="14">
        <f t="shared" si="57"/>
        <v>229221.49256881292</v>
      </c>
      <c r="K171" s="14"/>
      <c r="L171" s="14">
        <f t="shared" si="53"/>
        <v>305428.4122396307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607.750184374772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7" t="str">
        <f>$D$5</f>
        <v>SIMPILS True-Up Adjustments    (neg = CR)</v>
      </c>
      <c r="E176" s="66" t="s">
        <v>14</v>
      </c>
      <c r="F176" s="66"/>
      <c r="G176" s="10"/>
      <c r="H176" s="66" t="s">
        <v>15</v>
      </c>
      <c r="I176" s="66"/>
      <c r="J176" s="66"/>
      <c r="K176" s="10"/>
      <c r="L176" s="67" t="s">
        <v>5</v>
      </c>
    </row>
    <row r="177" spans="2:12" ht="30">
      <c r="B177" s="11" t="s">
        <v>2</v>
      </c>
      <c r="C177" s="11" t="s">
        <v>3</v>
      </c>
      <c r="D177" s="67"/>
      <c r="E177" s="10" t="s">
        <v>4</v>
      </c>
      <c r="F177" s="10" t="s">
        <v>65</v>
      </c>
      <c r="G177" s="10"/>
      <c r="H177" s="16" t="s">
        <v>6</v>
      </c>
      <c r="I177" s="10" t="s">
        <v>4</v>
      </c>
      <c r="J177" s="10" t="s">
        <v>65</v>
      </c>
      <c r="K177" s="10"/>
      <c r="L177" s="67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76206.9196708178</v>
      </c>
      <c r="G178" s="8"/>
      <c r="H178" s="4">
        <v>0.0147</v>
      </c>
      <c r="I178" s="8">
        <f>H178*F171/12</f>
        <v>93.35347659675182</v>
      </c>
      <c r="J178" s="8">
        <f>J171+I178</f>
        <v>229314.84604540968</v>
      </c>
      <c r="K178" s="8"/>
      <c r="L178" s="8">
        <f aca="true" t="shared" si="59" ref="L178:L189">F178+J178</f>
        <v>305521.76571622747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76206.9196708178</v>
      </c>
      <c r="G179" s="8"/>
      <c r="H179" s="15">
        <f>H178</f>
        <v>0.0147</v>
      </c>
      <c r="I179" s="8">
        <f>H179*F178/12</f>
        <v>93.35347659675182</v>
      </c>
      <c r="J179" s="8">
        <f>I179+J178</f>
        <v>229408.19952200644</v>
      </c>
      <c r="K179" s="8"/>
      <c r="L179" s="8">
        <f t="shared" si="59"/>
        <v>305615.11919282423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76206.9196708178</v>
      </c>
      <c r="G180" s="8"/>
      <c r="H180" s="15">
        <f aca="true" t="shared" si="61" ref="H180:H189">H179</f>
        <v>0.0147</v>
      </c>
      <c r="I180" s="8">
        <f>H180*F179/12</f>
        <v>93.35347659675182</v>
      </c>
      <c r="J180" s="8">
        <f>I180+J179</f>
        <v>229501.5529986032</v>
      </c>
      <c r="K180" s="8"/>
      <c r="L180" s="8">
        <f t="shared" si="59"/>
        <v>305708.472669421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76206.9196708178</v>
      </c>
      <c r="G181" s="8"/>
      <c r="H181" s="15">
        <f t="shared" si="61"/>
        <v>0.0147</v>
      </c>
      <c r="I181" s="8">
        <f>H181*F180/12</f>
        <v>93.35347659675182</v>
      </c>
      <c r="J181" s="8">
        <f>I181+J180</f>
        <v>229594.90647519997</v>
      </c>
      <c r="K181" s="8"/>
      <c r="L181" s="8">
        <f t="shared" si="59"/>
        <v>305801.82614601776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76206.9196708178</v>
      </c>
      <c r="G182" s="8"/>
      <c r="H182" s="15">
        <f t="shared" si="61"/>
        <v>0.0147</v>
      </c>
      <c r="I182" s="8">
        <f aca="true" t="shared" si="62" ref="I182:I189">H182*F181/12</f>
        <v>93.35347659675182</v>
      </c>
      <c r="J182" s="8">
        <f aca="true" t="shared" si="63" ref="J182:J189">I182+J181</f>
        <v>229688.25995179673</v>
      </c>
      <c r="K182" s="8"/>
      <c r="L182" s="8">
        <f t="shared" si="59"/>
        <v>305895.1796226145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76206.9196708178</v>
      </c>
      <c r="G183" s="8"/>
      <c r="H183" s="15">
        <f t="shared" si="61"/>
        <v>0.0147</v>
      </c>
      <c r="I183" s="8">
        <f t="shared" si="62"/>
        <v>93.35347659675182</v>
      </c>
      <c r="J183" s="8">
        <f t="shared" si="63"/>
        <v>229781.6134283935</v>
      </c>
      <c r="K183" s="8"/>
      <c r="L183" s="8">
        <f t="shared" si="59"/>
        <v>305988.5330992113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76206.9196708178</v>
      </c>
      <c r="G184" s="8"/>
      <c r="H184" s="15">
        <f t="shared" si="61"/>
        <v>0.0147</v>
      </c>
      <c r="I184" s="8">
        <f t="shared" si="62"/>
        <v>93.35347659675182</v>
      </c>
      <c r="J184" s="8">
        <f t="shared" si="63"/>
        <v>229874.96690499026</v>
      </c>
      <c r="K184" s="8"/>
      <c r="L184" s="8">
        <f t="shared" si="59"/>
        <v>306081.88657580805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76206.9196708178</v>
      </c>
      <c r="G185" s="8"/>
      <c r="H185" s="15">
        <f t="shared" si="61"/>
        <v>0.0147</v>
      </c>
      <c r="I185" s="8">
        <f t="shared" si="62"/>
        <v>93.35347659675182</v>
      </c>
      <c r="J185" s="8">
        <f t="shared" si="63"/>
        <v>229968.32038158702</v>
      </c>
      <c r="K185" s="8"/>
      <c r="L185" s="8">
        <f t="shared" si="59"/>
        <v>306175.2400524048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76206.9196708178</v>
      </c>
      <c r="G186" s="8"/>
      <c r="H186" s="15">
        <f t="shared" si="61"/>
        <v>0.0147</v>
      </c>
      <c r="I186" s="8">
        <f t="shared" si="62"/>
        <v>93.35347659675182</v>
      </c>
      <c r="J186" s="8">
        <f t="shared" si="63"/>
        <v>230061.67385818379</v>
      </c>
      <c r="K186" s="8"/>
      <c r="L186" s="8">
        <f t="shared" si="59"/>
        <v>306268.5935290016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76206.9196708178</v>
      </c>
      <c r="G187" s="8"/>
      <c r="H187" s="15">
        <f t="shared" si="61"/>
        <v>0.0147</v>
      </c>
      <c r="I187" s="8">
        <f t="shared" si="62"/>
        <v>93.35347659675182</v>
      </c>
      <c r="J187" s="8">
        <f t="shared" si="63"/>
        <v>230155.02733478055</v>
      </c>
      <c r="K187" s="8"/>
      <c r="L187" s="8">
        <f t="shared" si="59"/>
        <v>306361.94700559834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76206.9196708178</v>
      </c>
      <c r="G188" s="8"/>
      <c r="H188" s="15">
        <f t="shared" si="61"/>
        <v>0.0147</v>
      </c>
      <c r="I188" s="8">
        <f t="shared" si="62"/>
        <v>93.35347659675182</v>
      </c>
      <c r="J188" s="8">
        <f t="shared" si="63"/>
        <v>230248.3808113773</v>
      </c>
      <c r="K188" s="8"/>
      <c r="L188" s="8">
        <f t="shared" si="59"/>
        <v>306455.3004821951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76206.9196708178</v>
      </c>
      <c r="G189" s="14"/>
      <c r="H189" s="17">
        <f t="shared" si="61"/>
        <v>0.0147</v>
      </c>
      <c r="I189" s="14">
        <f t="shared" si="62"/>
        <v>93.35347659675182</v>
      </c>
      <c r="J189" s="14">
        <f t="shared" si="63"/>
        <v>230341.73428797408</v>
      </c>
      <c r="K189" s="14"/>
      <c r="L189" s="14">
        <f t="shared" si="59"/>
        <v>306548.65395879187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1120.2417191610216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7" t="str">
        <f>$D$5</f>
        <v>SIMPILS True-Up Adjustments    (neg = CR)</v>
      </c>
      <c r="E194" s="66" t="s">
        <v>14</v>
      </c>
      <c r="F194" s="66"/>
      <c r="G194" s="10"/>
      <c r="H194" s="66" t="s">
        <v>15</v>
      </c>
      <c r="I194" s="66"/>
      <c r="J194" s="66"/>
      <c r="K194" s="10"/>
      <c r="L194" s="67" t="s">
        <v>5</v>
      </c>
    </row>
    <row r="195" spans="2:12" ht="30">
      <c r="B195" s="11" t="s">
        <v>2</v>
      </c>
      <c r="C195" s="11" t="s">
        <v>3</v>
      </c>
      <c r="D195" s="67"/>
      <c r="E195" s="10" t="s">
        <v>4</v>
      </c>
      <c r="F195" s="10" t="s">
        <v>65</v>
      </c>
      <c r="G195" s="10"/>
      <c r="H195" s="16" t="s">
        <v>6</v>
      </c>
      <c r="I195" s="10" t="s">
        <v>4</v>
      </c>
      <c r="J195" s="10" t="s">
        <v>65</v>
      </c>
      <c r="K195" s="10"/>
      <c r="L195" s="67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76206.9196708178</v>
      </c>
      <c r="G196" s="8"/>
      <c r="H196" s="15">
        <f>H189</f>
        <v>0.0147</v>
      </c>
      <c r="I196" s="8">
        <f>H196*F189/12</f>
        <v>93.35347659675182</v>
      </c>
      <c r="J196" s="8">
        <f>J189+I196</f>
        <v>230435.08776457084</v>
      </c>
      <c r="K196" s="8"/>
      <c r="L196" s="8">
        <f aca="true" t="shared" si="65" ref="L196:L207">F196+J196</f>
        <v>306642.00743538863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76206.9196708178</v>
      </c>
      <c r="G197" s="8"/>
      <c r="H197" s="15">
        <f>H196</f>
        <v>0.0147</v>
      </c>
      <c r="I197" s="8">
        <f>H197*F196/12</f>
        <v>93.35347659675182</v>
      </c>
      <c r="J197" s="8">
        <f>I197+J196</f>
        <v>230528.4412411676</v>
      </c>
      <c r="K197" s="8"/>
      <c r="L197" s="8">
        <f t="shared" si="65"/>
        <v>306735.3609119854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76206.9196708178</v>
      </c>
      <c r="G198" s="8"/>
      <c r="H198" s="15">
        <f aca="true" t="shared" si="67" ref="H198:H207">H197</f>
        <v>0.0147</v>
      </c>
      <c r="I198" s="8">
        <f>H198*F197/12</f>
        <v>93.35347659675182</v>
      </c>
      <c r="J198" s="8">
        <f>I198+J197</f>
        <v>230621.79471776437</v>
      </c>
      <c r="K198" s="8"/>
      <c r="L198" s="8">
        <f t="shared" si="65"/>
        <v>306828.71438858216</v>
      </c>
    </row>
    <row r="199" spans="1:12" ht="15">
      <c r="A199" s="41" t="s">
        <v>16</v>
      </c>
      <c r="B199" s="13"/>
      <c r="C199" s="13"/>
      <c r="D199" s="14"/>
      <c r="E199" s="14">
        <f t="shared" si="64"/>
        <v>0</v>
      </c>
      <c r="F199" s="14">
        <f t="shared" si="66"/>
        <v>76206.9196708178</v>
      </c>
      <c r="G199" s="14"/>
      <c r="H199" s="17">
        <f t="shared" si="67"/>
        <v>0.0147</v>
      </c>
      <c r="I199" s="14">
        <f>H199*F198/12</f>
        <v>93.35347659675182</v>
      </c>
      <c r="J199" s="14">
        <f>I199+J198</f>
        <v>230715.14819436113</v>
      </c>
      <c r="K199" s="14"/>
      <c r="L199" s="14">
        <f t="shared" si="65"/>
        <v>306922.0678651789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76206.9196708178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230715.14819436113</v>
      </c>
      <c r="K200" s="8"/>
      <c r="L200" s="8">
        <f t="shared" si="65"/>
        <v>306922.0678651789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76206.9196708178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230715.14819436113</v>
      </c>
      <c r="K201" s="8"/>
      <c r="L201" s="8">
        <f t="shared" si="65"/>
        <v>306922.0678651789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76206.9196708178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230715.14819436113</v>
      </c>
      <c r="K202" s="8"/>
      <c r="L202" s="8">
        <f t="shared" si="65"/>
        <v>306922.0678651789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76206.9196708178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230715.14819436113</v>
      </c>
      <c r="K203" s="8"/>
      <c r="L203" s="8">
        <f t="shared" si="65"/>
        <v>306922.0678651789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76206.9196708178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230715.14819436113</v>
      </c>
      <c r="K204" s="8"/>
      <c r="L204" s="8">
        <f t="shared" si="65"/>
        <v>306922.0678651789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76206.9196708178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230715.14819436113</v>
      </c>
      <c r="K205" s="8"/>
      <c r="L205" s="8">
        <f t="shared" si="65"/>
        <v>306922.0678651789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76206.9196708178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230715.14819436113</v>
      </c>
      <c r="K206" s="8"/>
      <c r="L206" s="8">
        <f t="shared" si="65"/>
        <v>306922.0678651789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76206.9196708178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230715.14819436113</v>
      </c>
      <c r="K207" s="14"/>
      <c r="L207" s="14">
        <f t="shared" si="65"/>
        <v>306922.0678651789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373.4139063870073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  <mergeCell ref="L5:L6"/>
    <mergeCell ref="H5:J5"/>
    <mergeCell ref="E14:F14"/>
    <mergeCell ref="H14:J14"/>
    <mergeCell ref="L14:L15"/>
    <mergeCell ref="D14:D15"/>
    <mergeCell ref="D32:D33"/>
    <mergeCell ref="D50:D51"/>
    <mergeCell ref="D68:D69"/>
    <mergeCell ref="E5:F5"/>
    <mergeCell ref="E32:F32"/>
    <mergeCell ref="E68:F68"/>
    <mergeCell ref="H32:J32"/>
    <mergeCell ref="L32:L33"/>
    <mergeCell ref="E50:F50"/>
    <mergeCell ref="H50:J50"/>
    <mergeCell ref="L50:L51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22:F122"/>
    <mergeCell ref="H122:J122"/>
    <mergeCell ref="L122:L123"/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</mergeCells>
  <printOptions/>
  <pageMargins left="0.708661417322835" right="0.708661417322835" top="0.748031496062992" bottom="0.748031496062992" header="0.31496062992126" footer="0.31496062992126"/>
  <pageSetup fitToHeight="3" horizontalDpi="600" verticalDpi="600" orientation="portrait" scale="59" r:id="rId3"/>
  <headerFooter>
    <oddHeader>&amp;C&amp;A</oddHeader>
  </headerFooter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7"/>
  <sheetViews>
    <sheetView zoomScale="90" zoomScaleNormal="90" zoomScalePageLayoutView="0" workbookViewId="0" topLeftCell="A17">
      <selection activeCell="AA44" sqref="AA44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7" width="12.140625" style="30" bestFit="1" customWidth="1"/>
    <col min="8" max="8" width="12.57421875" style="30" customWidth="1"/>
    <col min="9" max="28" width="12.140625" style="30" bestFit="1" customWidth="1"/>
    <col min="29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59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38</v>
      </c>
      <c r="B3" s="34" t="s">
        <v>60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63</v>
      </c>
      <c r="B4" s="34" t="s">
        <v>109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72" t="s">
        <v>40</v>
      </c>
      <c r="C6" s="72"/>
      <c r="D6" s="72" t="s">
        <v>61</v>
      </c>
      <c r="E6" s="72"/>
      <c r="F6" s="72" t="s">
        <v>62</v>
      </c>
      <c r="G6" s="72"/>
      <c r="H6"/>
      <c r="I6"/>
      <c r="J6"/>
      <c r="K6"/>
      <c r="L6"/>
      <c r="M6"/>
      <c r="N6"/>
    </row>
    <row r="7" spans="1:14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 s="23" t="s">
        <v>41</v>
      </c>
      <c r="G7" s="23" t="s">
        <v>42</v>
      </c>
      <c r="H7"/>
      <c r="I7"/>
      <c r="J7"/>
      <c r="K7"/>
      <c r="L7"/>
      <c r="M7"/>
      <c r="N7"/>
    </row>
    <row r="8" spans="1:14" ht="15">
      <c r="A8" t="s">
        <v>44</v>
      </c>
      <c r="B8" s="8">
        <f>'[1]16. Final 2002 Rate Schedule '!$F$19</f>
        <v>9.217681018824436</v>
      </c>
      <c r="C8" s="24">
        <f>'[1]16. Final 2002 Rate Schedule '!$F$20</f>
        <v>0.011577897915836905</v>
      </c>
      <c r="D8" s="59">
        <f>'[1]6. 2001PILs DefAcct Adder Calc'!$C$58</f>
        <v>0.36216332550304026</v>
      </c>
      <c r="E8" s="51">
        <f>'[1]6. 2001PILs DefAcct Adder Calc'!$B$54</f>
        <v>0.0004656993791679293</v>
      </c>
      <c r="F8" s="59">
        <f>'[1]8. 2002PILs Proxy Adder Calc'!$C$58</f>
        <v>1.3692659258129094</v>
      </c>
      <c r="G8" s="51">
        <f>'[1]8. 2002PILs Proxy Adder Calc'!$B$54</f>
        <v>0.001760714701526339</v>
      </c>
      <c r="H8" t="s">
        <v>116</v>
      </c>
      <c r="I8"/>
      <c r="J8"/>
      <c r="K8"/>
      <c r="L8"/>
      <c r="M8"/>
      <c r="N8"/>
    </row>
    <row r="9" spans="1:14" ht="15">
      <c r="A9" t="s">
        <v>45</v>
      </c>
      <c r="B9" s="8">
        <f>'[1]16. Final 2002 Rate Schedule '!$F$37</f>
        <v>14.693570949968917</v>
      </c>
      <c r="C9" s="24">
        <f>'[1]16. Final 2002 Rate Schedule '!$F$38</f>
        <v>0.011087942557671253</v>
      </c>
      <c r="D9" s="59">
        <f>'[1]6. 2001PILs DefAcct Adder Calc'!$C$82</f>
        <v>0.8326922402384321</v>
      </c>
      <c r="E9" s="51">
        <f>'[1]6. 2001PILs DefAcct Adder Calc'!$B$78</f>
        <v>0.0003660736878398565</v>
      </c>
      <c r="F9" s="59">
        <f>'[1]8. 2002PILs Proxy Adder Calc'!$C$82</f>
        <v>3.1482401197404815</v>
      </c>
      <c r="G9" s="51">
        <f>'[1]8. 2002PILs Proxy Adder Calc'!$B$78</f>
        <v>0.001384050211046505</v>
      </c>
      <c r="H9" t="s">
        <v>117</v>
      </c>
      <c r="I9"/>
      <c r="J9"/>
      <c r="K9"/>
      <c r="L9"/>
      <c r="M9"/>
      <c r="N9"/>
    </row>
    <row r="10" spans="1:14" ht="15">
      <c r="A10" t="s">
        <v>46</v>
      </c>
      <c r="B10" s="8">
        <f>'[1]16. Final 2002 Rate Schedule '!$F$58</f>
        <v>105.06385016344787</v>
      </c>
      <c r="C10" s="24">
        <f>'[1]16. Final 2002 Rate Schedule '!$F$59</f>
        <v>3.05288616073875</v>
      </c>
      <c r="D10" s="59">
        <f>'[1]6. 2001PILs DefAcct Adder Calc'!$C$106</f>
        <v>3.7841695856814925</v>
      </c>
      <c r="E10" s="52">
        <f>'[1]6. 2001PILs DefAcct Adder Calc'!$B$102</f>
        <v>0.12693856965318864</v>
      </c>
      <c r="F10" s="59">
        <f>'[1]8. 2002PILs Proxy Adder Calc'!$C$106</f>
        <v>14.30717608961133</v>
      </c>
      <c r="G10" s="51">
        <f>'[1]8. 2002PILs Proxy Adder Calc'!$B$102</f>
        <v>0.4799289322189547</v>
      </c>
      <c r="H10" t="s">
        <v>118</v>
      </c>
      <c r="I10"/>
      <c r="J10"/>
      <c r="K10"/>
      <c r="L10"/>
      <c r="M10"/>
      <c r="N10"/>
    </row>
    <row r="11" spans="1:14" ht="15">
      <c r="A11" t="s">
        <v>105</v>
      </c>
      <c r="B11" s="8">
        <f>'[1]16. Final 2002 Rate Schedule '!$F$66</f>
        <v>792.2734604421378</v>
      </c>
      <c r="C11" s="24">
        <f>'[1]16. Final 2002 Rate Schedule '!$F$67</f>
        <v>2.538355179978274</v>
      </c>
      <c r="D11" s="59">
        <f>'[1]6. 2001PILs DefAcct Adder Calc'!$C$130</f>
        <v>29.03159690605032</v>
      </c>
      <c r="E11" s="52">
        <f>'[1]6. 2001PILs DefAcct Adder Calc'!$B$126</f>
        <v>0.09072422140582785</v>
      </c>
      <c r="F11" s="59">
        <f>'[1]8. 2002PILs Proxy Adder Calc'!$C$130</f>
        <v>109.76256737253887</v>
      </c>
      <c r="G11" s="51">
        <f>'[1]8. 2002PILs Proxy Adder Calc'!$B$126</f>
        <v>0.3430098418837923</v>
      </c>
      <c r="H11" t="s">
        <v>118</v>
      </c>
      <c r="I11"/>
      <c r="J11"/>
      <c r="K11"/>
      <c r="L11"/>
      <c r="M11"/>
      <c r="N11"/>
    </row>
    <row r="12" spans="1:14" ht="15">
      <c r="A12" t="s">
        <v>106</v>
      </c>
      <c r="B12" s="8">
        <f>'[1]16. Final 2002 Rate Schedule '!$F$94</f>
        <v>4317.800570169633</v>
      </c>
      <c r="C12" s="24">
        <f>'[1]16. Final 2002 Rate Schedule '!$F$95</f>
        <v>1.6703809060011305</v>
      </c>
      <c r="D12" s="59">
        <f>'[1]6. 2001PILs DefAcct Adder Calc'!$C$180</f>
        <v>143.78086791788854</v>
      </c>
      <c r="E12" s="52">
        <f>'[1]6. 2001PILs DefAcct Adder Calc'!$B$176</f>
        <v>0.06997937943524929</v>
      </c>
      <c r="F12" s="59">
        <f>'[1]8. 2002PILs Proxy Adder Calc'!$C$180</f>
        <v>543.6062388435258</v>
      </c>
      <c r="G12" s="51">
        <f>'[1]8. 2002PILs Proxy Adder Calc'!$B$176</f>
        <v>0.26457781068010183</v>
      </c>
      <c r="H12" t="s">
        <v>118</v>
      </c>
      <c r="I12"/>
      <c r="J12"/>
      <c r="K12"/>
      <c r="L12"/>
      <c r="M12"/>
      <c r="N12"/>
    </row>
    <row r="13" spans="1:14" ht="15">
      <c r="A13" t="s">
        <v>107</v>
      </c>
      <c r="B13" s="8">
        <f>'[1]16. Final 2002 Rate Schedule '!$F$132</f>
        <v>0.3250587843314779</v>
      </c>
      <c r="C13" s="24">
        <f>'[1]16. Final 2002 Rate Schedule '!$F$133</f>
        <v>1.5988903768500755</v>
      </c>
      <c r="D13" s="59">
        <f>'[1]6. 2001PILs DefAcct Adder Calc'!$C$230</f>
        <v>0.019708938471863547</v>
      </c>
      <c r="E13" s="51">
        <f>'[1]6. 2001PILs DefAcct Adder Calc'!$B$226</f>
        <v>0.10209466984468052</v>
      </c>
      <c r="F13" s="59">
        <f>'[1]8. 2002PILs Proxy Adder Calc'!$C$230</f>
        <v>0.07451549061733852</v>
      </c>
      <c r="G13" s="51">
        <f>'[1]8. 2002PILs Proxy Adder Calc'!$B$226</f>
        <v>0.38599919644339087</v>
      </c>
      <c r="H13" t="s">
        <v>118</v>
      </c>
      <c r="I13"/>
      <c r="J13"/>
      <c r="K13"/>
      <c r="L13"/>
      <c r="M13"/>
      <c r="N13"/>
    </row>
    <row r="14" spans="1:14" ht="15">
      <c r="A14"/>
      <c r="B14" s="8"/>
      <c r="C14" s="24"/>
      <c r="D14" s="24"/>
      <c r="E14" s="51"/>
      <c r="F14" s="24"/>
      <c r="G14" s="51"/>
      <c r="H14"/>
      <c r="I14"/>
      <c r="J14"/>
      <c r="K14"/>
      <c r="L14"/>
      <c r="M14"/>
      <c r="N14"/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1">
      <c r="A16" s="25" t="s">
        <v>58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8" ht="18.75">
      <c r="A17"/>
      <c r="B17" s="71">
        <v>2002</v>
      </c>
      <c r="C17" s="71"/>
      <c r="D17" s="71"/>
      <c r="E17" s="71"/>
      <c r="F17" s="71"/>
      <c r="G17" s="71"/>
      <c r="H17" s="71"/>
      <c r="I17" s="71"/>
      <c r="J17" s="71"/>
      <c r="K17" s="71"/>
      <c r="L17" s="69">
        <v>2003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>
        <v>2004</v>
      </c>
      <c r="Y17" s="70"/>
      <c r="Z17" s="70"/>
      <c r="AA17" s="70"/>
      <c r="AB17" s="70"/>
    </row>
    <row r="18" spans="1:28" s="32" customFormat="1" ht="15">
      <c r="A18" s="23" t="str">
        <f aca="true" t="shared" si="0" ref="A18:A24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47</v>
      </c>
      <c r="T18" s="1" t="s">
        <v>48</v>
      </c>
      <c r="U18" s="1" t="s">
        <v>49</v>
      </c>
      <c r="V18" s="1" t="s">
        <v>50</v>
      </c>
      <c r="W18" s="1" t="s">
        <v>51</v>
      </c>
      <c r="X18" s="1" t="s">
        <v>52</v>
      </c>
      <c r="Y18" s="1" t="s">
        <v>53</v>
      </c>
      <c r="Z18" s="32" t="s">
        <v>99</v>
      </c>
      <c r="AA18" s="53" t="s">
        <v>55</v>
      </c>
      <c r="AB18" s="32" t="s">
        <v>17</v>
      </c>
    </row>
    <row r="19" spans="1:28" ht="15">
      <c r="A19" t="str">
        <f t="shared" si="0"/>
        <v>Residential</v>
      </c>
      <c r="B19" s="26">
        <v>38724.5</v>
      </c>
      <c r="C19" s="26">
        <v>38810</v>
      </c>
      <c r="D19" s="26">
        <v>38895.5</v>
      </c>
      <c r="E19" s="26">
        <v>38981</v>
      </c>
      <c r="F19" s="26">
        <v>39066.5</v>
      </c>
      <c r="G19" s="26">
        <v>39152</v>
      </c>
      <c r="H19" s="26">
        <v>39237.5</v>
      </c>
      <c r="I19" s="26">
        <v>39323</v>
      </c>
      <c r="J19" s="26">
        <v>39408.5</v>
      </c>
      <c r="K19" s="26">
        <v>39494</v>
      </c>
      <c r="L19" s="26">
        <v>39602.416666666664</v>
      </c>
      <c r="M19" s="26">
        <v>39710.83333333333</v>
      </c>
      <c r="N19" s="26">
        <v>39819.24999999999</v>
      </c>
      <c r="O19" s="26">
        <v>39927.66666666666</v>
      </c>
      <c r="P19" s="26">
        <v>40036.08333333332</v>
      </c>
      <c r="Q19" s="26">
        <v>40144.499999999985</v>
      </c>
      <c r="R19" s="26">
        <v>40252.91666666665</v>
      </c>
      <c r="S19" s="26">
        <v>40361.333333333314</v>
      </c>
      <c r="T19" s="26">
        <v>40469.74999999998</v>
      </c>
      <c r="U19" s="26">
        <v>40578.16666666664</v>
      </c>
      <c r="V19" s="26">
        <v>40686.58333333331</v>
      </c>
      <c r="W19" s="26">
        <v>40794.99999999997</v>
      </c>
      <c r="X19" s="26">
        <v>40843.08333333331</v>
      </c>
      <c r="Y19" s="26">
        <v>40891.16666666664</v>
      </c>
      <c r="Z19" s="55">
        <v>40939.24999999998</v>
      </c>
      <c r="AA19" s="53">
        <v>40987.333333333314</v>
      </c>
      <c r="AB19" s="35">
        <f>AA19+58</f>
        <v>41045.333333333314</v>
      </c>
    </row>
    <row r="20" spans="1:28" ht="15">
      <c r="A20" t="str">
        <f t="shared" si="0"/>
        <v>General Service &lt; 50 kW</v>
      </c>
      <c r="B20" s="26">
        <v>4082.75</v>
      </c>
      <c r="C20" s="26">
        <v>4099</v>
      </c>
      <c r="D20" s="26">
        <v>4115.25</v>
      </c>
      <c r="E20" s="26">
        <v>4131.5</v>
      </c>
      <c r="F20" s="26">
        <v>4147.75</v>
      </c>
      <c r="G20" s="26">
        <v>4164</v>
      </c>
      <c r="H20" s="26">
        <v>4180.25</v>
      </c>
      <c r="I20" s="26">
        <v>4196.5</v>
      </c>
      <c r="J20" s="26">
        <v>4212.75</v>
      </c>
      <c r="K20" s="26">
        <v>4229</v>
      </c>
      <c r="L20" s="26">
        <v>4233.416666666667</v>
      </c>
      <c r="M20" s="26">
        <v>4237.833333333334</v>
      </c>
      <c r="N20" s="26">
        <v>4242.250000000001</v>
      </c>
      <c r="O20" s="26">
        <v>4246.666666666668</v>
      </c>
      <c r="P20" s="26">
        <v>4251.083333333335</v>
      </c>
      <c r="Q20" s="26">
        <v>4255.500000000002</v>
      </c>
      <c r="R20" s="26">
        <v>4259.916666666669</v>
      </c>
      <c r="S20" s="26">
        <v>4264.333333333336</v>
      </c>
      <c r="T20" s="26">
        <v>4268.750000000003</v>
      </c>
      <c r="U20" s="26">
        <v>4273.16666666667</v>
      </c>
      <c r="V20" s="26">
        <v>4277.583333333337</v>
      </c>
      <c r="W20" s="26">
        <v>4282.000000000004</v>
      </c>
      <c r="X20" s="26">
        <v>4292.083333333337</v>
      </c>
      <c r="Y20" s="26">
        <v>4302.16666666667</v>
      </c>
      <c r="Z20" s="55">
        <v>4312.250000000003</v>
      </c>
      <c r="AA20" s="53">
        <v>4322.333333333336</v>
      </c>
      <c r="AB20" s="35">
        <f>AA20+10</f>
        <v>4332.333333333336</v>
      </c>
    </row>
    <row r="21" spans="1:28" ht="15">
      <c r="A21" t="str">
        <f t="shared" si="0"/>
        <v>General Service &gt; 50 kW</v>
      </c>
      <c r="B21" s="26">
        <v>609.2499999999999</v>
      </c>
      <c r="C21" s="26">
        <v>610.6666666666665</v>
      </c>
      <c r="D21" s="26">
        <v>612.0833333333331</v>
      </c>
      <c r="E21" s="26">
        <v>613.4999999999998</v>
      </c>
      <c r="F21" s="26">
        <v>614.9166666666664</v>
      </c>
      <c r="G21" s="26">
        <v>616.333333333333</v>
      </c>
      <c r="H21" s="26">
        <v>617.7499999999997</v>
      </c>
      <c r="I21" s="26">
        <v>619.1666666666663</v>
      </c>
      <c r="J21" s="26">
        <v>620.5833333333329</v>
      </c>
      <c r="K21" s="26">
        <v>622</v>
      </c>
      <c r="L21" s="26">
        <v>625.0833333333334</v>
      </c>
      <c r="M21" s="26">
        <v>628.1666666666667</v>
      </c>
      <c r="N21" s="26">
        <v>631.2500000000001</v>
      </c>
      <c r="O21" s="26">
        <v>634.3333333333335</v>
      </c>
      <c r="P21" s="26">
        <v>637.4166666666669</v>
      </c>
      <c r="Q21" s="26">
        <v>640.5000000000002</v>
      </c>
      <c r="R21" s="26">
        <v>643.5833333333336</v>
      </c>
      <c r="S21" s="26">
        <v>646.666666666667</v>
      </c>
      <c r="T21" s="26">
        <v>649.7500000000003</v>
      </c>
      <c r="U21" s="26">
        <v>652.8333333333337</v>
      </c>
      <c r="V21" s="26">
        <v>655.9166666666671</v>
      </c>
      <c r="W21" s="26">
        <v>659.0000000000005</v>
      </c>
      <c r="X21" s="26">
        <v>660.8333333333338</v>
      </c>
      <c r="Y21" s="26">
        <v>662.6666666666672</v>
      </c>
      <c r="Z21" s="55">
        <v>664.5000000000006</v>
      </c>
      <c r="AA21" s="53">
        <v>666.3333333333339</v>
      </c>
      <c r="AB21" s="35">
        <f>AA21+1</f>
        <v>667.3333333333339</v>
      </c>
    </row>
    <row r="22" spans="1:28" ht="15">
      <c r="A22" t="str">
        <f t="shared" si="0"/>
        <v>General Service &gt; 50 kW (TOU)</v>
      </c>
      <c r="B22" s="26">
        <v>25</v>
      </c>
      <c r="C22" s="26">
        <v>25</v>
      </c>
      <c r="D22" s="26">
        <v>25</v>
      </c>
      <c r="E22" s="26">
        <v>25</v>
      </c>
      <c r="F22" s="26">
        <v>25</v>
      </c>
      <c r="G22" s="26">
        <v>25</v>
      </c>
      <c r="H22" s="26">
        <v>25</v>
      </c>
      <c r="I22" s="26">
        <v>25</v>
      </c>
      <c r="J22" s="26">
        <v>25</v>
      </c>
      <c r="K22" s="26">
        <v>25</v>
      </c>
      <c r="L22" s="26">
        <v>25.083333333333332</v>
      </c>
      <c r="M22" s="26">
        <v>25.166666666666664</v>
      </c>
      <c r="N22" s="26">
        <v>25.249999999999996</v>
      </c>
      <c r="O22" s="26">
        <v>25.33333333333333</v>
      </c>
      <c r="P22" s="26">
        <v>25.41666666666666</v>
      </c>
      <c r="Q22" s="26">
        <v>25.499999999999993</v>
      </c>
      <c r="R22" s="26">
        <v>25.583333333333325</v>
      </c>
      <c r="S22" s="26">
        <v>25.666666666666657</v>
      </c>
      <c r="T22" s="26">
        <v>25.74999999999999</v>
      </c>
      <c r="U22" s="26">
        <v>25.83333333333332</v>
      </c>
      <c r="V22" s="26">
        <v>25.916666666666654</v>
      </c>
      <c r="W22" s="26">
        <v>25.999999999999986</v>
      </c>
      <c r="X22" s="26">
        <v>25.999999999999986</v>
      </c>
      <c r="Y22" s="26">
        <v>25.999999999999986</v>
      </c>
      <c r="Z22" s="55">
        <v>25.999999999999986</v>
      </c>
      <c r="AA22" s="53">
        <v>25.999999999999986</v>
      </c>
      <c r="AB22" s="35">
        <f>AA22</f>
        <v>25.999999999999986</v>
      </c>
    </row>
    <row r="23" spans="1:28" ht="15">
      <c r="A23" t="str">
        <f t="shared" si="0"/>
        <v>Large Use</v>
      </c>
      <c r="B23" s="26">
        <v>3</v>
      </c>
      <c r="C23" s="26">
        <v>3</v>
      </c>
      <c r="D23" s="26">
        <v>3</v>
      </c>
      <c r="E23" s="26">
        <v>3</v>
      </c>
      <c r="F23" s="26">
        <v>3</v>
      </c>
      <c r="G23" s="26">
        <v>3</v>
      </c>
      <c r="H23" s="26">
        <v>3</v>
      </c>
      <c r="I23" s="26">
        <v>3</v>
      </c>
      <c r="J23" s="26">
        <v>3</v>
      </c>
      <c r="K23" s="26">
        <v>3</v>
      </c>
      <c r="L23" s="26">
        <v>3</v>
      </c>
      <c r="M23" s="26">
        <v>3</v>
      </c>
      <c r="N23" s="26">
        <v>3</v>
      </c>
      <c r="O23" s="26">
        <v>3</v>
      </c>
      <c r="P23" s="26">
        <v>3</v>
      </c>
      <c r="Q23" s="26">
        <v>3</v>
      </c>
      <c r="R23" s="26">
        <v>3</v>
      </c>
      <c r="S23" s="26">
        <v>3</v>
      </c>
      <c r="T23" s="26">
        <v>3</v>
      </c>
      <c r="U23" s="26">
        <v>3</v>
      </c>
      <c r="V23" s="26">
        <v>3</v>
      </c>
      <c r="W23" s="26">
        <v>3</v>
      </c>
      <c r="X23" s="26">
        <v>3</v>
      </c>
      <c r="Y23" s="26">
        <v>3</v>
      </c>
      <c r="Z23" s="55">
        <v>3</v>
      </c>
      <c r="AA23" s="53">
        <v>3</v>
      </c>
      <c r="AB23" s="35">
        <f>AA23</f>
        <v>3</v>
      </c>
    </row>
    <row r="24" spans="1:27" ht="15">
      <c r="A24" t="str">
        <f t="shared" si="0"/>
        <v>Street Lights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55"/>
      <c r="AA24" s="53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21">
      <c r="A27" s="25" t="s">
        <v>64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8" s="32" customFormat="1" ht="18.75">
      <c r="A28" s="1"/>
      <c r="B28" s="71">
        <f>B17</f>
        <v>2002</v>
      </c>
      <c r="C28" s="71"/>
      <c r="D28" s="71"/>
      <c r="E28" s="71"/>
      <c r="F28" s="71"/>
      <c r="G28" s="71"/>
      <c r="H28" s="71"/>
      <c r="I28" s="71"/>
      <c r="J28" s="71"/>
      <c r="K28" s="71"/>
      <c r="L28" s="69">
        <f>L17</f>
        <v>2003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>
        <v>2004</v>
      </c>
      <c r="Y28" s="70"/>
      <c r="Z28" s="70"/>
      <c r="AA28" s="70"/>
      <c r="AB28" s="70"/>
    </row>
    <row r="29" spans="1:28" s="32" customFormat="1" ht="15">
      <c r="A29" s="23" t="str">
        <f>A7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47</v>
      </c>
      <c r="T29" s="1" t="s">
        <v>48</v>
      </c>
      <c r="U29" s="1" t="s">
        <v>49</v>
      </c>
      <c r="V29" s="1" t="s">
        <v>50</v>
      </c>
      <c r="W29" s="1" t="s">
        <v>51</v>
      </c>
      <c r="X29" s="1" t="s">
        <v>52</v>
      </c>
      <c r="Y29" s="1" t="s">
        <v>53</v>
      </c>
      <c r="Z29" s="32" t="s">
        <v>99</v>
      </c>
      <c r="AA29" s="53" t="s">
        <v>55</v>
      </c>
      <c r="AB29" s="32" t="s">
        <v>17</v>
      </c>
    </row>
    <row r="30" spans="1:28" ht="15">
      <c r="A30" t="str">
        <f aca="true" t="shared" si="1" ref="A30:A35">A19</f>
        <v>Residential</v>
      </c>
      <c r="B30" s="26">
        <v>23954505.450268015</v>
      </c>
      <c r="C30" s="26">
        <v>32641956.37164979</v>
      </c>
      <c r="D30" s="26">
        <v>29033542.975526467</v>
      </c>
      <c r="E30" s="26">
        <v>19394625</v>
      </c>
      <c r="F30" s="26">
        <v>12402232</v>
      </c>
      <c r="G30" s="26">
        <v>32046383</v>
      </c>
      <c r="H30" s="26">
        <v>37360073</v>
      </c>
      <c r="I30" s="26">
        <v>40621732</v>
      </c>
      <c r="J30" s="26">
        <v>23651470</v>
      </c>
      <c r="K30" s="26">
        <v>17965295</v>
      </c>
      <c r="L30" s="26">
        <v>40505949</v>
      </c>
      <c r="M30" s="26">
        <v>47893563</v>
      </c>
      <c r="N30" s="26">
        <v>33249326</v>
      </c>
      <c r="O30" s="26">
        <v>33247332</v>
      </c>
      <c r="P30" s="26">
        <v>26519830</v>
      </c>
      <c r="Q30" s="26">
        <v>23996017</v>
      </c>
      <c r="R30" s="26">
        <v>29553355</v>
      </c>
      <c r="S30" s="26">
        <v>32446178</v>
      </c>
      <c r="T30" s="26">
        <v>29816142</v>
      </c>
      <c r="U30" s="26">
        <v>35169874</v>
      </c>
      <c r="V30" s="26">
        <v>21627778</v>
      </c>
      <c r="W30" s="26">
        <v>30098589</v>
      </c>
      <c r="X30" s="26">
        <v>37314875</v>
      </c>
      <c r="Y30" s="26">
        <v>30437329</v>
      </c>
      <c r="Z30" s="26">
        <v>39172084</v>
      </c>
      <c r="AA30" s="26">
        <v>29682411</v>
      </c>
      <c r="AB30" s="26">
        <f>'App 33 - Mar04 to Feb05 Revenue'!C18</f>
        <v>29704534</v>
      </c>
    </row>
    <row r="31" spans="1:28" ht="15">
      <c r="A31" t="str">
        <f t="shared" si="1"/>
        <v>General Service &lt; 50 kW</v>
      </c>
      <c r="B31" s="26">
        <v>15034738</v>
      </c>
      <c r="C31" s="26">
        <v>11778933</v>
      </c>
      <c r="D31" s="26">
        <v>15597146</v>
      </c>
      <c r="E31" s="26">
        <v>6355871</v>
      </c>
      <c r="F31" s="26">
        <v>7777667</v>
      </c>
      <c r="G31" s="26">
        <v>14275040.898550725</v>
      </c>
      <c r="H31" s="26">
        <v>14265873.086956521</v>
      </c>
      <c r="I31" s="26">
        <v>19890104</v>
      </c>
      <c r="J31" s="26">
        <v>7145340</v>
      </c>
      <c r="K31" s="26">
        <v>14117868</v>
      </c>
      <c r="L31" s="26">
        <v>12883327</v>
      </c>
      <c r="M31" s="26">
        <v>19755464</v>
      </c>
      <c r="N31" s="26">
        <v>18500972</v>
      </c>
      <c r="O31" s="26">
        <v>12432995</v>
      </c>
      <c r="P31" s="26">
        <v>11789124</v>
      </c>
      <c r="Q31" s="26">
        <v>12095672</v>
      </c>
      <c r="R31" s="26">
        <v>13011498</v>
      </c>
      <c r="S31" s="26">
        <v>14909153</v>
      </c>
      <c r="T31" s="26">
        <v>12383044</v>
      </c>
      <c r="U31" s="26">
        <v>15090774</v>
      </c>
      <c r="V31" s="26">
        <v>10914685</v>
      </c>
      <c r="W31" s="26">
        <v>13723125</v>
      </c>
      <c r="X31" s="26">
        <v>14261263</v>
      </c>
      <c r="Y31" s="26">
        <v>15187161</v>
      </c>
      <c r="Z31" s="26">
        <v>14700753</v>
      </c>
      <c r="AA31" s="26">
        <v>14790207</v>
      </c>
      <c r="AB31" s="26">
        <f>'App 33 - Mar04 to Feb05 Revenue'!C19</f>
        <v>13140960</v>
      </c>
    </row>
    <row r="32" spans="1:28" ht="15">
      <c r="A32" t="str">
        <f t="shared" si="1"/>
        <v>General Service &gt; 50 kW</v>
      </c>
      <c r="B32" s="26">
        <v>101872.86</v>
      </c>
      <c r="C32" s="26">
        <v>105194.17000000001</v>
      </c>
      <c r="D32" s="26">
        <v>106779.13</v>
      </c>
      <c r="E32" s="26">
        <v>67554.17</v>
      </c>
      <c r="F32" s="26">
        <v>104796.68</v>
      </c>
      <c r="G32" s="26">
        <v>119995.35</v>
      </c>
      <c r="H32" s="26">
        <v>105478.51</v>
      </c>
      <c r="I32" s="26">
        <v>136908.09999999998</v>
      </c>
      <c r="J32" s="26">
        <v>101587.41</v>
      </c>
      <c r="K32" s="26">
        <v>99981.13999999998</v>
      </c>
      <c r="L32" s="26">
        <v>90173.6</v>
      </c>
      <c r="M32" s="26">
        <v>115551.1928</v>
      </c>
      <c r="N32" s="26">
        <v>113739.28</v>
      </c>
      <c r="O32" s="26">
        <v>105139.45</v>
      </c>
      <c r="P32" s="26">
        <v>100699.66</v>
      </c>
      <c r="Q32" s="26">
        <v>89749.25</v>
      </c>
      <c r="R32" s="26">
        <v>97392.53</v>
      </c>
      <c r="S32" s="26">
        <v>112425.94</v>
      </c>
      <c r="T32" s="26">
        <v>105449.51999999999</v>
      </c>
      <c r="U32" s="26">
        <v>96466.69</v>
      </c>
      <c r="V32" s="26">
        <v>101947.89</v>
      </c>
      <c r="W32" s="26">
        <v>101795.83</v>
      </c>
      <c r="X32" s="26">
        <v>107353</v>
      </c>
      <c r="Y32" s="26">
        <v>109880</v>
      </c>
      <c r="Z32" s="26">
        <v>107507.92000000001</v>
      </c>
      <c r="AA32" s="26">
        <v>107998.27</v>
      </c>
      <c r="AB32" s="26">
        <f>'App 33 - Mar04 to Feb05 Revenue'!C20</f>
        <v>113531.35999999999</v>
      </c>
    </row>
    <row r="33" spans="1:28" ht="15">
      <c r="A33" t="str">
        <f t="shared" si="1"/>
        <v>General Service &gt; 50 kW (TOU)</v>
      </c>
      <c r="B33" s="26">
        <v>46431.91</v>
      </c>
      <c r="C33" s="26">
        <v>46446.16</v>
      </c>
      <c r="D33" s="26">
        <v>49970.38</v>
      </c>
      <c r="E33" s="26">
        <v>46862.94</v>
      </c>
      <c r="F33" s="26">
        <v>49209.99</v>
      </c>
      <c r="G33" s="26">
        <v>47028.97</v>
      </c>
      <c r="H33" s="26">
        <v>46942.77</v>
      </c>
      <c r="I33" s="26">
        <v>46453.09</v>
      </c>
      <c r="J33" s="26">
        <v>51936.49</v>
      </c>
      <c r="K33" s="26">
        <v>41214.29</v>
      </c>
      <c r="L33" s="26">
        <v>39148.97</v>
      </c>
      <c r="M33" s="26">
        <v>46980.6119</v>
      </c>
      <c r="N33" s="26">
        <v>50659.31</v>
      </c>
      <c r="O33" s="26">
        <v>52206.84</v>
      </c>
      <c r="P33" s="26">
        <v>47928.55</v>
      </c>
      <c r="Q33" s="26">
        <v>48833.11</v>
      </c>
      <c r="R33" s="26">
        <v>47224.26</v>
      </c>
      <c r="S33" s="26">
        <v>27744.42</v>
      </c>
      <c r="T33" s="26">
        <v>54971.42</v>
      </c>
      <c r="U33" s="26">
        <v>57651.88</v>
      </c>
      <c r="V33" s="26">
        <v>53045.75</v>
      </c>
      <c r="W33" s="26">
        <v>50127.58</v>
      </c>
      <c r="X33" s="26">
        <v>47356</v>
      </c>
      <c r="Y33" s="26">
        <v>46243</v>
      </c>
      <c r="Z33" s="26">
        <v>46666.96</v>
      </c>
      <c r="AA33" s="26">
        <v>46955.4</v>
      </c>
      <c r="AB33" s="26">
        <f>'App 33 - Mar04 to Feb05 Revenue'!C21</f>
        <v>47556.35</v>
      </c>
    </row>
    <row r="34" spans="1:28" ht="15">
      <c r="A34" t="str">
        <f t="shared" si="1"/>
        <v>Large Use</v>
      </c>
      <c r="B34" s="26">
        <v>33746</v>
      </c>
      <c r="C34" s="26">
        <v>34726</v>
      </c>
      <c r="D34" s="26">
        <v>37624</v>
      </c>
      <c r="E34" s="26">
        <v>37573</v>
      </c>
      <c r="F34" s="26">
        <v>39065.55</v>
      </c>
      <c r="G34" s="26">
        <v>32968.19</v>
      </c>
      <c r="H34" s="26">
        <v>33684.03</v>
      </c>
      <c r="I34" s="26">
        <v>39712</v>
      </c>
      <c r="J34" s="26">
        <v>43707.16</v>
      </c>
      <c r="K34" s="26">
        <v>35763.42</v>
      </c>
      <c r="L34" s="26">
        <v>29661.25</v>
      </c>
      <c r="M34" s="26">
        <v>40192.1483</v>
      </c>
      <c r="N34" s="26">
        <v>34573.88</v>
      </c>
      <c r="O34" s="26">
        <v>42982.73</v>
      </c>
      <c r="P34" s="26">
        <v>38010.63</v>
      </c>
      <c r="Q34" s="26">
        <v>36104.22</v>
      </c>
      <c r="R34" s="26">
        <v>39151.93</v>
      </c>
      <c r="S34" s="26">
        <v>-29265.96</v>
      </c>
      <c r="T34" s="26">
        <v>64018.32</v>
      </c>
      <c r="U34" s="26">
        <v>74512.6</v>
      </c>
      <c r="V34" s="26">
        <v>59295.64</v>
      </c>
      <c r="W34" s="26">
        <v>54477.96</v>
      </c>
      <c r="X34" s="26">
        <v>39876</v>
      </c>
      <c r="Y34" s="26">
        <v>39810</v>
      </c>
      <c r="Z34" s="26">
        <v>40638.1</v>
      </c>
      <c r="AA34" s="26">
        <v>39819.2</v>
      </c>
      <c r="AB34" s="26">
        <f>'App 33 - Mar04 to Feb05 Revenue'!C22</f>
        <v>41098.94</v>
      </c>
    </row>
    <row r="35" spans="1:28" ht="15">
      <c r="A35" t="str">
        <f t="shared" si="1"/>
        <v>Street Lights</v>
      </c>
      <c r="B35" s="26">
        <v>2193</v>
      </c>
      <c r="C35" s="26">
        <v>2182.21</v>
      </c>
      <c r="D35" s="26">
        <v>2184.32</v>
      </c>
      <c r="E35" s="26">
        <v>0</v>
      </c>
      <c r="F35" s="26">
        <v>4370.68</v>
      </c>
      <c r="G35" s="26">
        <v>2186.36</v>
      </c>
      <c r="H35" s="26">
        <v>0</v>
      </c>
      <c r="I35" s="26">
        <v>4376.93</v>
      </c>
      <c r="J35" s="26">
        <v>2188.02</v>
      </c>
      <c r="K35" s="26">
        <v>0</v>
      </c>
      <c r="L35" s="26">
        <v>2196.47</v>
      </c>
      <c r="M35" s="26">
        <v>4404.01</v>
      </c>
      <c r="N35" s="26">
        <v>2207.44</v>
      </c>
      <c r="O35" s="26">
        <v>2207.65</v>
      </c>
      <c r="P35" s="26">
        <v>2207.51</v>
      </c>
      <c r="Q35" s="26">
        <v>2209.53</v>
      </c>
      <c r="R35" s="26">
        <v>2220.32</v>
      </c>
      <c r="S35" s="26">
        <v>2220.15</v>
      </c>
      <c r="T35" s="26">
        <v>2219.07</v>
      </c>
      <c r="U35" s="26">
        <v>2219.87</v>
      </c>
      <c r="V35" s="26">
        <v>2224.86</v>
      </c>
      <c r="W35" s="26">
        <v>2225.84</v>
      </c>
      <c r="X35" s="26">
        <v>2225.84</v>
      </c>
      <c r="Y35" s="26">
        <v>2224.7</v>
      </c>
      <c r="Z35" s="26">
        <v>2224.53</v>
      </c>
      <c r="AA35" s="26">
        <v>2228.67</v>
      </c>
      <c r="AB35" s="26">
        <f>'App 33 - Mar04 to Feb05 Revenue'!C23</f>
        <v>2229.25</v>
      </c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1">
      <c r="A38" s="25" t="s">
        <v>56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28" ht="18.75">
      <c r="A40"/>
      <c r="B40" s="71">
        <f>B28</f>
        <v>2002</v>
      </c>
      <c r="C40" s="71"/>
      <c r="D40" s="71"/>
      <c r="E40" s="71"/>
      <c r="F40" s="71"/>
      <c r="G40" s="71"/>
      <c r="H40" s="71"/>
      <c r="I40" s="71"/>
      <c r="J40" s="71"/>
      <c r="K40" s="71"/>
      <c r="L40" s="69">
        <f>L28</f>
        <v>2003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>
        <v>2004</v>
      </c>
      <c r="Y40" s="70"/>
      <c r="Z40" s="70"/>
      <c r="AA40" s="70"/>
      <c r="AB40" s="70"/>
    </row>
    <row r="41" spans="1:28" s="32" customFormat="1" ht="15">
      <c r="A41" s="23" t="str">
        <f aca="true" t="shared" si="2" ref="A41:A47">A29</f>
        <v>Rate Class</v>
      </c>
      <c r="B41" s="1" t="s">
        <v>9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47</v>
      </c>
      <c r="H41" s="1" t="s">
        <v>48</v>
      </c>
      <c r="I41" s="1" t="s">
        <v>49</v>
      </c>
      <c r="J41" s="1" t="s">
        <v>50</v>
      </c>
      <c r="K41" s="1" t="s">
        <v>51</v>
      </c>
      <c r="L41" s="1" t="s">
        <v>52</v>
      </c>
      <c r="M41" s="1" t="s">
        <v>53</v>
      </c>
      <c r="N41" s="1" t="s">
        <v>54</v>
      </c>
      <c r="O41" s="1" t="s">
        <v>16</v>
      </c>
      <c r="P41" s="1" t="s">
        <v>17</v>
      </c>
      <c r="Q41" s="1" t="s">
        <v>18</v>
      </c>
      <c r="R41" s="1" t="s">
        <v>19</v>
      </c>
      <c r="S41" s="1" t="s">
        <v>47</v>
      </c>
      <c r="T41" s="1" t="s">
        <v>48</v>
      </c>
      <c r="U41" s="1" t="s">
        <v>49</v>
      </c>
      <c r="V41" s="1" t="s">
        <v>50</v>
      </c>
      <c r="W41" s="1" t="s">
        <v>51</v>
      </c>
      <c r="X41" s="1" t="s">
        <v>52</v>
      </c>
      <c r="Y41" s="1" t="s">
        <v>53</v>
      </c>
      <c r="Z41" s="32" t="s">
        <v>99</v>
      </c>
      <c r="AA41" s="53" t="s">
        <v>55</v>
      </c>
      <c r="AB41" s="32" t="s">
        <v>17</v>
      </c>
    </row>
    <row r="42" spans="1:28" ht="15">
      <c r="A42" s="27" t="str">
        <f t="shared" si="2"/>
        <v>Residential</v>
      </c>
      <c r="B42" s="26">
        <f>(B19*($D8+$F8)+B30*($E8+$G8))*0.25</f>
        <v>30095.3450682822</v>
      </c>
      <c r="C42" s="26">
        <f>(C19*($D8+$F8)+C30*($E8+$G8))*0.75</f>
        <v>104903.46039811583</v>
      </c>
      <c r="D42" s="26">
        <f aca="true" t="shared" si="3" ref="D42:Z42">(D19*($D8+$F8)+D30*($E8+$G8))</f>
        <v>131985.4953377138</v>
      </c>
      <c r="E42" s="26">
        <f t="shared" si="3"/>
        <v>110673.30983533211</v>
      </c>
      <c r="F42" s="26">
        <f t="shared" si="3"/>
        <v>95253.38480337159</v>
      </c>
      <c r="G42" s="26">
        <f t="shared" si="3"/>
        <v>139137.4363940435</v>
      </c>
      <c r="H42" s="26">
        <f t="shared" si="3"/>
        <v>151115.94783147535</v>
      </c>
      <c r="I42" s="26">
        <f t="shared" si="3"/>
        <v>158525.78855648602</v>
      </c>
      <c r="J42" s="26">
        <f t="shared" si="3"/>
        <v>120890.99548760267</v>
      </c>
      <c r="K42" s="26">
        <f t="shared" si="3"/>
        <v>108379.25260329846</v>
      </c>
      <c r="L42" s="26">
        <f t="shared" si="3"/>
        <v>158751.79784495287</v>
      </c>
      <c r="M42" s="26">
        <f t="shared" si="3"/>
        <v>175387.40146528382</v>
      </c>
      <c r="N42" s="26">
        <f t="shared" si="3"/>
        <v>142970.98179545667</v>
      </c>
      <c r="O42" s="26">
        <f t="shared" si="3"/>
        <v>143154.25811377657</v>
      </c>
      <c r="P42" s="26">
        <f t="shared" si="3"/>
        <v>128363.76872107456</v>
      </c>
      <c r="Q42" s="26">
        <f t="shared" si="3"/>
        <v>122932.43170883215</v>
      </c>
      <c r="R42" s="26">
        <f t="shared" si="3"/>
        <v>135493.08307120632</v>
      </c>
      <c r="S42" s="26">
        <f t="shared" si="3"/>
        <v>142121.42071935936</v>
      </c>
      <c r="T42" s="26">
        <f t="shared" si="3"/>
        <v>136453.5873242234</v>
      </c>
      <c r="U42" s="26">
        <f t="shared" si="3"/>
        <v>148560.9274212837</v>
      </c>
      <c r="V42" s="26">
        <f t="shared" si="3"/>
        <v>118598.32999276702</v>
      </c>
      <c r="W42" s="26">
        <f t="shared" si="3"/>
        <v>137645.57866606372</v>
      </c>
      <c r="X42" s="26">
        <f t="shared" si="3"/>
        <v>153795.27231661478</v>
      </c>
      <c r="Y42" s="26">
        <f t="shared" si="3"/>
        <v>138566.25995142636</v>
      </c>
      <c r="Z42" s="26">
        <f t="shared" si="3"/>
        <v>158096.69436467512</v>
      </c>
      <c r="AA42" s="26">
        <f>(AA19*($D8+$F8)+AA30*($E8+$G8))*0.75</f>
        <v>102789.00424959377</v>
      </c>
      <c r="AB42" s="26">
        <f>(AB19*($D8+$F8)+AB30*($E8+$G8))*0.25</f>
        <v>34300.42088035213</v>
      </c>
    </row>
    <row r="43" spans="1:28" ht="15">
      <c r="A43" s="27" t="str">
        <f t="shared" si="2"/>
        <v>General Service &lt; 50 kW</v>
      </c>
      <c r="B43" s="26">
        <f>(B20*($D9+$F9)+B31*($E9+$G9))*0.25</f>
        <v>10641.45146999971</v>
      </c>
      <c r="C43" s="26">
        <f>(C20*($D9+$F9)+C31*($E9+$G9))*0.75</f>
        <v>27699.325417676097</v>
      </c>
      <c r="D43" s="26">
        <f aca="true" t="shared" si="4" ref="D43:Z43">(D20*($D9+$F9)+D31*($E9+$G9))</f>
        <v>43679.469863423044</v>
      </c>
      <c r="E43" s="26">
        <f t="shared" si="4"/>
        <v>27570.78378059164</v>
      </c>
      <c r="F43" s="26">
        <f t="shared" si="4"/>
        <v>30123.79309038233</v>
      </c>
      <c r="G43" s="26">
        <f t="shared" si="4"/>
        <v>41559.692581086056</v>
      </c>
      <c r="H43" s="26">
        <f t="shared" si="4"/>
        <v>41608.337925764215</v>
      </c>
      <c r="I43" s="26">
        <f t="shared" si="4"/>
        <v>51516.12901038672</v>
      </c>
      <c r="J43" s="26">
        <f t="shared" si="4"/>
        <v>29275.903099169842</v>
      </c>
      <c r="K43" s="26">
        <f t="shared" si="4"/>
        <v>41543.38113847382</v>
      </c>
      <c r="L43" s="26">
        <f t="shared" si="4"/>
        <v>39400.363881475336</v>
      </c>
      <c r="M43" s="26">
        <f t="shared" si="4"/>
        <v>51445.03753285313</v>
      </c>
      <c r="N43" s="26">
        <f t="shared" si="4"/>
        <v>49267.103553947956</v>
      </c>
      <c r="O43" s="26">
        <f t="shared" si="4"/>
        <v>38664.97443961176</v>
      </c>
      <c r="P43" s="26">
        <f t="shared" si="4"/>
        <v>37555.70286596847</v>
      </c>
      <c r="Q43" s="26">
        <f t="shared" si="4"/>
        <v>38109.78229818087</v>
      </c>
      <c r="R43" s="26">
        <f t="shared" si="4"/>
        <v>39730.17371925895</v>
      </c>
      <c r="S43" s="26">
        <f t="shared" si="4"/>
        <v>43068.88753785672</v>
      </c>
      <c r="T43" s="26">
        <f t="shared" si="4"/>
        <v>38665.46625702136</v>
      </c>
      <c r="U43" s="26">
        <f t="shared" si="4"/>
        <v>43421.911693009504</v>
      </c>
      <c r="V43" s="26">
        <f t="shared" si="4"/>
        <v>36130.82098148963</v>
      </c>
      <c r="W43" s="26">
        <f t="shared" si="4"/>
        <v>41063.521395334625</v>
      </c>
      <c r="X43" s="26">
        <f t="shared" si="4"/>
        <v>42045.47063799665</v>
      </c>
      <c r="Y43" s="26">
        <f t="shared" si="4"/>
        <v>43706.04792369086</v>
      </c>
      <c r="Z43" s="26">
        <f t="shared" si="4"/>
        <v>42894.91472624446</v>
      </c>
      <c r="AA43" s="26">
        <f>(AA20*($D9+$F9)+AA31*($E9+$G9))*0.75</f>
        <v>32318.708533093915</v>
      </c>
      <c r="AB43" s="26">
        <f>(AB20*($D9+$F9)+AB31*($E9+$G9))*0.25</f>
        <v>10061.258527797927</v>
      </c>
    </row>
    <row r="44" spans="1:28" ht="15">
      <c r="A44" s="27" t="str">
        <f t="shared" si="2"/>
        <v>General Service &gt; 50 kW</v>
      </c>
      <c r="B44" s="26">
        <f>(B21*($D10+$F10)+B32*($E10+$G10))*0.5</f>
        <v>36422.74020472137</v>
      </c>
      <c r="C44" s="26">
        <f>(C21*($D10+$F10)+C32*($E10+$G10))*0.75</f>
        <v>56165.02868884429</v>
      </c>
      <c r="D44" s="26">
        <f aca="true" t="shared" si="5" ref="D44:Z44">(D21*($D10+$F10)+D32*($E10+$G10))</f>
        <v>75874.19504059965</v>
      </c>
      <c r="E44" s="26">
        <f t="shared" si="5"/>
        <v>52095.470960738225</v>
      </c>
      <c r="F44" s="26">
        <f t="shared" si="5"/>
        <v>74722.36937425987</v>
      </c>
      <c r="G44" s="26">
        <f t="shared" si="5"/>
        <v>83971.57767531229</v>
      </c>
      <c r="H44" s="26">
        <f t="shared" si="5"/>
        <v>75187.40865580802</v>
      </c>
      <c r="I44" s="26">
        <f t="shared" si="5"/>
        <v>94286.63483034704</v>
      </c>
      <c r="J44" s="26">
        <f t="shared" si="5"/>
        <v>72877.28533202</v>
      </c>
      <c r="K44" s="26">
        <f t="shared" si="5"/>
        <v>71928.12167616114</v>
      </c>
      <c r="L44" s="26">
        <f t="shared" si="5"/>
        <v>66032.02602601553</v>
      </c>
      <c r="M44" s="26">
        <f t="shared" si="5"/>
        <v>81488.6440212455</v>
      </c>
      <c r="N44" s="26">
        <f t="shared" si="5"/>
        <v>80444.83467586484</v>
      </c>
      <c r="O44" s="26">
        <f t="shared" si="5"/>
        <v>75281.6589764052</v>
      </c>
      <c r="P44" s="26">
        <f t="shared" si="5"/>
        <v>72643.07635943376</v>
      </c>
      <c r="Q44" s="26">
        <f t="shared" si="5"/>
        <v>66053.41004742352</v>
      </c>
      <c r="R44" s="26">
        <f t="shared" si="5"/>
        <v>70747.64993629832</v>
      </c>
      <c r="S44" s="26">
        <f t="shared" si="5"/>
        <v>79926.7195567835</v>
      </c>
      <c r="T44" s="26">
        <f t="shared" si="5"/>
        <v>75748.73862853812</v>
      </c>
      <c r="U44" s="26">
        <f t="shared" si="5"/>
        <v>70353.13267586147</v>
      </c>
      <c r="V44" s="26">
        <f t="shared" si="5"/>
        <v>73735.27647628855</v>
      </c>
      <c r="W44" s="26">
        <f t="shared" si="5"/>
        <v>73698.77785311936</v>
      </c>
      <c r="X44" s="26">
        <f t="shared" si="5"/>
        <v>77104.41119556956</v>
      </c>
      <c r="Y44" s="26">
        <f t="shared" si="5"/>
        <v>78671.13283987182</v>
      </c>
      <c r="Z44" s="26">
        <f t="shared" si="5"/>
        <v>77264.76204310232</v>
      </c>
      <c r="AA44" s="26">
        <f>(AA21*($D10+$F10)+AA32*($E10+$G10))*0.5</f>
        <v>38797.75349485835</v>
      </c>
      <c r="AB44" s="26"/>
    </row>
    <row r="45" spans="1:28" ht="15">
      <c r="A45" s="27" t="str">
        <f t="shared" si="2"/>
        <v>General Service &gt; 50 kW (TOU)</v>
      </c>
      <c r="B45" s="26">
        <f>(B22*($D11+$F11)+B33*($E11+$G11))*0.5</f>
        <v>11804.477548781339</v>
      </c>
      <c r="C45" s="26">
        <f>(C22*($D11+$F11)+C33*($E11+$G11))</f>
        <v>23615.135807964554</v>
      </c>
      <c r="D45" s="26">
        <f aca="true" t="shared" si="6" ref="D45:Z45">(D22*($D11+$F11)+D33*($E11+$G11))</f>
        <v>25143.7100684911</v>
      </c>
      <c r="E45" s="26">
        <f t="shared" si="6"/>
        <v>23795.907490862402</v>
      </c>
      <c r="F45" s="26">
        <f t="shared" si="6"/>
        <v>24813.903024106305</v>
      </c>
      <c r="G45" s="26">
        <f t="shared" si="6"/>
        <v>23867.920357390376</v>
      </c>
      <c r="H45" s="26">
        <f t="shared" si="6"/>
        <v>23830.53248113481</v>
      </c>
      <c r="I45" s="26">
        <f t="shared" si="6"/>
        <v>23618.14158502315</v>
      </c>
      <c r="J45" s="26">
        <f t="shared" si="6"/>
        <v>25996.47894766545</v>
      </c>
      <c r="K45" s="26">
        <f t="shared" si="6"/>
        <v>21345.89557426149</v>
      </c>
      <c r="L45" s="26">
        <f t="shared" si="6"/>
        <v>20461.66211902472</v>
      </c>
      <c r="M45" s="26">
        <f t="shared" si="6"/>
        <v>23870.07816289751</v>
      </c>
      <c r="N45" s="26">
        <f t="shared" si="6"/>
        <v>25477.221017782864</v>
      </c>
      <c r="O45" s="26">
        <f t="shared" si="6"/>
        <v>26160.003673101997</v>
      </c>
      <c r="P45" s="26">
        <f t="shared" si="6"/>
        <v>24315.9297478272</v>
      </c>
      <c r="Q45" s="26">
        <f t="shared" si="6"/>
        <v>24719.834412473007</v>
      </c>
      <c r="R45" s="26">
        <f t="shared" si="6"/>
        <v>24033.58754510605</v>
      </c>
      <c r="S45" s="26">
        <f t="shared" si="6"/>
        <v>15596.083570030924</v>
      </c>
      <c r="T45" s="26">
        <f t="shared" si="6"/>
        <v>27416.92709157396</v>
      </c>
      <c r="U45" s="26">
        <f t="shared" si="6"/>
        <v>28591.100079215805</v>
      </c>
      <c r="V45" s="26">
        <f t="shared" si="6"/>
        <v>26604.83077863214</v>
      </c>
      <c r="W45" s="26">
        <f t="shared" si="6"/>
        <v>25350.687227518814</v>
      </c>
      <c r="X45" s="26">
        <f t="shared" si="6"/>
        <v>24148.55857238657</v>
      </c>
      <c r="Y45" s="26">
        <f t="shared" si="6"/>
        <v>23665.81255994522</v>
      </c>
      <c r="Z45" s="26">
        <f t="shared" si="6"/>
        <v>23849.698453417488</v>
      </c>
      <c r="AA45" s="26">
        <f>(AA22*($D11+$F11)+AA33*($E11+$G11))*0.5</f>
        <v>11987.402353316375</v>
      </c>
      <c r="AB45" s="26"/>
    </row>
    <row r="46" spans="1:28" ht="15">
      <c r="A46" s="27" t="str">
        <f t="shared" si="2"/>
        <v>Large Use</v>
      </c>
      <c r="B46" s="26">
        <f>(B23*($D12+$F12)+B34*($E12+$G12))*0.5</f>
        <v>6676.06412895844</v>
      </c>
      <c r="C46" s="26">
        <f>(C23*($D12+$F12)+C34*($E12+$G12))</f>
        <v>13679.994304229927</v>
      </c>
      <c r="D46" s="26">
        <f aca="true" t="shared" si="7" ref="D46:Z46">(D23*($D12+$F12)+D34*($E12+$G12))</f>
        <v>14649.541041184213</v>
      </c>
      <c r="E46" s="26">
        <f t="shared" si="7"/>
        <v>14632.478624488329</v>
      </c>
      <c r="F46" s="26">
        <f t="shared" si="7"/>
        <v>15131.821958595</v>
      </c>
      <c r="G46" s="26">
        <f t="shared" si="7"/>
        <v>13091.906329873262</v>
      </c>
      <c r="H46" s="26">
        <f t="shared" si="7"/>
        <v>13331.395748845433</v>
      </c>
      <c r="I46" s="26">
        <f t="shared" si="7"/>
        <v>15348.096454145067</v>
      </c>
      <c r="J46" s="26">
        <f t="shared" si="7"/>
        <v>16684.705957806313</v>
      </c>
      <c r="K46" s="26">
        <f t="shared" si="7"/>
        <v>14027.070624399392</v>
      </c>
      <c r="L46" s="26">
        <f t="shared" si="7"/>
        <v>11985.5457755932</v>
      </c>
      <c r="M46" s="26">
        <f t="shared" si="7"/>
        <v>15508.73352023173</v>
      </c>
      <c r="N46" s="26">
        <f t="shared" si="7"/>
        <v>13629.101464469579</v>
      </c>
      <c r="O46" s="26">
        <f t="shared" si="7"/>
        <v>16442.34269257105</v>
      </c>
      <c r="P46" s="26">
        <f t="shared" si="7"/>
        <v>14778.89088759851</v>
      </c>
      <c r="Q46" s="26">
        <f t="shared" si="7"/>
        <v>14141.087714790705</v>
      </c>
      <c r="R46" s="26">
        <f t="shared" si="7"/>
        <v>15160.721008677163</v>
      </c>
      <c r="S46" s="26">
        <f t="shared" si="7"/>
        <v>-7728.976023344018</v>
      </c>
      <c r="T46" s="26">
        <f t="shared" si="7"/>
        <v>23479.950575389626</v>
      </c>
      <c r="U46" s="26">
        <f t="shared" si="7"/>
        <v>26990.887404473357</v>
      </c>
      <c r="V46" s="26">
        <f t="shared" si="7"/>
        <v>21899.94402477566</v>
      </c>
      <c r="W46" s="26">
        <f t="shared" si="7"/>
        <v>20288.154541100736</v>
      </c>
      <c r="X46" s="26">
        <f t="shared" si="7"/>
        <v>15402.963833323985</v>
      </c>
      <c r="Y46" s="26">
        <f t="shared" si="7"/>
        <v>15380.88305877637</v>
      </c>
      <c r="Z46" s="26">
        <f t="shared" si="7"/>
        <v>15657.929867910894</v>
      </c>
      <c r="AA46" s="26">
        <f>(AA23*($D12+$F12)+AA34*($E12+$G12))*0.5</f>
        <v>7691.980492462715</v>
      </c>
      <c r="AB46" s="26"/>
    </row>
    <row r="47" spans="1:28" ht="15">
      <c r="A47" s="28" t="str">
        <f t="shared" si="2"/>
        <v>Street Lights</v>
      </c>
      <c r="B47" s="29">
        <f>(B24*($D13+$F13)+B35*($E13+$G13))*0.5</f>
        <v>535.1949243848703</v>
      </c>
      <c r="C47" s="29">
        <f>(C24*($D13+$F13)+C35*($E13+$G13))</f>
        <v>1065.1233159524922</v>
      </c>
      <c r="D47" s="29">
        <f aca="true" t="shared" si="8" ref="D47:Z47">(D24*($D13+$F13)+D35*($E13+$G13))</f>
        <v>1066.1531940103603</v>
      </c>
      <c r="E47" s="29">
        <f t="shared" si="8"/>
        <v>0</v>
      </c>
      <c r="F47" s="29">
        <f t="shared" si="8"/>
        <v>2133.302099507948</v>
      </c>
      <c r="G47" s="29">
        <f t="shared" si="8"/>
        <v>1067.1489054975877</v>
      </c>
      <c r="H47" s="29">
        <f t="shared" si="8"/>
        <v>0</v>
      </c>
      <c r="I47" s="29">
        <f t="shared" si="8"/>
        <v>2136.3526861722485</v>
      </c>
      <c r="J47" s="29">
        <f t="shared" si="8"/>
        <v>1067.9591413156259</v>
      </c>
      <c r="K47" s="29">
        <f t="shared" si="8"/>
        <v>0</v>
      </c>
      <c r="L47" s="29">
        <f t="shared" si="8"/>
        <v>1072.08353448576</v>
      </c>
      <c r="M47" s="29">
        <f t="shared" si="8"/>
        <v>2149.5702680713293</v>
      </c>
      <c r="N47" s="29">
        <f t="shared" si="8"/>
        <v>1077.4379241989404</v>
      </c>
      <c r="O47" s="29">
        <f t="shared" si="8"/>
        <v>1077.540423910861</v>
      </c>
      <c r="P47" s="29">
        <f t="shared" si="8"/>
        <v>1077.4720907695805</v>
      </c>
      <c r="Q47" s="29">
        <f t="shared" si="8"/>
        <v>1078.4580403794826</v>
      </c>
      <c r="R47" s="29">
        <f t="shared" si="8"/>
        <v>1083.7245731967307</v>
      </c>
      <c r="S47" s="29">
        <f t="shared" si="8"/>
        <v>1083.6415972394618</v>
      </c>
      <c r="T47" s="29">
        <f t="shared" si="8"/>
        <v>1083.1144558638707</v>
      </c>
      <c r="U47" s="29">
        <f t="shared" si="8"/>
        <v>1083.504930956901</v>
      </c>
      <c r="V47" s="29">
        <f t="shared" si="8"/>
        <v>1085.9405193496787</v>
      </c>
      <c r="W47" s="29">
        <f t="shared" si="8"/>
        <v>1086.418851338641</v>
      </c>
      <c r="X47" s="29">
        <f t="shared" si="8"/>
        <v>1086.418851338641</v>
      </c>
      <c r="Y47" s="29">
        <f t="shared" si="8"/>
        <v>1085.8624243310724</v>
      </c>
      <c r="Z47" s="29">
        <f t="shared" si="8"/>
        <v>1085.7794483738035</v>
      </c>
      <c r="AA47" s="29">
        <f>(AA24*($D13+$F13)+AA35*($E13+$G13))*0.5</f>
        <v>543.9000784901181</v>
      </c>
      <c r="AB47" s="29"/>
    </row>
    <row r="48" spans="1:30" ht="15">
      <c r="A48" t="s">
        <v>13</v>
      </c>
      <c r="B48" s="26">
        <f aca="true" t="shared" si="9" ref="B48:AB48">SUM(B42:B47)</f>
        <v>96175.27334512792</v>
      </c>
      <c r="C48" s="26">
        <f t="shared" si="9"/>
        <v>227128.06793278316</v>
      </c>
      <c r="D48" s="26">
        <f t="shared" si="9"/>
        <v>292398.56454542215</v>
      </c>
      <c r="E48" s="26">
        <f t="shared" si="9"/>
        <v>228767.95069201273</v>
      </c>
      <c r="F48" s="26">
        <f t="shared" si="9"/>
        <v>242178.57435022306</v>
      </c>
      <c r="G48" s="26">
        <f t="shared" si="9"/>
        <v>302695.68224320305</v>
      </c>
      <c r="H48" s="26">
        <f t="shared" si="9"/>
        <v>305073.6226430278</v>
      </c>
      <c r="I48" s="26">
        <f t="shared" si="9"/>
        <v>345431.1431225602</v>
      </c>
      <c r="J48" s="26">
        <f t="shared" si="9"/>
        <v>266793.32796557987</v>
      </c>
      <c r="K48" s="26">
        <f t="shared" si="9"/>
        <v>257223.7216165943</v>
      </c>
      <c r="L48" s="26">
        <f t="shared" si="9"/>
        <v>297703.4791815474</v>
      </c>
      <c r="M48" s="26">
        <f t="shared" si="9"/>
        <v>349849.464970583</v>
      </c>
      <c r="N48" s="26">
        <f t="shared" si="9"/>
        <v>312866.68043172086</v>
      </c>
      <c r="O48" s="26">
        <f t="shared" si="9"/>
        <v>300780.77831937745</v>
      </c>
      <c r="P48" s="26">
        <f t="shared" si="9"/>
        <v>278734.840672672</v>
      </c>
      <c r="Q48" s="26">
        <f t="shared" si="9"/>
        <v>267035.00422207976</v>
      </c>
      <c r="R48" s="26">
        <f t="shared" si="9"/>
        <v>286248.93985374353</v>
      </c>
      <c r="S48" s="26">
        <f t="shared" si="9"/>
        <v>274067.77695792593</v>
      </c>
      <c r="T48" s="26">
        <f t="shared" si="9"/>
        <v>302847.7843326103</v>
      </c>
      <c r="U48" s="26">
        <f t="shared" si="9"/>
        <v>319001.46420480084</v>
      </c>
      <c r="V48" s="26">
        <f t="shared" si="9"/>
        <v>278055.1427733026</v>
      </c>
      <c r="W48" s="26">
        <f t="shared" si="9"/>
        <v>299133.1385344759</v>
      </c>
      <c r="X48" s="26">
        <f t="shared" si="9"/>
        <v>313583.09540723014</v>
      </c>
      <c r="Y48" s="26">
        <f t="shared" si="9"/>
        <v>301075.9987580417</v>
      </c>
      <c r="Z48" s="26">
        <f t="shared" si="9"/>
        <v>318849.77890372416</v>
      </c>
      <c r="AA48" s="26">
        <f t="shared" si="9"/>
        <v>194128.74920181523</v>
      </c>
      <c r="AB48" s="26">
        <f t="shared" si="9"/>
        <v>44361.679408150056</v>
      </c>
      <c r="AD48" s="35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</sheetData>
  <sheetProtection/>
  <mergeCells count="12">
    <mergeCell ref="B40:K40"/>
    <mergeCell ref="F6:G6"/>
    <mergeCell ref="B6:C6"/>
    <mergeCell ref="D6:E6"/>
    <mergeCell ref="B17:K17"/>
    <mergeCell ref="B28:K28"/>
    <mergeCell ref="L17:W17"/>
    <mergeCell ref="L28:W28"/>
    <mergeCell ref="L40:W40"/>
    <mergeCell ref="X17:AB17"/>
    <mergeCell ref="X28:AB28"/>
    <mergeCell ref="X40:AB40"/>
  </mergeCells>
  <printOptions/>
  <pageMargins left="0.75" right="0.75" top="1" bottom="1" header="0.5" footer="0.5"/>
  <pageSetup fitToHeight="2" horizontalDpi="600" verticalDpi="600" orientation="landscape" scale="55" r:id="rId1"/>
  <headerFooter alignWithMargins="0">
    <oddHeader>&amp;C&amp;A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3"/>
  <sheetViews>
    <sheetView zoomScale="70" zoomScaleNormal="70" zoomScalePageLayoutView="0" workbookViewId="0" topLeftCell="A1">
      <selection activeCell="N30" sqref="N30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4.421875" style="30" bestFit="1" customWidth="1"/>
    <col min="13" max="13" width="14.00390625" style="30" bestFit="1" customWidth="1"/>
    <col min="14" max="14" width="14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57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38</v>
      </c>
      <c r="B3" s="34" t="s">
        <v>108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63</v>
      </c>
      <c r="B4" s="34" t="s">
        <v>35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72" t="s">
        <v>40</v>
      </c>
      <c r="C6" s="72"/>
      <c r="D6" s="72" t="s">
        <v>43</v>
      </c>
      <c r="E6" s="72"/>
      <c r="F6"/>
      <c r="G6"/>
      <c r="H6"/>
      <c r="I6"/>
      <c r="J6"/>
      <c r="K6"/>
      <c r="L6"/>
      <c r="M6"/>
    </row>
    <row r="7" spans="1:13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/>
      <c r="G7"/>
      <c r="H7"/>
      <c r="I7"/>
      <c r="J7"/>
      <c r="K7"/>
      <c r="L7"/>
      <c r="M7"/>
    </row>
    <row r="8" spans="1:13" ht="15">
      <c r="A8" t="str">
        <f>'App 32 - Mar02 to Feb04 Revenue'!A19</f>
        <v>Residential</v>
      </c>
      <c r="B8" s="8">
        <f>'[2]10. 2004 Rate Schedule '!$F$10</f>
        <v>9.22</v>
      </c>
      <c r="C8" s="24">
        <f>'[2]10. 2004 Rate Schedule '!$F$11</f>
        <v>0.011666048267952474</v>
      </c>
      <c r="D8" s="8">
        <v>0</v>
      </c>
      <c r="E8" s="51">
        <f>'[2]7. 2002 Data &amp; 2004 PILs'!$B$48</f>
        <v>0.004008489605365159</v>
      </c>
      <c r="F8"/>
      <c r="G8"/>
      <c r="H8"/>
      <c r="I8"/>
      <c r="J8"/>
      <c r="K8"/>
      <c r="L8"/>
      <c r="M8"/>
    </row>
    <row r="9" spans="1:13" ht="15">
      <c r="A9" t="str">
        <f>'App 32 - Mar02 to Feb04 Revenue'!A20</f>
        <v>General Service &lt; 50 kW</v>
      </c>
      <c r="B9" s="8">
        <f>'[2]10. 2004 Rate Schedule '!$F$22</f>
        <v>14.69</v>
      </c>
      <c r="C9" s="24">
        <f>'[2]10. 2004 Rate Schedule '!$F$23</f>
        <v>0.010587617957786205</v>
      </c>
      <c r="D9" s="8">
        <v>0</v>
      </c>
      <c r="E9" s="51">
        <f>'[2]7. 2002 Data &amp; 2004 PILs'!$B$66</f>
        <v>0.0012167808334649722</v>
      </c>
      <c r="F9" t="s">
        <v>100</v>
      </c>
      <c r="G9"/>
      <c r="H9"/>
      <c r="I9"/>
      <c r="J9"/>
      <c r="K9"/>
      <c r="L9"/>
      <c r="M9"/>
    </row>
    <row r="10" spans="1:13" ht="15">
      <c r="A10" t="str">
        <f>'App 32 - Mar02 to Feb04 Revenue'!A21</f>
        <v>General Service &gt; 50 kW</v>
      </c>
      <c r="B10" s="8">
        <f>'[2]10. 2004 Rate Schedule '!$F$28</f>
        <v>105.06</v>
      </c>
      <c r="C10" s="24">
        <f>'[2]10. 2004 Rate Schedule '!$F$29</f>
        <v>2.8998559595612265</v>
      </c>
      <c r="D10" s="8">
        <v>0</v>
      </c>
      <c r="E10" s="51">
        <f>'[2]7. 2002 Data &amp; 2004 PILs'!$B$84</f>
        <v>0.367275245679914</v>
      </c>
      <c r="F10"/>
      <c r="G10"/>
      <c r="H10"/>
      <c r="I10"/>
      <c r="J10"/>
      <c r="K10"/>
      <c r="L10"/>
      <c r="M10"/>
    </row>
    <row r="11" spans="1:13" ht="15">
      <c r="A11" t="str">
        <f>'App 32 - Mar02 to Feb04 Revenue'!A22</f>
        <v>General Service &gt; 50 kW (TOU)</v>
      </c>
      <c r="B11" s="8">
        <f>'[2]10. 2004 Rate Schedule '!$F$34</f>
        <v>792.27</v>
      </c>
      <c r="C11" s="24">
        <f>'[2]10. 2004 Rate Schedule '!$F$35</f>
        <v>2.4153686086564368</v>
      </c>
      <c r="D11" s="8">
        <v>0</v>
      </c>
      <c r="E11" s="51">
        <f>'[2]7. 2002 Data &amp; 2004 PILs'!$B$102</f>
        <v>0.229463968472612</v>
      </c>
      <c r="F11"/>
      <c r="G11"/>
      <c r="H11"/>
      <c r="I11"/>
      <c r="J11"/>
      <c r="K11"/>
      <c r="L11"/>
      <c r="M11"/>
    </row>
    <row r="12" spans="1:13" ht="15">
      <c r="A12" t="str">
        <f>'App 32 - Mar02 to Feb04 Revenue'!A23</f>
        <v>Large Use</v>
      </c>
      <c r="B12" s="8">
        <f>'[2]10. 2004 Rate Schedule '!$F$46</f>
        <v>4317.8</v>
      </c>
      <c r="C12" s="24">
        <f>'[2]10. 2004 Rate Schedule '!$F$47</f>
        <v>2.02168077995271</v>
      </c>
      <c r="D12" s="8">
        <v>0</v>
      </c>
      <c r="E12" s="51">
        <f>'[2]7. 2002 Data &amp; 2004 PILs'!$B$138</f>
        <v>0.2837743028897113</v>
      </c>
      <c r="F12"/>
      <c r="G12"/>
      <c r="H12"/>
      <c r="I12"/>
      <c r="J12"/>
      <c r="K12"/>
      <c r="L12"/>
      <c r="M12"/>
    </row>
    <row r="13" spans="1:13" ht="15">
      <c r="A13" t="str">
        <f>'App 32 - Mar02 to Feb04 Revenue'!A24</f>
        <v>Street Lights</v>
      </c>
      <c r="B13" s="8">
        <f>'[2]10. 2004 Rate Schedule '!$F$81</f>
        <v>0.33</v>
      </c>
      <c r="C13" s="24">
        <f>'[2]10. 2004 Rate Schedule '!$F$82</f>
        <v>1.226016291361205</v>
      </c>
      <c r="D13" s="8">
        <v>0</v>
      </c>
      <c r="E13" s="51">
        <f>'[2]7. 2002 Data &amp; 2004 PILs'!$B$174</f>
        <v>0.6930582906400956</v>
      </c>
      <c r="F13"/>
      <c r="G13"/>
      <c r="H13"/>
      <c r="I13"/>
      <c r="J13"/>
      <c r="K13"/>
      <c r="L13"/>
      <c r="M13"/>
    </row>
    <row r="14" spans="1:13" ht="1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1">
      <c r="A15" s="25" t="s">
        <v>64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4" s="32" customFormat="1" ht="18.75">
      <c r="A16" s="1"/>
      <c r="B16" s="71">
        <v>2004</v>
      </c>
      <c r="C16" s="71"/>
      <c r="D16" s="71"/>
      <c r="E16" s="71"/>
      <c r="F16" s="71"/>
      <c r="G16" s="71"/>
      <c r="H16" s="71"/>
      <c r="I16" s="71"/>
      <c r="J16" s="71"/>
      <c r="K16" s="69">
        <v>2005</v>
      </c>
      <c r="L16" s="69"/>
      <c r="M16" s="69"/>
      <c r="N16" s="69"/>
    </row>
    <row r="17" spans="1:14" s="32" customFormat="1" ht="15">
      <c r="A17" s="23" t="str">
        <f aca="true" t="shared" si="0" ref="A17:A23">A7</f>
        <v>Rate Class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47</v>
      </c>
      <c r="G17" s="1" t="s">
        <v>48</v>
      </c>
      <c r="H17" s="1" t="s">
        <v>49</v>
      </c>
      <c r="I17" s="1" t="s">
        <v>50</v>
      </c>
      <c r="J17" s="1" t="s">
        <v>51</v>
      </c>
      <c r="K17" s="1" t="s">
        <v>52</v>
      </c>
      <c r="L17" s="1" t="s">
        <v>53</v>
      </c>
      <c r="M17" s="32" t="s">
        <v>99</v>
      </c>
      <c r="N17" s="32" t="s">
        <v>55</v>
      </c>
    </row>
    <row r="18" spans="1:14" ht="15">
      <c r="A18" t="str">
        <f t="shared" si="0"/>
        <v>Residential</v>
      </c>
      <c r="B18" s="26">
        <v>29682411</v>
      </c>
      <c r="C18" s="26">
        <v>29704534</v>
      </c>
      <c r="D18" s="26">
        <v>27993592</v>
      </c>
      <c r="E18" s="26">
        <v>29197891</v>
      </c>
      <c r="F18" s="26">
        <v>29730609</v>
      </c>
      <c r="G18" s="26">
        <v>33484546</v>
      </c>
      <c r="H18" s="26">
        <v>25835678</v>
      </c>
      <c r="I18" s="26">
        <v>27682870</v>
      </c>
      <c r="J18" s="26">
        <v>28123891</v>
      </c>
      <c r="K18" s="26">
        <v>33043533</v>
      </c>
      <c r="L18" s="26">
        <v>35992593</v>
      </c>
      <c r="M18" s="26">
        <v>32760981</v>
      </c>
      <c r="N18" s="26">
        <f>'App 34 - Mar05 to Apr06 Revenue'!C18</f>
        <v>36063239</v>
      </c>
    </row>
    <row r="19" spans="1:14" ht="15">
      <c r="A19" t="str">
        <f t="shared" si="0"/>
        <v>General Service &lt; 50 kW</v>
      </c>
      <c r="B19" s="26">
        <f>'App 32 - Mar02 to Feb04 Revenue'!AA31</f>
        <v>14790207</v>
      </c>
      <c r="C19" s="26">
        <v>13140960</v>
      </c>
      <c r="D19" s="26">
        <v>13750780</v>
      </c>
      <c r="E19" s="26">
        <v>13018821</v>
      </c>
      <c r="F19" s="26">
        <v>14261744</v>
      </c>
      <c r="G19" s="26">
        <v>12348849</v>
      </c>
      <c r="H19" s="26">
        <v>14936993</v>
      </c>
      <c r="I19" s="26">
        <v>11209010</v>
      </c>
      <c r="J19" s="26">
        <v>14840546</v>
      </c>
      <c r="K19" s="26">
        <v>13397575</v>
      </c>
      <c r="L19" s="26">
        <v>16526677</v>
      </c>
      <c r="M19" s="26">
        <v>13065446</v>
      </c>
      <c r="N19" s="26">
        <f>'App 34 - Mar05 to Apr06 Revenue'!C19</f>
        <v>16745271</v>
      </c>
    </row>
    <row r="20" spans="1:14" ht="15">
      <c r="A20" t="str">
        <f t="shared" si="0"/>
        <v>General Service &gt; 50 kW</v>
      </c>
      <c r="B20" s="26">
        <f>'App 32 - Mar02 to Feb04 Revenue'!AA32</f>
        <v>107998.27</v>
      </c>
      <c r="C20" s="26">
        <v>113531.35999999999</v>
      </c>
      <c r="D20" s="26">
        <v>114664.22</v>
      </c>
      <c r="E20" s="26">
        <v>116398.56</v>
      </c>
      <c r="F20" s="26">
        <v>114324.8</v>
      </c>
      <c r="G20" s="26">
        <v>118646.88</v>
      </c>
      <c r="H20" s="26">
        <v>119963.42</v>
      </c>
      <c r="I20" s="26">
        <v>111399.70999999999</v>
      </c>
      <c r="J20" s="26">
        <v>109973.36</v>
      </c>
      <c r="K20" s="26">
        <v>111625</v>
      </c>
      <c r="L20" s="26">
        <v>113325</v>
      </c>
      <c r="M20" s="26">
        <v>113263</v>
      </c>
      <c r="N20" s="26">
        <f>'App 34 - Mar05 to Apr06 Revenue'!C20</f>
        <v>110430</v>
      </c>
    </row>
    <row r="21" spans="1:14" ht="15">
      <c r="A21" t="str">
        <f t="shared" si="0"/>
        <v>General Service &gt; 50 kW (TOU)</v>
      </c>
      <c r="B21" s="26">
        <f>'App 32 - Mar02 to Feb04 Revenue'!AA33</f>
        <v>46955.4</v>
      </c>
      <c r="C21" s="26">
        <v>47556.35</v>
      </c>
      <c r="D21" s="26">
        <v>49736.01</v>
      </c>
      <c r="E21" s="26">
        <v>51042.89</v>
      </c>
      <c r="F21" s="26">
        <v>50392.939999999995</v>
      </c>
      <c r="G21" s="26">
        <v>51298.79</v>
      </c>
      <c r="H21" s="26">
        <v>51732.08</v>
      </c>
      <c r="I21" s="26">
        <v>53863.7</v>
      </c>
      <c r="J21" s="26">
        <v>53372.810000000005</v>
      </c>
      <c r="K21" s="26">
        <v>51457</v>
      </c>
      <c r="L21" s="26">
        <v>51569</v>
      </c>
      <c r="M21" s="26">
        <v>51040</v>
      </c>
      <c r="N21" s="26">
        <f>'App 34 - Mar05 to Apr06 Revenue'!C21</f>
        <v>51147</v>
      </c>
    </row>
    <row r="22" spans="1:14" ht="15">
      <c r="A22" t="str">
        <f t="shared" si="0"/>
        <v>Large Use</v>
      </c>
      <c r="B22" s="26">
        <f>'App 32 - Mar02 to Feb04 Revenue'!AA34</f>
        <v>39819.2</v>
      </c>
      <c r="C22" s="26">
        <v>41098.94</v>
      </c>
      <c r="D22" s="26">
        <v>43717.15</v>
      </c>
      <c r="E22" s="26">
        <v>46120.78</v>
      </c>
      <c r="F22" s="26">
        <v>45994.7</v>
      </c>
      <c r="G22" s="26">
        <v>46795.13</v>
      </c>
      <c r="H22" s="26">
        <v>43532.17</v>
      </c>
      <c r="I22" s="26">
        <v>41217.94</v>
      </c>
      <c r="J22" s="26">
        <v>41084.82</v>
      </c>
      <c r="K22" s="26">
        <v>40465</v>
      </c>
      <c r="L22" s="26">
        <v>40225</v>
      </c>
      <c r="M22" s="26">
        <v>40817</v>
      </c>
      <c r="N22" s="26">
        <f>'App 34 - Mar05 to Apr06 Revenue'!C22</f>
        <v>40501</v>
      </c>
    </row>
    <row r="23" spans="1:14" ht="15">
      <c r="A23" t="str">
        <f t="shared" si="0"/>
        <v>Street Lights</v>
      </c>
      <c r="B23" s="26">
        <f>'App 32 - Mar02 to Feb04 Revenue'!AA35</f>
        <v>2228.67</v>
      </c>
      <c r="C23" s="26">
        <v>2229.25</v>
      </c>
      <c r="D23" s="26">
        <v>2228.31</v>
      </c>
      <c r="E23" s="26">
        <v>2228.09</v>
      </c>
      <c r="F23" s="26">
        <v>2226.91</v>
      </c>
      <c r="G23" s="26">
        <v>2226.46</v>
      </c>
      <c r="H23" s="26">
        <v>2226.27</v>
      </c>
      <c r="I23" s="26">
        <v>2228.76</v>
      </c>
      <c r="J23" s="26">
        <v>2228.59</v>
      </c>
      <c r="K23" s="26">
        <v>2230.53</v>
      </c>
      <c r="L23" s="26">
        <v>2235.07</v>
      </c>
      <c r="M23" s="26">
        <v>2236.57</v>
      </c>
      <c r="N23" s="26">
        <f>'App 34 - Mar05 to Apr06 Revenue'!C23</f>
        <v>2242.2</v>
      </c>
    </row>
    <row r="24" spans="1:12" ht="15">
      <c r="A24"/>
      <c r="B24"/>
      <c r="C24"/>
      <c r="D24"/>
      <c r="E24"/>
      <c r="F24"/>
      <c r="G24"/>
      <c r="H24"/>
      <c r="I24"/>
      <c r="J24"/>
      <c r="K24"/>
      <c r="L24"/>
    </row>
    <row r="25" spans="1:12" ht="15">
      <c r="A25"/>
      <c r="B25"/>
      <c r="C25"/>
      <c r="D25"/>
      <c r="E25"/>
      <c r="F25"/>
      <c r="G25"/>
      <c r="H25"/>
      <c r="I25"/>
      <c r="J25"/>
      <c r="K25"/>
      <c r="L25"/>
    </row>
    <row r="26" spans="1:12" ht="21">
      <c r="A26" s="25" t="s">
        <v>56</v>
      </c>
      <c r="B26"/>
      <c r="C26"/>
      <c r="D26"/>
      <c r="E26"/>
      <c r="F26"/>
      <c r="G26"/>
      <c r="H26"/>
      <c r="I26"/>
      <c r="J26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  <row r="28" spans="1:14" ht="18.75">
      <c r="A28"/>
      <c r="B28" s="71">
        <v>2004</v>
      </c>
      <c r="C28" s="71"/>
      <c r="D28" s="71"/>
      <c r="E28" s="71"/>
      <c r="F28" s="71"/>
      <c r="G28" s="71"/>
      <c r="H28" s="71"/>
      <c r="I28" s="71"/>
      <c r="J28" s="71"/>
      <c r="K28" s="69">
        <v>2005</v>
      </c>
      <c r="L28" s="69"/>
      <c r="M28" s="69"/>
      <c r="N28" s="69"/>
    </row>
    <row r="29" spans="1:14" s="32" customFormat="1" ht="15">
      <c r="A29" s="23" t="str">
        <f aca="true" t="shared" si="1" ref="A29:A35">A17</f>
        <v>Rate Class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47</v>
      </c>
      <c r="G29" s="1" t="s">
        <v>48</v>
      </c>
      <c r="H29" s="1" t="s">
        <v>49</v>
      </c>
      <c r="I29" s="1" t="s">
        <v>50</v>
      </c>
      <c r="J29" s="1" t="s">
        <v>51</v>
      </c>
      <c r="K29" s="1" t="s">
        <v>52</v>
      </c>
      <c r="L29" s="1" t="s">
        <v>53</v>
      </c>
      <c r="M29" s="32" t="s">
        <v>99</v>
      </c>
      <c r="N29" s="32" t="s">
        <v>55</v>
      </c>
    </row>
    <row r="30" spans="1:14" ht="15">
      <c r="A30" s="47" t="str">
        <f t="shared" si="1"/>
        <v>Residential</v>
      </c>
      <c r="B30" s="26">
        <f>(B18*$E8)*0.25</f>
        <v>29745.408988919113</v>
      </c>
      <c r="C30" s="26">
        <f>(C18*$E8)*0.75</f>
        <v>89302.73682841196</v>
      </c>
      <c r="D30" s="26">
        <f aca="true" t="shared" si="2" ref="D30:L30">(D18*$E8)</f>
        <v>112212.02254883327</v>
      </c>
      <c r="E30" s="26">
        <f t="shared" si="2"/>
        <v>117039.44257208492</v>
      </c>
      <c r="F30" s="26">
        <f t="shared" si="2"/>
        <v>119174.83713767583</v>
      </c>
      <c r="G30" s="26">
        <f t="shared" si="2"/>
        <v>134222.4545813715</v>
      </c>
      <c r="H30" s="26">
        <f t="shared" si="2"/>
        <v>103562.0467105613</v>
      </c>
      <c r="I30" s="26">
        <f t="shared" si="2"/>
        <v>110966.496641675</v>
      </c>
      <c r="J30" s="26">
        <f t="shared" si="2"/>
        <v>112734.32473592274</v>
      </c>
      <c r="K30" s="26">
        <f t="shared" si="2"/>
        <v>132454.6585550406</v>
      </c>
      <c r="L30" s="26">
        <f t="shared" si="2"/>
        <v>144275.93491063878</v>
      </c>
      <c r="M30" s="26">
        <f>(M18*$E8)*0.75</f>
        <v>98491.53885004911</v>
      </c>
      <c r="N30" s="26">
        <f>(N18*$E8)*0.25</f>
        <v>36139.77966682485</v>
      </c>
    </row>
    <row r="31" spans="1:14" ht="15">
      <c r="A31" s="47" t="str">
        <f t="shared" si="1"/>
        <v>General Service &lt; 50 kW</v>
      </c>
      <c r="B31" s="26">
        <f>(B19*$E9)*0.25</f>
        <v>4499.110100144866</v>
      </c>
      <c r="C31" s="26">
        <f>(C19*$E9)*0.75</f>
        <v>11992.251195997394</v>
      </c>
      <c r="D31" s="26">
        <f aca="true" t="shared" si="3" ref="D31:L31">(D19*$E9)</f>
        <v>16731.68554919347</v>
      </c>
      <c r="E31" s="26">
        <f t="shared" si="3"/>
        <v>15841.051867111282</v>
      </c>
      <c r="F31" s="26">
        <f t="shared" si="3"/>
        <v>17353.416750984066</v>
      </c>
      <c r="G31" s="26">
        <f t="shared" si="3"/>
        <v>15025.842778553088</v>
      </c>
      <c r="H31" s="26">
        <f t="shared" si="3"/>
        <v>18175.046792000456</v>
      </c>
      <c r="I31" s="26">
        <f t="shared" si="3"/>
        <v>13638.908530117207</v>
      </c>
      <c r="J31" s="26">
        <f t="shared" si="3"/>
        <v>18057.691930955258</v>
      </c>
      <c r="K31" s="26">
        <f t="shared" si="3"/>
        <v>16301.912474909474</v>
      </c>
      <c r="L31" s="26">
        <f t="shared" si="3"/>
        <v>20109.343814466385</v>
      </c>
      <c r="M31" s="26">
        <f>(M19*$E9)*0.75</f>
        <v>11923.33820510369</v>
      </c>
      <c r="N31" s="26">
        <f>(N19*$E9)*0.25</f>
        <v>5093.831200994207</v>
      </c>
    </row>
    <row r="32" spans="1:14" ht="15">
      <c r="A32" s="47" t="str">
        <f t="shared" si="1"/>
        <v>General Service &gt; 50 kW</v>
      </c>
      <c r="B32" s="26">
        <f>(B20*$E10)*0.5</f>
        <v>19832.54557362784</v>
      </c>
      <c r="C32" s="26">
        <f>(C20*$E10)</f>
        <v>41697.25813637475</v>
      </c>
      <c r="D32" s="26">
        <f aca="true" t="shared" si="4" ref="D32:L32">(D20*$E10)</f>
        <v>42113.32957119571</v>
      </c>
      <c r="E32" s="26">
        <f t="shared" si="4"/>
        <v>42750.30972078821</v>
      </c>
      <c r="F32" s="26">
        <f t="shared" si="4"/>
        <v>41988.669007307035</v>
      </c>
      <c r="G32" s="26">
        <f t="shared" si="4"/>
        <v>43576.062001155275</v>
      </c>
      <c r="H32" s="26">
        <f t="shared" si="4"/>
        <v>44059.59455310271</v>
      </c>
      <c r="I32" s="26">
        <f t="shared" si="4"/>
        <v>40914.35585892117</v>
      </c>
      <c r="J32" s="26">
        <f t="shared" si="4"/>
        <v>40390.492812245626</v>
      </c>
      <c r="K32" s="26">
        <f t="shared" si="4"/>
        <v>40997.099299020396</v>
      </c>
      <c r="L32" s="26">
        <f t="shared" si="4"/>
        <v>41621.467216676254</v>
      </c>
      <c r="M32" s="26">
        <f>(M20*$E10)*0.5</f>
        <v>20799.34807572205</v>
      </c>
      <c r="N32" s="26"/>
    </row>
    <row r="33" spans="1:14" ht="15">
      <c r="A33" s="47" t="str">
        <f t="shared" si="1"/>
        <v>General Service &gt; 50 kW (TOU)</v>
      </c>
      <c r="B33" s="26">
        <f>(B21*$E11)*0.5</f>
        <v>5387.286212609442</v>
      </c>
      <c r="C33" s="26">
        <f>(C21*$E11)</f>
        <v>10912.4687970725</v>
      </c>
      <c r="D33" s="26">
        <f aca="true" t="shared" si="5" ref="D33:L33">(D21*$E11)</f>
        <v>11412.622230593515</v>
      </c>
      <c r="E33" s="26">
        <f t="shared" si="5"/>
        <v>11712.504101711002</v>
      </c>
      <c r="F33" s="26">
        <f t="shared" si="5"/>
        <v>11563.363995402227</v>
      </c>
      <c r="G33" s="26">
        <f t="shared" si="5"/>
        <v>11771.223931243143</v>
      </c>
      <c r="H33" s="26">
        <f t="shared" si="5"/>
        <v>11870.648374142642</v>
      </c>
      <c r="I33" s="26">
        <f t="shared" si="5"/>
        <v>12359.77835861823</v>
      </c>
      <c r="J33" s="26">
        <f t="shared" si="5"/>
        <v>12247.136791134712</v>
      </c>
      <c r="K33" s="26">
        <f t="shared" si="5"/>
        <v>11807.527425695196</v>
      </c>
      <c r="L33" s="26">
        <f t="shared" si="5"/>
        <v>11833.227390164127</v>
      </c>
      <c r="M33" s="26">
        <f>(M21*$E11)*0.5</f>
        <v>5855.920475421058</v>
      </c>
      <c r="N33" s="26"/>
    </row>
    <row r="34" spans="1:14" ht="15">
      <c r="A34" s="47" t="str">
        <f t="shared" si="1"/>
        <v>Large Use</v>
      </c>
      <c r="B34" s="26">
        <f>(B22*$E12)*0.5</f>
        <v>5649.832860812995</v>
      </c>
      <c r="C34" s="26">
        <f>(C22*$E12)</f>
        <v>11662.823048006072</v>
      </c>
      <c r="D34" s="26">
        <f aca="true" t="shared" si="6" ref="D34:L34">(D22*$E12)</f>
        <v>12405.803765574941</v>
      </c>
      <c r="E34" s="26">
        <f t="shared" si="6"/>
        <v>13087.892193229738</v>
      </c>
      <c r="F34" s="26">
        <f t="shared" si="6"/>
        <v>13052.113929121402</v>
      </c>
      <c r="G34" s="26">
        <f t="shared" si="6"/>
        <v>13279.255394383414</v>
      </c>
      <c r="H34" s="26">
        <f t="shared" si="6"/>
        <v>12353.311195026403</v>
      </c>
      <c r="I34" s="26">
        <f t="shared" si="6"/>
        <v>11696.592190049947</v>
      </c>
      <c r="J34" s="26">
        <f t="shared" si="6"/>
        <v>11658.816154849268</v>
      </c>
      <c r="K34" s="26">
        <f t="shared" si="6"/>
        <v>11482.927166432168</v>
      </c>
      <c r="L34" s="26">
        <f t="shared" si="6"/>
        <v>11414.821333738637</v>
      </c>
      <c r="M34" s="26">
        <f>(M22*$E12)*0.5</f>
        <v>5791.407860524672</v>
      </c>
      <c r="N34" s="26"/>
    </row>
    <row r="35" spans="1:14" ht="15">
      <c r="A35" s="28" t="str">
        <f t="shared" si="1"/>
        <v>Street Lights</v>
      </c>
      <c r="B35" s="29">
        <f>(B23*$E13)*0.5</f>
        <v>772.2991103004309</v>
      </c>
      <c r="C35" s="29">
        <f>(C23*$E13)</f>
        <v>1545.000194409433</v>
      </c>
      <c r="D35" s="29">
        <f aca="true" t="shared" si="7" ref="D35:L35">(D23*$E13)</f>
        <v>1544.3487196162314</v>
      </c>
      <c r="E35" s="29">
        <f t="shared" si="7"/>
        <v>1544.1962467922908</v>
      </c>
      <c r="F35" s="29">
        <f t="shared" si="7"/>
        <v>1543.3784380093352</v>
      </c>
      <c r="G35" s="29">
        <f t="shared" si="7"/>
        <v>1543.0665617785473</v>
      </c>
      <c r="H35" s="29">
        <f t="shared" si="7"/>
        <v>1542.9348807033257</v>
      </c>
      <c r="I35" s="29">
        <f t="shared" si="7"/>
        <v>1544.6605958470197</v>
      </c>
      <c r="J35" s="29">
        <f t="shared" si="7"/>
        <v>1544.5427759376107</v>
      </c>
      <c r="K35" s="29">
        <f t="shared" si="7"/>
        <v>1545.8873090214527</v>
      </c>
      <c r="L35" s="29">
        <f t="shared" si="7"/>
        <v>1549.0337936609585</v>
      </c>
      <c r="M35" s="29">
        <f>(M23*$E13)*0.5</f>
        <v>775.0366905484593</v>
      </c>
      <c r="N35" s="29"/>
    </row>
    <row r="36" spans="1:16" ht="15">
      <c r="A36" t="s">
        <v>13</v>
      </c>
      <c r="B36" s="26">
        <f aca="true" t="shared" si="8" ref="B36:N36">SUM(B30:B35)</f>
        <v>65886.48284641468</v>
      </c>
      <c r="C36" s="26">
        <f t="shared" si="8"/>
        <v>167112.5382002721</v>
      </c>
      <c r="D36" s="26">
        <f t="shared" si="8"/>
        <v>196419.81238500716</v>
      </c>
      <c r="E36" s="26">
        <f t="shared" si="8"/>
        <v>201975.3967017175</v>
      </c>
      <c r="F36" s="26">
        <f t="shared" si="8"/>
        <v>204675.7792584999</v>
      </c>
      <c r="G36" s="26">
        <f t="shared" si="8"/>
        <v>219417.90524848498</v>
      </c>
      <c r="H36" s="26">
        <f t="shared" si="8"/>
        <v>191563.58250553688</v>
      </c>
      <c r="I36" s="26">
        <f t="shared" si="8"/>
        <v>191120.79217522856</v>
      </c>
      <c r="J36" s="26">
        <f t="shared" si="8"/>
        <v>196633.00520104525</v>
      </c>
      <c r="K36" s="26">
        <f t="shared" si="8"/>
        <v>214590.01223011932</v>
      </c>
      <c r="L36" s="26">
        <f t="shared" si="8"/>
        <v>230803.82845934512</v>
      </c>
      <c r="M36" s="26">
        <f t="shared" si="8"/>
        <v>143636.59015736904</v>
      </c>
      <c r="N36" s="26">
        <f t="shared" si="8"/>
        <v>41233.61086781906</v>
      </c>
      <c r="P36" s="35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J16"/>
    <mergeCell ref="B28:J28"/>
    <mergeCell ref="K16:N16"/>
    <mergeCell ref="K28:N28"/>
  </mergeCells>
  <printOptions/>
  <pageMargins left="0.75" right="0.46" top="1" bottom="1" header="0.5" footer="0.5"/>
  <pageSetup fitToHeight="2" horizontalDpi="600" verticalDpi="600" orientation="landscape" scale="47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A1">
      <selection activeCell="S36" sqref="S36:S39"/>
    </sheetView>
  </sheetViews>
  <sheetFormatPr defaultColWidth="9.140625" defaultRowHeight="15"/>
  <cols>
    <col min="1" max="1" width="32.710937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37</v>
      </c>
    </row>
    <row r="3" spans="1:2" ht="15">
      <c r="A3" s="2" t="s">
        <v>38</v>
      </c>
      <c r="B3" s="34" t="s">
        <v>34</v>
      </c>
    </row>
    <row r="4" spans="1:2" ht="15">
      <c r="A4" s="2" t="s">
        <v>63</v>
      </c>
      <c r="B4" s="34" t="s">
        <v>36</v>
      </c>
    </row>
    <row r="6" spans="1:5" ht="15">
      <c r="A6" s="2"/>
      <c r="B6" s="72" t="s">
        <v>40</v>
      </c>
      <c r="C6" s="72"/>
      <c r="D6" s="72" t="s">
        <v>43</v>
      </c>
      <c r="E6" s="72"/>
    </row>
    <row r="7" spans="1:5" ht="15">
      <c r="A7" s="2" t="s">
        <v>39</v>
      </c>
      <c r="B7" s="3" t="s">
        <v>41</v>
      </c>
      <c r="C7" s="3" t="s">
        <v>42</v>
      </c>
      <c r="D7" s="3" t="s">
        <v>41</v>
      </c>
      <c r="E7" s="3" t="s">
        <v>42</v>
      </c>
    </row>
    <row r="8" spans="1:5" ht="15">
      <c r="A8" t="str">
        <f>'App 33 - Mar04 to Feb05 Revenue'!A8</f>
        <v>Residential</v>
      </c>
      <c r="B8" s="8">
        <f>'[3]11. 2005 Final Rate Schedule '!$F$13</f>
        <v>8.815410027030186</v>
      </c>
      <c r="C8" s="24">
        <f>'[3]11. 2005 Final Rate Schedule '!$F$14</f>
        <v>0.01486125438989815</v>
      </c>
      <c r="D8" s="8">
        <v>0</v>
      </c>
      <c r="E8" s="24">
        <f>'[3]4. 2003 Data &amp; 2005 PILs'!$B$50</f>
        <v>0.0032578405107184113</v>
      </c>
    </row>
    <row r="9" spans="1:5" ht="15">
      <c r="A9" t="str">
        <f>'App 33 - Mar04 to Feb05 Revenue'!A9</f>
        <v>General Service &lt; 50 kW</v>
      </c>
      <c r="B9" s="54">
        <f>'[3]11. 2005 Final Rate Schedule '!$F$25</f>
        <v>12.605790675335996</v>
      </c>
      <c r="C9" s="24">
        <f>'[3]11. 2005 Final Rate Schedule '!$F$26</f>
        <v>0.013899113441144252</v>
      </c>
      <c r="D9" s="8">
        <v>0</v>
      </c>
      <c r="E9" s="24">
        <f>'[3]4. 2003 Data &amp; 2005 PILs'!$B$67</f>
        <v>0.002431425714531124</v>
      </c>
    </row>
    <row r="10" spans="1:5" ht="15">
      <c r="A10" t="str">
        <f>'App 33 - Mar04 to Feb05 Revenue'!A10</f>
        <v>General Service &gt; 50 kW</v>
      </c>
      <c r="B10" s="8">
        <f>'[3]11. 2005 Final Rate Schedule '!$F$31</f>
        <v>102.35939006666524</v>
      </c>
      <c r="C10" s="24">
        <f>'[3]11. 2005 Final Rate Schedule '!$F$32</f>
        <v>3.628102687951094</v>
      </c>
      <c r="D10" s="8">
        <v>0</v>
      </c>
      <c r="E10" s="24">
        <f>'[3]4. 2003 Data &amp; 2005 PILs'!$B$84</f>
        <v>0.5724058144480327</v>
      </c>
    </row>
    <row r="11" spans="1:5" ht="15">
      <c r="A11" t="str">
        <f>'App 33 - Mar04 to Feb05 Revenue'!A11</f>
        <v>General Service &gt; 50 kW (TOU)</v>
      </c>
      <c r="B11" s="8">
        <f>'[3]11. 2005 Final Rate Schedule '!$F$37</f>
        <v>769.1122785398741</v>
      </c>
      <c r="C11" s="24">
        <f>'[3]11. 2005 Final Rate Schedule '!$F$38</f>
        <v>2.9428036871692727</v>
      </c>
      <c r="D11" s="8">
        <v>0</v>
      </c>
      <c r="E11" s="24">
        <f>'[3]4. 2003 Data &amp; 2005 PILs'!$B$101</f>
        <v>0.29745388748211987</v>
      </c>
    </row>
    <row r="12" spans="1:5" ht="15">
      <c r="A12" t="str">
        <f>'App 33 - Mar04 to Feb05 Revenue'!A12</f>
        <v>Large Use</v>
      </c>
      <c r="B12" s="8">
        <f>'[3]11. 2005 Final Rate Schedule '!$F$49</f>
        <v>4272.804565872945</v>
      </c>
      <c r="C12" s="24">
        <f>'[3]11. 2005 Final Rate Schedule '!$F$50</f>
        <v>1.9941210673713172</v>
      </c>
      <c r="D12" s="8">
        <v>0</v>
      </c>
      <c r="E12" s="24">
        <f>'[3]4. 2003 Data &amp; 2005 PILs'!$B$135</f>
        <v>0.19898494566692804</v>
      </c>
    </row>
    <row r="13" spans="1:5" ht="15">
      <c r="A13" t="str">
        <f>'App 33 - Mar04 to Feb05 Revenue'!A13</f>
        <v>Street Lights</v>
      </c>
      <c r="B13" s="8">
        <f>'[3]11. 2005 Final Rate Schedule '!$F$74</f>
        <v>0.27110358797718226</v>
      </c>
      <c r="C13" s="24">
        <f>'[3]11. 2005 Final Rate Schedule '!$F$75</f>
        <v>1.8926540213443241</v>
      </c>
      <c r="D13" s="8">
        <v>0</v>
      </c>
      <c r="E13" s="24">
        <f>'[3]4. 2003 Data &amp; 2005 PILs'!$B$169</f>
        <v>0.4259512452735023</v>
      </c>
    </row>
    <row r="14" ht="15">
      <c r="D14" s="8"/>
    </row>
    <row r="15" ht="21">
      <c r="A15" s="25" t="s">
        <v>64</v>
      </c>
    </row>
    <row r="16" spans="2:17" ht="18.75">
      <c r="B16" s="71">
        <v>2005</v>
      </c>
      <c r="C16" s="71"/>
      <c r="D16" s="71"/>
      <c r="E16" s="71"/>
      <c r="F16" s="71"/>
      <c r="G16" s="71"/>
      <c r="H16" s="71"/>
      <c r="I16" s="71"/>
      <c r="J16" s="71"/>
      <c r="K16" s="71"/>
      <c r="L16" s="69">
        <v>2006</v>
      </c>
      <c r="M16" s="69"/>
      <c r="N16" s="69"/>
      <c r="O16" s="69"/>
      <c r="P16" s="69"/>
      <c r="Q16" s="69"/>
    </row>
    <row r="17" spans="1:20" ht="1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47</v>
      </c>
      <c r="H17" s="1" t="s">
        <v>48</v>
      </c>
      <c r="I17" s="1" t="s">
        <v>49</v>
      </c>
      <c r="J17" s="1" t="s">
        <v>50</v>
      </c>
      <c r="K17" s="1" t="s">
        <v>51</v>
      </c>
      <c r="L17" s="1" t="s">
        <v>52</v>
      </c>
      <c r="M17" s="1" t="s">
        <v>53</v>
      </c>
      <c r="N17" s="1" t="s">
        <v>54</v>
      </c>
      <c r="O17" s="1" t="s">
        <v>55</v>
      </c>
      <c r="P17" s="1" t="s">
        <v>17</v>
      </c>
      <c r="Q17" s="1" t="s">
        <v>18</v>
      </c>
      <c r="S17" s="26"/>
      <c r="T17" s="26"/>
    </row>
    <row r="18" spans="1:20" ht="15">
      <c r="A18" t="str">
        <f t="shared" si="0"/>
        <v>Residential</v>
      </c>
      <c r="B18" s="26">
        <f>'App 33 - Mar04 to Feb05 Revenue'!M18</f>
        <v>32760981</v>
      </c>
      <c r="C18" s="26">
        <v>36063239</v>
      </c>
      <c r="D18" s="26">
        <v>25339487</v>
      </c>
      <c r="E18" s="26">
        <v>31538290</v>
      </c>
      <c r="F18" s="26">
        <v>28708855</v>
      </c>
      <c r="G18" s="26">
        <v>44374286</v>
      </c>
      <c r="H18" s="26">
        <v>35176453</v>
      </c>
      <c r="I18" s="26">
        <v>34589658</v>
      </c>
      <c r="J18" s="26">
        <v>26267159</v>
      </c>
      <c r="K18" s="26">
        <v>25653509</v>
      </c>
      <c r="L18" s="26">
        <v>27816978</v>
      </c>
      <c r="M18" s="26">
        <v>42253231</v>
      </c>
      <c r="N18" s="26">
        <v>34293002</v>
      </c>
      <c r="O18" s="26">
        <v>30067056.999999996</v>
      </c>
      <c r="P18" s="56">
        <v>31017459.39</v>
      </c>
      <c r="Q18" s="56">
        <v>30141646.17</v>
      </c>
      <c r="S18" s="26"/>
      <c r="T18" s="33"/>
    </row>
    <row r="19" spans="1:20" ht="15">
      <c r="A19" t="str">
        <f t="shared" si="0"/>
        <v>General Service &lt; 50 kW</v>
      </c>
      <c r="B19" s="26">
        <f>'App 33 - Mar04 to Feb05 Revenue'!M19</f>
        <v>13065446</v>
      </c>
      <c r="C19" s="26">
        <v>16745271</v>
      </c>
      <c r="D19" s="26">
        <v>11549901</v>
      </c>
      <c r="E19" s="26">
        <v>15468688</v>
      </c>
      <c r="F19" s="26">
        <v>11394124</v>
      </c>
      <c r="G19" s="26">
        <v>22181578</v>
      </c>
      <c r="H19" s="26">
        <v>16870703</v>
      </c>
      <c r="I19" s="26">
        <v>11441383.190000001</v>
      </c>
      <c r="J19" s="26">
        <v>10935790.1</v>
      </c>
      <c r="K19" s="26">
        <v>10007633.370000001</v>
      </c>
      <c r="L19" s="26">
        <v>19879325.060000002</v>
      </c>
      <c r="M19" s="26">
        <v>15536335.58</v>
      </c>
      <c r="N19" s="26">
        <v>16745180.52</v>
      </c>
      <c r="O19" s="26">
        <v>12079877.41</v>
      </c>
      <c r="P19" s="56">
        <v>15311633.8</v>
      </c>
      <c r="Q19" s="56">
        <v>16085519</v>
      </c>
      <c r="S19" s="26"/>
      <c r="T19" s="33"/>
    </row>
    <row r="20" spans="1:20" ht="15">
      <c r="A20" t="str">
        <f t="shared" si="0"/>
        <v>General Service &gt; 50 kW</v>
      </c>
      <c r="B20" s="26">
        <f>'App 33 - Mar04 to Feb05 Revenue'!M20</f>
        <v>113263</v>
      </c>
      <c r="C20" s="26">
        <v>110430</v>
      </c>
      <c r="D20" s="26">
        <v>109671</v>
      </c>
      <c r="E20" s="26">
        <v>108172</v>
      </c>
      <c r="F20" s="26">
        <v>116592</v>
      </c>
      <c r="G20" s="26">
        <v>145704</v>
      </c>
      <c r="H20" s="26">
        <v>119749</v>
      </c>
      <c r="I20" s="26">
        <v>119466</v>
      </c>
      <c r="J20" s="26">
        <v>118417</v>
      </c>
      <c r="K20" s="26">
        <v>75505</v>
      </c>
      <c r="L20" s="26">
        <v>154379</v>
      </c>
      <c r="M20" s="26">
        <v>95853</v>
      </c>
      <c r="N20" s="26">
        <v>123481</v>
      </c>
      <c r="O20" s="26">
        <v>90660</v>
      </c>
      <c r="P20" s="56">
        <v>101313</v>
      </c>
      <c r="Q20" s="56">
        <v>117789</v>
      </c>
      <c r="S20" s="26"/>
      <c r="T20" s="33"/>
    </row>
    <row r="21" spans="1:20" ht="15">
      <c r="A21" t="str">
        <f t="shared" si="0"/>
        <v>General Service &gt; 50 kW (TOU)</v>
      </c>
      <c r="B21" s="26">
        <f>'App 33 - Mar04 to Feb05 Revenue'!M21</f>
        <v>51040</v>
      </c>
      <c r="C21" s="26">
        <v>51147</v>
      </c>
      <c r="D21" s="26">
        <v>51459</v>
      </c>
      <c r="E21" s="26">
        <v>58040</v>
      </c>
      <c r="F21" s="26">
        <v>60676</v>
      </c>
      <c r="G21" s="26">
        <v>55922</v>
      </c>
      <c r="H21" s="26">
        <v>65119</v>
      </c>
      <c r="I21" s="26">
        <v>59548</v>
      </c>
      <c r="J21" s="26">
        <v>59074</v>
      </c>
      <c r="K21" s="26">
        <v>56975</v>
      </c>
      <c r="L21" s="26">
        <v>54708</v>
      </c>
      <c r="M21" s="26">
        <v>53325</v>
      </c>
      <c r="N21" s="26">
        <v>53450</v>
      </c>
      <c r="O21" s="26">
        <v>54316</v>
      </c>
      <c r="P21" s="56">
        <v>55955</v>
      </c>
      <c r="Q21" s="56">
        <v>59597</v>
      </c>
      <c r="S21" s="26"/>
      <c r="T21" s="33"/>
    </row>
    <row r="22" spans="1:20" ht="15">
      <c r="A22" t="str">
        <f t="shared" si="0"/>
        <v>Large Use</v>
      </c>
      <c r="B22" s="26">
        <f>'App 33 - Mar04 to Feb05 Revenue'!M22</f>
        <v>40817</v>
      </c>
      <c r="C22" s="26">
        <v>40501</v>
      </c>
      <c r="D22" s="26">
        <v>41492</v>
      </c>
      <c r="E22" s="26">
        <v>41398</v>
      </c>
      <c r="F22" s="26">
        <v>47904</v>
      </c>
      <c r="G22" s="26">
        <v>48486</v>
      </c>
      <c r="H22" s="26">
        <v>47733</v>
      </c>
      <c r="I22" s="26">
        <v>45041</v>
      </c>
      <c r="J22" s="26">
        <v>46721</v>
      </c>
      <c r="K22" s="26">
        <v>41476</v>
      </c>
      <c r="L22" s="26">
        <v>40942</v>
      </c>
      <c r="M22" s="26">
        <v>40832</v>
      </c>
      <c r="N22" s="26">
        <v>39335</v>
      </c>
      <c r="O22" s="26">
        <v>39981</v>
      </c>
      <c r="P22" s="56">
        <v>39966</v>
      </c>
      <c r="Q22" s="56">
        <v>47470</v>
      </c>
      <c r="S22" s="26"/>
      <c r="T22" s="33"/>
    </row>
    <row r="23" spans="1:20" ht="15">
      <c r="A23" t="str">
        <f t="shared" si="0"/>
        <v>Street Lights</v>
      </c>
      <c r="B23" s="26">
        <f>'App 33 - Mar04 to Feb05 Revenue'!M23</f>
        <v>2236.57</v>
      </c>
      <c r="C23" s="26">
        <v>2242.2</v>
      </c>
      <c r="D23" s="26">
        <v>2243.35</v>
      </c>
      <c r="E23" s="26">
        <v>2242.63</v>
      </c>
      <c r="F23" s="26">
        <v>2242.63</v>
      </c>
      <c r="G23" s="26">
        <v>2242.13</v>
      </c>
      <c r="H23" s="26">
        <v>2242.05</v>
      </c>
      <c r="I23" s="26">
        <v>2250.86</v>
      </c>
      <c r="J23" s="26">
        <v>2256.12</v>
      </c>
      <c r="K23" s="26">
        <v>2255.47</v>
      </c>
      <c r="L23" s="26">
        <v>2253.92</v>
      </c>
      <c r="M23" s="26">
        <v>2172.6</v>
      </c>
      <c r="N23" s="26">
        <v>2169.61</v>
      </c>
      <c r="O23" s="26">
        <v>2169.88</v>
      </c>
      <c r="P23" s="56">
        <v>2170.57</v>
      </c>
      <c r="Q23" s="56">
        <v>2177</v>
      </c>
      <c r="S23" s="26"/>
      <c r="T23" s="33"/>
    </row>
    <row r="26" ht="21">
      <c r="A26" s="25" t="s">
        <v>56</v>
      </c>
    </row>
    <row r="28" spans="2:17" ht="18.75">
      <c r="B28" s="71">
        <v>2005</v>
      </c>
      <c r="C28" s="71"/>
      <c r="D28" s="71"/>
      <c r="E28" s="71"/>
      <c r="F28" s="71"/>
      <c r="G28" s="71"/>
      <c r="H28" s="71"/>
      <c r="I28" s="71"/>
      <c r="J28" s="71"/>
      <c r="K28" s="71"/>
      <c r="L28" s="69">
        <v>2006</v>
      </c>
      <c r="M28" s="69"/>
      <c r="N28" s="69"/>
      <c r="O28" s="69"/>
      <c r="P28" s="69"/>
      <c r="Q28" s="69"/>
    </row>
    <row r="29" spans="1:17" ht="1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55</v>
      </c>
      <c r="P29" s="1" t="s">
        <v>17</v>
      </c>
      <c r="Q29" s="1" t="s">
        <v>18</v>
      </c>
    </row>
    <row r="30" spans="1:17" ht="15">
      <c r="A30" s="47" t="str">
        <f t="shared" si="1"/>
        <v>Residential</v>
      </c>
      <c r="B30" s="26">
        <f>B18*$E8*0.25</f>
        <v>26682.512768169043</v>
      </c>
      <c r="C30" s="26">
        <f>C18*$E8*0.75</f>
        <v>88116.21072144009</v>
      </c>
      <c r="D30" s="26">
        <f aca="true" t="shared" si="2" ref="D30:O30">D18*$E8</f>
        <v>82552.00726942254</v>
      </c>
      <c r="E30" s="26">
        <f t="shared" si="2"/>
        <v>102746.71880078537</v>
      </c>
      <c r="F30" s="26">
        <f t="shared" si="2"/>
        <v>93528.87083534081</v>
      </c>
      <c r="G30" s="26">
        <f t="shared" si="2"/>
        <v>144564.34656500485</v>
      </c>
      <c r="H30" s="26">
        <f t="shared" si="2"/>
        <v>114599.2736067822</v>
      </c>
      <c r="I30" s="26">
        <f t="shared" si="2"/>
        <v>112687.58908429518</v>
      </c>
      <c r="J30" s="26">
        <f t="shared" si="2"/>
        <v>85574.21469168171</v>
      </c>
      <c r="K30" s="26">
        <f t="shared" si="2"/>
        <v>83575.04086227936</v>
      </c>
      <c r="L30" s="26">
        <f t="shared" si="2"/>
        <v>90623.27781416281</v>
      </c>
      <c r="M30" s="26">
        <f t="shared" si="2"/>
        <v>137654.28766054302</v>
      </c>
      <c r="N30" s="26">
        <f t="shared" si="2"/>
        <v>111721.1311497475</v>
      </c>
      <c r="O30" s="26">
        <f t="shared" si="2"/>
        <v>97953.67633267958</v>
      </c>
      <c r="P30" s="26">
        <f>P18*$E8*0.75</f>
        <v>75787.45180522889</v>
      </c>
      <c r="Q30" s="26">
        <f>Q18*$E8*0.25</f>
        <v>24549.168988091613</v>
      </c>
    </row>
    <row r="31" spans="1:17" ht="15">
      <c r="A31" s="47" t="str">
        <f t="shared" si="1"/>
        <v>General Service &lt; 50 kW</v>
      </c>
      <c r="B31" s="26">
        <f>B19*$E9*0.25</f>
        <v>7941.915344054454</v>
      </c>
      <c r="C31" s="26">
        <f>C19*$E9*0.75</f>
        <v>30536.161879644234</v>
      </c>
      <c r="D31" s="26">
        <f aca="true" t="shared" si="3" ref="D31:O31">D19*$E9</f>
        <v>28082.726291688745</v>
      </c>
      <c r="E31" s="26">
        <f t="shared" si="3"/>
        <v>37610.96577325902</v>
      </c>
      <c r="F31" s="26">
        <f t="shared" si="3"/>
        <v>27703.96608815623</v>
      </c>
      <c r="G31" s="26">
        <f t="shared" si="3"/>
        <v>53932.85913807786</v>
      </c>
      <c r="H31" s="26">
        <f t="shared" si="3"/>
        <v>41019.86109641738</v>
      </c>
      <c r="I31" s="26">
        <f t="shared" si="3"/>
        <v>27818.873297970145</v>
      </c>
      <c r="J31" s="26">
        <f t="shared" si="3"/>
        <v>26589.56125785489</v>
      </c>
      <c r="K31" s="26">
        <f t="shared" si="3"/>
        <v>24332.817117417773</v>
      </c>
      <c r="L31" s="26">
        <f t="shared" si="3"/>
        <v>48335.10213840698</v>
      </c>
      <c r="M31" s="26">
        <f t="shared" si="3"/>
        <v>37775.445838796826</v>
      </c>
      <c r="N31" s="26">
        <f t="shared" si="3"/>
        <v>40714.662510793656</v>
      </c>
      <c r="O31" s="26">
        <f t="shared" si="3"/>
        <v>29371.324563057635</v>
      </c>
      <c r="P31" s="26">
        <f>P19*$E9*0.75</f>
        <v>27921.825114602936</v>
      </c>
      <c r="Q31" s="26">
        <f>Q19*$E9*0.25</f>
        <v>9777.686132044742</v>
      </c>
    </row>
    <row r="32" spans="1:17" ht="15">
      <c r="A32" s="47" t="str">
        <f t="shared" si="1"/>
        <v>General Service &gt; 50 kW</v>
      </c>
      <c r="B32" s="26">
        <f>B20*$E10*0.5</f>
        <v>32416.199880913766</v>
      </c>
      <c r="C32" s="26">
        <f>C20*$E10</f>
        <v>63210.774089496255</v>
      </c>
      <c r="D32" s="26">
        <f aca="true" t="shared" si="4" ref="D32:O32">D20*$E10</f>
        <v>62776.3180763302</v>
      </c>
      <c r="E32" s="26">
        <f t="shared" si="4"/>
        <v>61918.2817604726</v>
      </c>
      <c r="F32" s="26">
        <f t="shared" si="4"/>
        <v>66737.93871812503</v>
      </c>
      <c r="G32" s="26">
        <f t="shared" si="4"/>
        <v>83401.81678833616</v>
      </c>
      <c r="H32" s="26">
        <f t="shared" si="4"/>
        <v>68545.02387433746</v>
      </c>
      <c r="I32" s="26">
        <f t="shared" si="4"/>
        <v>68383.03302884867</v>
      </c>
      <c r="J32" s="26">
        <f t="shared" si="4"/>
        <v>67782.5793294927</v>
      </c>
      <c r="K32" s="26">
        <f t="shared" si="4"/>
        <v>43219.501019898715</v>
      </c>
      <c r="L32" s="26">
        <f t="shared" si="4"/>
        <v>88367.43722867285</v>
      </c>
      <c r="M32" s="26">
        <f t="shared" si="4"/>
        <v>54866.81453228728</v>
      </c>
      <c r="N32" s="26">
        <f t="shared" si="4"/>
        <v>70681.24237385753</v>
      </c>
      <c r="O32" s="26">
        <f t="shared" si="4"/>
        <v>51894.31113785865</v>
      </c>
      <c r="P32" s="26">
        <f>P20*$E10*0.5</f>
        <v>28996.07513958677</v>
      </c>
      <c r="Q32" s="26"/>
    </row>
    <row r="33" spans="1:17" ht="15">
      <c r="A33" s="47" t="str">
        <f t="shared" si="1"/>
        <v>General Service &gt; 50 kW (TOU)</v>
      </c>
      <c r="B33" s="26">
        <f>B21*$E11*0.5</f>
        <v>7591.023208543699</v>
      </c>
      <c r="C33" s="26">
        <f>C21*$E11</f>
        <v>15213.873983047984</v>
      </c>
      <c r="D33" s="26">
        <f aca="true" t="shared" si="5" ref="D33:O33">D21*$E11</f>
        <v>15306.679595942407</v>
      </c>
      <c r="E33" s="26">
        <f t="shared" si="5"/>
        <v>17264.223629462238</v>
      </c>
      <c r="F33" s="26">
        <f t="shared" si="5"/>
        <v>18048.312076865106</v>
      </c>
      <c r="G33" s="26">
        <f t="shared" si="5"/>
        <v>16634.216295775106</v>
      </c>
      <c r="H33" s="26">
        <f t="shared" si="5"/>
        <v>19369.899698948164</v>
      </c>
      <c r="I33" s="26">
        <f t="shared" si="5"/>
        <v>17712.784091785274</v>
      </c>
      <c r="J33" s="26">
        <f t="shared" si="5"/>
        <v>17571.79094911875</v>
      </c>
      <c r="K33" s="26">
        <f t="shared" si="5"/>
        <v>16947.43523929378</v>
      </c>
      <c r="L33" s="26">
        <f t="shared" si="5"/>
        <v>16273.107276371815</v>
      </c>
      <c r="M33" s="26">
        <f t="shared" si="5"/>
        <v>15861.728549984042</v>
      </c>
      <c r="N33" s="26">
        <f t="shared" si="5"/>
        <v>15898.910285919306</v>
      </c>
      <c r="O33" s="26">
        <f t="shared" si="5"/>
        <v>16156.505352478824</v>
      </c>
      <c r="P33" s="26">
        <f>P21*$E11*0.5</f>
        <v>8322.016137031009</v>
      </c>
      <c r="Q33" s="26"/>
    </row>
    <row r="34" spans="1:17" ht="15">
      <c r="A34" s="47" t="str">
        <f t="shared" si="1"/>
        <v>Large Use</v>
      </c>
      <c r="B34" s="26">
        <f>B22*$E12*0.5</f>
        <v>4060.984263643501</v>
      </c>
      <c r="C34" s="26">
        <f>C22*$E12</f>
        <v>8059.089284456252</v>
      </c>
      <c r="D34" s="26">
        <f aca="true" t="shared" si="6" ref="D34:O34">D22*$E12</f>
        <v>8256.283365612178</v>
      </c>
      <c r="E34" s="26">
        <f t="shared" si="6"/>
        <v>8237.578780719487</v>
      </c>
      <c r="F34" s="26">
        <f t="shared" si="6"/>
        <v>9532.17483722852</v>
      </c>
      <c r="G34" s="26">
        <f t="shared" si="6"/>
        <v>9647.984075606673</v>
      </c>
      <c r="H34" s="26">
        <f t="shared" si="6"/>
        <v>9498.148411519476</v>
      </c>
      <c r="I34" s="26">
        <f t="shared" si="6"/>
        <v>8962.480937784107</v>
      </c>
      <c r="J34" s="26">
        <f t="shared" si="6"/>
        <v>9296.775646504544</v>
      </c>
      <c r="K34" s="26">
        <f t="shared" si="6"/>
        <v>8253.099606481508</v>
      </c>
      <c r="L34" s="26">
        <f t="shared" si="6"/>
        <v>8146.841645495368</v>
      </c>
      <c r="M34" s="26">
        <f t="shared" si="6"/>
        <v>8124.9533014720055</v>
      </c>
      <c r="N34" s="26">
        <f t="shared" si="6"/>
        <v>7827.072837808614</v>
      </c>
      <c r="O34" s="26">
        <f t="shared" si="6"/>
        <v>7955.617112709449</v>
      </c>
      <c r="P34" s="26">
        <f>P22*$E12*0.5</f>
        <v>3976.316169262223</v>
      </c>
      <c r="Q34" s="26"/>
    </row>
    <row r="35" spans="1:17" ht="15">
      <c r="A35" s="28" t="str">
        <f t="shared" si="1"/>
        <v>Street Lights</v>
      </c>
      <c r="B35" s="29">
        <f>B23*$E13*0.5</f>
        <v>476.33488832067854</v>
      </c>
      <c r="C35" s="29">
        <f>C23*$E13</f>
        <v>955.0678821522469</v>
      </c>
      <c r="D35" s="29">
        <f aca="true" t="shared" si="7" ref="D35:O35">D23*$E13</f>
        <v>955.5577260843114</v>
      </c>
      <c r="E35" s="29">
        <f t="shared" si="7"/>
        <v>955.2510411877146</v>
      </c>
      <c r="F35" s="29">
        <f t="shared" si="7"/>
        <v>955.2510411877146</v>
      </c>
      <c r="G35" s="29">
        <f t="shared" si="7"/>
        <v>955.0380655650778</v>
      </c>
      <c r="H35" s="29">
        <f t="shared" si="7"/>
        <v>955.0039894654559</v>
      </c>
      <c r="I35" s="29">
        <f t="shared" si="7"/>
        <v>958.7566199363155</v>
      </c>
      <c r="J35" s="29">
        <f t="shared" si="7"/>
        <v>960.997123486454</v>
      </c>
      <c r="K35" s="29">
        <f t="shared" si="7"/>
        <v>960.7202551770262</v>
      </c>
      <c r="L35" s="29">
        <f t="shared" si="7"/>
        <v>960.0600307468524</v>
      </c>
      <c r="M35" s="29">
        <f t="shared" si="7"/>
        <v>925.4216754812111</v>
      </c>
      <c r="N35" s="29">
        <f t="shared" si="7"/>
        <v>924.1480812578434</v>
      </c>
      <c r="O35" s="29">
        <f t="shared" si="7"/>
        <v>924.2630880940673</v>
      </c>
      <c r="P35" s="29">
        <f>P23*$E13*0.5</f>
        <v>462.278497226653</v>
      </c>
      <c r="Q35" s="29"/>
    </row>
    <row r="36" spans="1:19" ht="15">
      <c r="A36" t="s">
        <v>13</v>
      </c>
      <c r="B36" s="26">
        <f aca="true" t="shared" si="8" ref="B36:P36">SUM(B30:B35)</f>
        <v>79168.97035364514</v>
      </c>
      <c r="C36" s="26">
        <f t="shared" si="8"/>
        <v>206091.17784023707</v>
      </c>
      <c r="D36" s="26">
        <f t="shared" si="8"/>
        <v>197929.57232508037</v>
      </c>
      <c r="E36" s="26">
        <f t="shared" si="8"/>
        <v>228733.01978588643</v>
      </c>
      <c r="F36" s="26">
        <f t="shared" si="8"/>
        <v>216506.51359690342</v>
      </c>
      <c r="G36" s="26">
        <f t="shared" si="8"/>
        <v>309136.2609283657</v>
      </c>
      <c r="H36" s="26">
        <f t="shared" si="8"/>
        <v>253987.21067747014</v>
      </c>
      <c r="I36" s="26">
        <f t="shared" si="8"/>
        <v>236523.5170606197</v>
      </c>
      <c r="J36" s="26">
        <f t="shared" si="8"/>
        <v>207775.91899813904</v>
      </c>
      <c r="K36" s="26">
        <f t="shared" si="8"/>
        <v>177288.61410054818</v>
      </c>
      <c r="L36" s="26">
        <f t="shared" si="8"/>
        <v>252705.82613385667</v>
      </c>
      <c r="M36" s="26">
        <f t="shared" si="8"/>
        <v>255208.6515585644</v>
      </c>
      <c r="N36" s="26">
        <f t="shared" si="8"/>
        <v>247767.16723938443</v>
      </c>
      <c r="O36" s="26">
        <f t="shared" si="8"/>
        <v>204255.6975868782</v>
      </c>
      <c r="P36" s="26">
        <f t="shared" si="8"/>
        <v>145465.96286293847</v>
      </c>
      <c r="Q36" s="26">
        <f>SUM(Q30:Q35)</f>
        <v>34326.85512013636</v>
      </c>
      <c r="S36" s="26"/>
    </row>
    <row r="37" spans="16:19" ht="15">
      <c r="P37" s="26"/>
      <c r="S37" s="26"/>
    </row>
    <row r="39" spans="3:19" ht="15">
      <c r="C39" s="26"/>
      <c r="S39" s="26"/>
    </row>
  </sheetData>
  <sheetProtection/>
  <mergeCells count="6">
    <mergeCell ref="B6:C6"/>
    <mergeCell ref="D6:E6"/>
    <mergeCell ref="B16:K16"/>
    <mergeCell ref="B28:K28"/>
    <mergeCell ref="L16:Q16"/>
    <mergeCell ref="L28:Q28"/>
  </mergeCells>
  <printOptions/>
  <pageMargins left="0.44" right="0.41" top="0.75" bottom="0.75" header="0.3" footer="0.3"/>
  <pageSetup horizontalDpi="1200" verticalDpi="1200" orientation="portrait" scale="4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A22" sqref="A22:G30"/>
    </sheetView>
  </sheetViews>
  <sheetFormatPr defaultColWidth="9.140625" defaultRowHeight="15"/>
  <cols>
    <col min="1" max="1" width="28.1406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9.28125" style="0" bestFit="1" customWidth="1"/>
  </cols>
  <sheetData>
    <row r="1" ht="15.75">
      <c r="A1" s="43" t="s">
        <v>88</v>
      </c>
    </row>
    <row r="3" spans="1:5" ht="60">
      <c r="A3" s="57" t="s">
        <v>39</v>
      </c>
      <c r="B3" s="57" t="s">
        <v>103</v>
      </c>
      <c r="C3" s="57" t="s">
        <v>96</v>
      </c>
      <c r="D3" s="57" t="s">
        <v>97</v>
      </c>
      <c r="E3" s="38"/>
    </row>
    <row r="4" spans="1:4" ht="15">
      <c r="A4" t="str">
        <f>'App 34 - Mar05 to Apr06 Revenue'!A8</f>
        <v>Residential</v>
      </c>
      <c r="B4" s="40">
        <v>11665282</v>
      </c>
      <c r="C4" s="15">
        <f aca="true" t="shared" si="0" ref="C4:C10">B4/$B$11</f>
        <v>0.5048464520560668</v>
      </c>
      <c r="D4" s="48">
        <f aca="true" t="shared" si="1" ref="D4:D10">C4*$D$11</f>
        <v>154948.51701944694</v>
      </c>
    </row>
    <row r="5" spans="1:4" ht="15">
      <c r="A5" t="str">
        <f>'App 34 - Mar05 to Apr06 Revenue'!A9</f>
        <v>General Service &lt; 50 kW</v>
      </c>
      <c r="B5" s="40">
        <v>2882308</v>
      </c>
      <c r="C5" s="15">
        <f t="shared" si="0"/>
        <v>0.12473963060068481</v>
      </c>
      <c r="D5" s="48">
        <f t="shared" si="1"/>
        <v>38285.345368700735</v>
      </c>
    </row>
    <row r="6" spans="1:4" ht="15">
      <c r="A6" t="str">
        <f>'App 34 - Mar05 to Apr06 Revenue'!A10</f>
        <v>General Service &gt; 50 kW</v>
      </c>
      <c r="B6" s="40">
        <v>5883815</v>
      </c>
      <c r="C6" s="15">
        <f t="shared" si="0"/>
        <v>0.2546379185093225</v>
      </c>
      <c r="D6" s="48">
        <f t="shared" si="1"/>
        <v>78153.99650576618</v>
      </c>
    </row>
    <row r="7" spans="1:4" ht="15">
      <c r="A7" t="str">
        <f>'App 34 - Mar05 to Apr06 Revenue'!A11</f>
        <v>General Service &gt; 50 kW (TOU)</v>
      </c>
      <c r="B7" s="40">
        <v>1540158</v>
      </c>
      <c r="C7" s="15">
        <f t="shared" si="0"/>
        <v>0.06665447966930999</v>
      </c>
      <c r="D7" s="48">
        <f t="shared" si="1"/>
        <v>20457.73073258215</v>
      </c>
    </row>
    <row r="8" spans="1:4" ht="15">
      <c r="A8" t="str">
        <f>'App 34 - Mar05 to Apr06 Revenue'!A12</f>
        <v>Large Use</v>
      </c>
      <c r="B8" s="40">
        <v>694163</v>
      </c>
      <c r="C8" s="15">
        <f t="shared" si="0"/>
        <v>0.03004177076032928</v>
      </c>
      <c r="D8" s="48">
        <f t="shared" si="1"/>
        <v>9220.482404091932</v>
      </c>
    </row>
    <row r="9" spans="1:4" ht="15">
      <c r="A9" t="str">
        <f>'App 34 - Mar05 to Apr06 Revenue'!A13</f>
        <v>Street Lights</v>
      </c>
      <c r="B9" s="40">
        <v>355668</v>
      </c>
      <c r="C9" s="15">
        <f t="shared" si="0"/>
        <v>0.015392489260857744</v>
      </c>
      <c r="D9" s="48">
        <f t="shared" si="1"/>
        <v>4724.294633535018</v>
      </c>
    </row>
    <row r="10" spans="1:4" ht="15">
      <c r="A10" s="41" t="s">
        <v>102</v>
      </c>
      <c r="B10" s="42">
        <v>85200</v>
      </c>
      <c r="C10" s="17">
        <f t="shared" si="0"/>
        <v>0.0036872591434289276</v>
      </c>
      <c r="D10" s="49">
        <f t="shared" si="1"/>
        <v>1131.7012010559947</v>
      </c>
    </row>
    <row r="11" spans="1:4" ht="15">
      <c r="A11" s="2" t="s">
        <v>13</v>
      </c>
      <c r="B11" s="44">
        <f>SUM(B4:B10)</f>
        <v>23106594</v>
      </c>
      <c r="C11" s="45">
        <f>SUM(C4:C10)</f>
        <v>1</v>
      </c>
      <c r="D11" s="50">
        <f>'App 1 - Continuity Schedule'!L199</f>
        <v>306922.0678651789</v>
      </c>
    </row>
    <row r="13" spans="1:7" ht="15">
      <c r="A13" s="2" t="s">
        <v>111</v>
      </c>
      <c r="B13" s="60">
        <v>23201066</v>
      </c>
      <c r="C13" s="2"/>
      <c r="D13" s="2"/>
      <c r="E13" s="2"/>
      <c r="F13" s="2"/>
      <c r="G13" s="2"/>
    </row>
    <row r="14" spans="1:7" ht="48" customHeight="1">
      <c r="A14" s="62" t="s">
        <v>112</v>
      </c>
      <c r="B14" s="63">
        <v>94473</v>
      </c>
      <c r="C14" s="73" t="s">
        <v>113</v>
      </c>
      <c r="D14" s="73"/>
      <c r="E14" s="73"/>
      <c r="F14" s="73"/>
      <c r="G14" s="73"/>
    </row>
    <row r="15" spans="1:7" ht="15">
      <c r="A15" s="2" t="s">
        <v>114</v>
      </c>
      <c r="B15" s="61">
        <f>B13-B14</f>
        <v>23106593</v>
      </c>
      <c r="C15" s="2" t="s">
        <v>115</v>
      </c>
      <c r="D15" s="2"/>
      <c r="E15" s="2"/>
      <c r="F15" s="2"/>
      <c r="G15" s="2"/>
    </row>
    <row r="20" ht="15.75">
      <c r="A20" s="43" t="s">
        <v>89</v>
      </c>
    </row>
    <row r="22" spans="1:6" ht="45">
      <c r="A22" s="57" t="s">
        <v>39</v>
      </c>
      <c r="B22" s="57" t="s">
        <v>90</v>
      </c>
      <c r="C22" s="57" t="s">
        <v>91</v>
      </c>
      <c r="D22" s="57" t="s">
        <v>92</v>
      </c>
      <c r="E22" s="57" t="s">
        <v>104</v>
      </c>
      <c r="F22" s="57" t="s">
        <v>93</v>
      </c>
    </row>
    <row r="23" spans="1:7" ht="15">
      <c r="A23" t="str">
        <f aca="true" t="shared" si="2" ref="A23:A30">A4</f>
        <v>Residential</v>
      </c>
      <c r="B23" s="48">
        <f aca="true" t="shared" si="3" ref="B23:B30">D4</f>
        <v>154948.51701944694</v>
      </c>
      <c r="C23" s="34">
        <v>1</v>
      </c>
      <c r="D23" s="48">
        <f>B23/C23</f>
        <v>154948.51701944694</v>
      </c>
      <c r="E23" s="39">
        <v>389793819.2018118</v>
      </c>
      <c r="F23" s="64">
        <f aca="true" t="shared" si="4" ref="F23:F29">ROUND(D23/E23,4)</f>
        <v>0.0004</v>
      </c>
      <c r="G23" t="s">
        <v>94</v>
      </c>
    </row>
    <row r="24" spans="1:7" ht="15">
      <c r="A24" t="str">
        <f t="shared" si="2"/>
        <v>General Service &lt; 50 kW</v>
      </c>
      <c r="B24" s="48">
        <f t="shared" si="3"/>
        <v>38285.345368700735</v>
      </c>
      <c r="C24">
        <f>C23</f>
        <v>1</v>
      </c>
      <c r="D24" s="48">
        <f aca="true" t="shared" si="5" ref="D24:D30">B24/C24</f>
        <v>38285.345368700735</v>
      </c>
      <c r="E24" s="39">
        <v>168223630.37447304</v>
      </c>
      <c r="F24" s="64">
        <f t="shared" si="4"/>
        <v>0.0002</v>
      </c>
      <c r="G24" t="s">
        <v>94</v>
      </c>
    </row>
    <row r="25" spans="1:7" ht="15">
      <c r="A25" t="str">
        <f t="shared" si="2"/>
        <v>General Service &gt; 50 kW</v>
      </c>
      <c r="B25" s="48">
        <f t="shared" si="3"/>
        <v>78153.99650576618</v>
      </c>
      <c r="C25">
        <f aca="true" t="shared" si="6" ref="C25:C30">C24</f>
        <v>1</v>
      </c>
      <c r="D25" s="48">
        <f t="shared" si="5"/>
        <v>78153.99650576618</v>
      </c>
      <c r="E25" s="39">
        <v>1312685.6432844975</v>
      </c>
      <c r="F25" s="64">
        <f t="shared" si="4"/>
        <v>0.0595</v>
      </c>
      <c r="G25" t="s">
        <v>95</v>
      </c>
    </row>
    <row r="26" spans="1:7" ht="15">
      <c r="A26" t="str">
        <f t="shared" si="2"/>
        <v>General Service &gt; 50 kW (TOU)</v>
      </c>
      <c r="B26" s="48">
        <f t="shared" si="3"/>
        <v>20457.73073258215</v>
      </c>
      <c r="C26">
        <f t="shared" si="6"/>
        <v>1</v>
      </c>
      <c r="D26" s="48">
        <f t="shared" si="5"/>
        <v>20457.73073258215</v>
      </c>
      <c r="E26" s="39">
        <v>478859.8204033224</v>
      </c>
      <c r="F26" s="64">
        <f t="shared" si="4"/>
        <v>0.0427</v>
      </c>
      <c r="G26" t="s">
        <v>95</v>
      </c>
    </row>
    <row r="27" spans="1:7" ht="15">
      <c r="A27" t="str">
        <f t="shared" si="2"/>
        <v>Large Use</v>
      </c>
      <c r="B27" s="48">
        <f t="shared" si="3"/>
        <v>9220.482404091932</v>
      </c>
      <c r="C27">
        <f t="shared" si="6"/>
        <v>1</v>
      </c>
      <c r="D27" s="48">
        <f t="shared" si="5"/>
        <v>9220.482404091932</v>
      </c>
      <c r="E27" s="39">
        <v>308823.8703227372</v>
      </c>
      <c r="F27" s="64">
        <f t="shared" si="4"/>
        <v>0.0299</v>
      </c>
      <c r="G27" t="s">
        <v>95</v>
      </c>
    </row>
    <row r="28" spans="1:7" ht="15">
      <c r="A28" t="str">
        <f t="shared" si="2"/>
        <v>Street Lights</v>
      </c>
      <c r="B28" s="48">
        <f t="shared" si="3"/>
        <v>4724.294633535018</v>
      </c>
      <c r="C28">
        <f>C25</f>
        <v>1</v>
      </c>
      <c r="D28" s="48">
        <f t="shared" si="5"/>
        <v>4724.294633535018</v>
      </c>
      <c r="E28" s="39">
        <v>24144.47494643196</v>
      </c>
      <c r="F28" s="64">
        <f t="shared" si="4"/>
        <v>0.1957</v>
      </c>
      <c r="G28" t="s">
        <v>95</v>
      </c>
    </row>
    <row r="29" spans="1:7" ht="14.25" customHeight="1">
      <c r="A29" s="41" t="str">
        <f t="shared" si="2"/>
        <v>Unmetered Loads</v>
      </c>
      <c r="B29" s="49">
        <f t="shared" si="3"/>
        <v>1131.7012010559947</v>
      </c>
      <c r="C29" s="41">
        <f>C28</f>
        <v>1</v>
      </c>
      <c r="D29" s="49">
        <f t="shared" si="5"/>
        <v>1131.7012010559947</v>
      </c>
      <c r="E29" s="46">
        <v>1855930.7105474856</v>
      </c>
      <c r="F29" s="65">
        <f t="shared" si="4"/>
        <v>0.0006</v>
      </c>
      <c r="G29" t="s">
        <v>94</v>
      </c>
    </row>
    <row r="30" spans="1:4" ht="15">
      <c r="A30" t="str">
        <f t="shared" si="2"/>
        <v>Total</v>
      </c>
      <c r="B30" s="50">
        <f t="shared" si="3"/>
        <v>306922.0678651789</v>
      </c>
      <c r="C30">
        <f t="shared" si="6"/>
        <v>1</v>
      </c>
      <c r="D30" s="50">
        <f t="shared" si="5"/>
        <v>306922.0678651789</v>
      </c>
    </row>
  </sheetData>
  <sheetProtection/>
  <mergeCells count="1">
    <mergeCell ref="C14:G14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D1">
      <selection activeCell="A1" sqref="A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74" t="s">
        <v>67</v>
      </c>
      <c r="B1" s="74" t="s">
        <v>73</v>
      </c>
      <c r="C1" s="74"/>
      <c r="D1" s="74"/>
      <c r="E1" s="75" t="s">
        <v>22</v>
      </c>
      <c r="F1" s="75" t="s">
        <v>27</v>
      </c>
      <c r="G1" s="75" t="s">
        <v>28</v>
      </c>
      <c r="H1" s="75" t="s">
        <v>24</v>
      </c>
      <c r="I1" s="74" t="s">
        <v>23</v>
      </c>
    </row>
    <row r="2" spans="1:9" ht="19.5" customHeight="1">
      <c r="A2" s="74"/>
      <c r="B2" s="58" t="s">
        <v>74</v>
      </c>
      <c r="C2" s="58" t="s">
        <v>75</v>
      </c>
      <c r="D2" s="58" t="s">
        <v>76</v>
      </c>
      <c r="E2" s="75"/>
      <c r="F2" s="75"/>
      <c r="G2" s="75"/>
      <c r="H2" s="75"/>
      <c r="I2" s="74"/>
    </row>
    <row r="3" spans="1:9" ht="15">
      <c r="A3" s="1" t="s">
        <v>1</v>
      </c>
      <c r="B3" s="1" t="s">
        <v>77</v>
      </c>
      <c r="C3" s="1" t="s">
        <v>78</v>
      </c>
      <c r="D3" s="1" t="s">
        <v>79</v>
      </c>
      <c r="E3" s="54">
        <f>'[1]6. 2001PILs DefAcct Adder Calc'!$E$14</f>
        <v>710984</v>
      </c>
      <c r="F3" s="1" t="s">
        <v>25</v>
      </c>
      <c r="G3" s="1" t="s">
        <v>26</v>
      </c>
      <c r="H3" s="21">
        <f>E3/3</f>
        <v>236994.66666666666</v>
      </c>
      <c r="I3" s="37" t="s">
        <v>68</v>
      </c>
    </row>
    <row r="4" spans="1:9" ht="15">
      <c r="A4" s="1">
        <v>2002</v>
      </c>
      <c r="B4" s="1" t="s">
        <v>77</v>
      </c>
      <c r="C4" s="1" t="s">
        <v>80</v>
      </c>
      <c r="D4" s="1" t="s">
        <v>79</v>
      </c>
      <c r="E4" s="8">
        <f>'[1]8. 2002PILs Proxy Adder Calc'!$E$14</f>
        <v>2688086</v>
      </c>
      <c r="F4" s="1" t="s">
        <v>29</v>
      </c>
      <c r="G4" s="1" t="s">
        <v>30</v>
      </c>
      <c r="H4" s="8">
        <f>E4/12</f>
        <v>224007.16666666666</v>
      </c>
      <c r="I4" s="37" t="s">
        <v>69</v>
      </c>
    </row>
    <row r="5" spans="1:9" ht="15">
      <c r="A5" s="1">
        <v>2003</v>
      </c>
      <c r="B5" s="1" t="s">
        <v>77</v>
      </c>
      <c r="C5" s="1" t="s">
        <v>81</v>
      </c>
      <c r="D5" s="1" t="s">
        <v>79</v>
      </c>
      <c r="E5" s="21">
        <f>E3+E4</f>
        <v>3399070</v>
      </c>
      <c r="F5" s="1" t="s">
        <v>31</v>
      </c>
      <c r="G5" s="1" t="s">
        <v>32</v>
      </c>
      <c r="H5" s="21">
        <f>E5/12</f>
        <v>283255.8333333333</v>
      </c>
      <c r="I5" s="37" t="s">
        <v>70</v>
      </c>
    </row>
    <row r="6" spans="1:9" ht="15">
      <c r="A6" s="1">
        <v>2004</v>
      </c>
      <c r="B6" s="1" t="s">
        <v>77</v>
      </c>
      <c r="C6" s="1" t="s">
        <v>81</v>
      </c>
      <c r="D6" s="1" t="s">
        <v>79</v>
      </c>
      <c r="E6" s="21">
        <f>E5</f>
        <v>3399070</v>
      </c>
      <c r="F6" s="1" t="s">
        <v>33</v>
      </c>
      <c r="G6" s="1" t="s">
        <v>109</v>
      </c>
      <c r="H6" s="21">
        <f>E6/12</f>
        <v>283255.8333333333</v>
      </c>
      <c r="I6" s="37" t="s">
        <v>70</v>
      </c>
    </row>
    <row r="7" spans="1:9" ht="15">
      <c r="A7" s="1">
        <v>2004</v>
      </c>
      <c r="B7" s="1" t="s">
        <v>82</v>
      </c>
      <c r="C7" s="1" t="s">
        <v>83</v>
      </c>
      <c r="D7" s="1" t="s">
        <v>84</v>
      </c>
      <c r="E7" s="21">
        <f>E4</f>
        <v>2688086</v>
      </c>
      <c r="F7" s="1" t="s">
        <v>108</v>
      </c>
      <c r="G7" s="1" t="s">
        <v>119</v>
      </c>
      <c r="H7" s="21">
        <f>E7/12</f>
        <v>224007.16666666666</v>
      </c>
      <c r="I7" s="22" t="s">
        <v>71</v>
      </c>
    </row>
    <row r="8" spans="1:9" ht="15">
      <c r="A8" s="1">
        <v>2005</v>
      </c>
      <c r="B8" s="1" t="s">
        <v>85</v>
      </c>
      <c r="C8" s="1" t="s">
        <v>86</v>
      </c>
      <c r="D8" s="1" t="s">
        <v>87</v>
      </c>
      <c r="E8" s="8">
        <f>'[3]4. 2003 Data &amp; 2005 PILs'!$G$14</f>
        <v>2641697</v>
      </c>
      <c r="F8" s="1" t="s">
        <v>120</v>
      </c>
      <c r="G8" s="1" t="s">
        <v>36</v>
      </c>
      <c r="H8" s="21">
        <f>E8/12</f>
        <v>220141.41666666666</v>
      </c>
      <c r="I8" s="22" t="s">
        <v>72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Grant Brooker</cp:lastModifiedBy>
  <cp:lastPrinted>2011-12-07T13:57:29Z</cp:lastPrinted>
  <dcterms:created xsi:type="dcterms:W3CDTF">2011-08-02T14:49:25Z</dcterms:created>
  <dcterms:modified xsi:type="dcterms:W3CDTF">2011-12-07T13:57:43Z</dcterms:modified>
  <cp:category/>
  <cp:version/>
  <cp:contentType/>
  <cp:contentStatus/>
</cp:coreProperties>
</file>